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adia.veronica\OneDrive - FKSGroup\OneDrive - FKSGroup\Documents\05. Pj Ruby\"/>
    </mc:Choice>
  </mc:AlternateContent>
  <xr:revisionPtr revIDLastSave="59" documentId="8_{EAA1039D-7449-4059-98A9-70C2722554D5}" xr6:coauthVersionLast="36" xr6:coauthVersionMax="36" xr10:uidLastSave="{FC90FF18-1652-4D80-950D-E87114C44591}"/>
  <bookViews>
    <workbookView xWindow="-105" yWindow="-105" windowWidth="23250" windowHeight="12450" tabRatio="814" firstSheet="22" activeTab="26" xr2:uid="{00000000-000D-0000-FFFF-FFFF00000000}"/>
  </bookViews>
  <sheets>
    <sheet name="Sheet1" sheetId="13" state="hidden" r:id="rId1"/>
    <sheet name="Simulation&gt;&gt;" sheetId="32" r:id="rId2"/>
    <sheet name="Recap Fund Commitment" sheetId="29" state="hidden" r:id="rId3"/>
    <sheet name="Rupa-Rupa" sheetId="35" r:id="rId4"/>
    <sheet name="Updated Fund Commitment" sheetId="37" state="hidden" r:id="rId5"/>
    <sheet name="Update Fund" sheetId="38" state="hidden" r:id="rId6"/>
    <sheet name="Call Rights" sheetId="19" r:id="rId7"/>
    <sheet name="Update_Calculation" sheetId="39" r:id="rId8"/>
    <sheet name="Simulation" sheetId="21" r:id="rId9"/>
    <sheet name="Debt Sizing Sapphire" sheetId="36" r:id="rId10"/>
    <sheet name="Input&gt;&gt;" sheetId="33" r:id="rId11"/>
    <sheet name="BS_Historical" sheetId="27" state="hidden" r:id="rId12"/>
    <sheet name="Calculation&gt;&gt;" sheetId="34" r:id="rId13"/>
    <sheet name="Calculation_Sapphire" sheetId="28" r:id="rId14"/>
    <sheet name="Output &gt;&gt;" sheetId="31" r:id="rId15"/>
    <sheet name="Sheet3" sheetId="44" r:id="rId16"/>
    <sheet name="Chart" sheetId="46" state="hidden" r:id="rId17"/>
    <sheet name="SOE PoV Impact (USD)" sheetId="47" r:id="rId18"/>
    <sheet name="SOE PoV Impact (IDR)" sheetId="45" r:id="rId19"/>
    <sheet name="Calculation_SOEs" sheetId="43" r:id="rId20"/>
    <sheet name="Business Mapping" sheetId="52" r:id="rId21"/>
    <sheet name="TTL &amp; TBM" sheetId="53" r:id="rId22"/>
    <sheet name="Input" sheetId="6" r:id="rId23"/>
    <sheet name="Calculation_FSL" sheetId="11" r:id="rId24"/>
    <sheet name="Return_New Assumption" sheetId="41" r:id="rId25"/>
    <sheet name="Sheet2" sheetId="54" state="hidden" r:id="rId26"/>
    <sheet name="Output_FSL" sheetId="15" r:id="rId27"/>
    <sheet name="Summary_Report" sheetId="42" r:id="rId28"/>
    <sheet name="Calculation FKS PoV" sheetId="40" r:id="rId29"/>
    <sheet name="TBM FOCUS" sheetId="51" r:id="rId30"/>
    <sheet name="Impact FKS PoV" sheetId="49" r:id="rId31"/>
    <sheet name="Assumption Summary per Project" sheetId="50" r:id="rId32"/>
    <sheet name="Output_Standalone (IDR)" sheetId="14" r:id="rId33"/>
    <sheet name="Output_Standalone USD" sheetId="48" r:id="rId34"/>
    <sheet name="Output_Sapphire" sheetId="23" r:id="rId35"/>
    <sheet name="Consol &gt;&gt;" sheetId="30" r:id="rId36"/>
    <sheet name="Output_Consol_IDR" sheetId="24" r:id="rId37"/>
    <sheet name="Output_Consol_USD" sheetId="25" r:id="rId38"/>
  </sheets>
  <definedNames>
    <definedName name="_xlchart.v1.0" hidden="1">Chart!$B$44:$B$47</definedName>
    <definedName name="_xlchart.v1.1" hidden="1">Chart!$D$44:$D$47</definedName>
    <definedName name="Billion">1000000000</definedName>
    <definedName name="Cash_Negative_Delta" localSheetId="13">#REF!</definedName>
    <definedName name="Cash_Negative_Delta" localSheetId="19">#REF!</definedName>
    <definedName name="Cash_Negative_Delta" localSheetId="12">#REF!</definedName>
    <definedName name="Cash_Negative_Delta" localSheetId="6">#REF!</definedName>
    <definedName name="Cash_Negative_Delta" localSheetId="9">#REF!</definedName>
    <definedName name="Cash_Negative_Delta" localSheetId="10">#REF!</definedName>
    <definedName name="Cash_Negative_Delta" localSheetId="14">#REF!</definedName>
    <definedName name="Cash_Negative_Delta" localSheetId="36">#REF!</definedName>
    <definedName name="Cash_Negative_Delta" localSheetId="37">#REF!</definedName>
    <definedName name="Cash_Negative_Delta" localSheetId="34">#REF!</definedName>
    <definedName name="Cash_Negative_Delta" localSheetId="33">#REF!</definedName>
    <definedName name="Cash_Negative_Delta" localSheetId="3">#REF!</definedName>
    <definedName name="Cash_Negative_Delta" localSheetId="1">#REF!</definedName>
    <definedName name="Cash_Negative_Delta" localSheetId="5">#REF!</definedName>
    <definedName name="Cash_Negative_Delta" localSheetId="7">#REF!</definedName>
    <definedName name="Cash_Negative_Delta" localSheetId="4">#REF!</definedName>
    <definedName name="Cash_Negative_Delta">#REF!</definedName>
    <definedName name="Check_Delta" localSheetId="9">'Debt Sizing Sapphire'!#REF!</definedName>
    <definedName name="Check_Delta" localSheetId="3">'Rupa-Rupa'!#REF!</definedName>
    <definedName name="Check_Delta">'Call Rights'!$G$69</definedName>
    <definedName name="Delta_Interest" localSheetId="13">#REF!</definedName>
    <definedName name="Delta_Interest" localSheetId="19">#REF!</definedName>
    <definedName name="Delta_Interest" localSheetId="12">#REF!</definedName>
    <definedName name="Delta_Interest" localSheetId="9">#REF!</definedName>
    <definedName name="Delta_Interest" localSheetId="10">#REF!</definedName>
    <definedName name="Delta_Interest" localSheetId="14">#REF!</definedName>
    <definedName name="Delta_Interest" localSheetId="36">#REF!</definedName>
    <definedName name="Delta_Interest" localSheetId="37">#REF!</definedName>
    <definedName name="Delta_Interest" localSheetId="34">#REF!</definedName>
    <definedName name="Delta_Interest" localSheetId="33">#REF!</definedName>
    <definedName name="Delta_Interest" localSheetId="3">#REF!</definedName>
    <definedName name="Delta_Interest" localSheetId="1">#REF!</definedName>
    <definedName name="Delta_Interest" localSheetId="5">#REF!</definedName>
    <definedName name="Delta_Interest" localSheetId="7">#REF!</definedName>
    <definedName name="Delta_Interest" localSheetId="4">#REF!</definedName>
    <definedName name="Delta_Interest">#REF!</definedName>
    <definedName name="Delta_Interest_Rupa" localSheetId="9">'Debt Sizing Sapphire'!#REF!</definedName>
    <definedName name="Delta_Interest_Rupa">'Rupa-Rupa'!$I$49</definedName>
    <definedName name="Delta_IRR" localSheetId="9">'Debt Sizing Sapphire'!#REF!</definedName>
    <definedName name="Delta_IRR" localSheetId="3">'Rupa-Rupa'!#REF!</definedName>
    <definedName name="Delta_IRR">'Call Rights'!$F$68</definedName>
    <definedName name="Delta_Repayment" localSheetId="13">#REF!</definedName>
    <definedName name="Delta_Repayment" localSheetId="19">#REF!</definedName>
    <definedName name="Delta_Repayment" localSheetId="12">#REF!</definedName>
    <definedName name="Delta_Repayment" localSheetId="9">#REF!</definedName>
    <definedName name="Delta_Repayment" localSheetId="10">#REF!</definedName>
    <definedName name="Delta_Repayment" localSheetId="14">#REF!</definedName>
    <definedName name="Delta_Repayment" localSheetId="36">#REF!</definedName>
    <definedName name="Delta_Repayment" localSheetId="37">#REF!</definedName>
    <definedName name="Delta_Repayment" localSheetId="34">#REF!</definedName>
    <definedName name="Delta_Repayment" localSheetId="33">#REF!</definedName>
    <definedName name="Delta_Repayment" localSheetId="3">#REF!</definedName>
    <definedName name="Delta_Repayment" localSheetId="1">#REF!</definedName>
    <definedName name="Delta_Repayment" localSheetId="5">#REF!</definedName>
    <definedName name="Delta_Repayment" localSheetId="7">#REF!</definedName>
    <definedName name="Delta_Repayment" localSheetId="4">#REF!</definedName>
    <definedName name="Delta_Repayment">#REF!</definedName>
    <definedName name="Exit_Value" localSheetId="9">'Debt Sizing Sapphire'!#REF!</definedName>
    <definedName name="Exit_Value" localSheetId="3">'Rupa-Rupa'!#REF!</definedName>
    <definedName name="Exit_Value">'Call Rights'!$F$70</definedName>
    <definedName name="Goalseek_Topup" localSheetId="13">#REF!</definedName>
    <definedName name="Goalseek_Topup" localSheetId="19">#REF!</definedName>
    <definedName name="Goalseek_Topup" localSheetId="12">#REF!</definedName>
    <definedName name="Goalseek_Topup" localSheetId="9">#REF!</definedName>
    <definedName name="Goalseek_Topup" localSheetId="10">#REF!</definedName>
    <definedName name="Goalseek_Topup" localSheetId="14">#REF!</definedName>
    <definedName name="Goalseek_Topup" localSheetId="36">#REF!</definedName>
    <definedName name="Goalseek_Topup" localSheetId="37">#REF!</definedName>
    <definedName name="Goalseek_Topup" localSheetId="34">#REF!</definedName>
    <definedName name="Goalseek_Topup" localSheetId="33">#REF!</definedName>
    <definedName name="Goalseek_Topup" localSheetId="3">#REF!</definedName>
    <definedName name="Goalseek_Topup" localSheetId="1">#REF!</definedName>
    <definedName name="Goalseek_Topup" localSheetId="5">#REF!</definedName>
    <definedName name="Goalseek_Topup" localSheetId="7">#REF!</definedName>
    <definedName name="Goalseek_Topup" localSheetId="4">#REF!</definedName>
    <definedName name="Goalseek_Topup">#REF!</definedName>
    <definedName name="Interest_Copy" localSheetId="13">#REF!</definedName>
    <definedName name="Interest_Copy" localSheetId="19">#REF!</definedName>
    <definedName name="Interest_Copy" localSheetId="12">#REF!</definedName>
    <definedName name="Interest_Copy" localSheetId="9">#REF!</definedName>
    <definedName name="Interest_Copy" localSheetId="10">#REF!</definedName>
    <definedName name="Interest_Copy" localSheetId="14">#REF!</definedName>
    <definedName name="Interest_Copy" localSheetId="36">#REF!</definedName>
    <definedName name="Interest_Copy" localSheetId="37">#REF!</definedName>
    <definedName name="Interest_Copy" localSheetId="34">#REF!</definedName>
    <definedName name="Interest_Copy" localSheetId="33">#REF!</definedName>
    <definedName name="Interest_Copy" localSheetId="3">#REF!</definedName>
    <definedName name="Interest_Copy" localSheetId="1">#REF!</definedName>
    <definedName name="Interest_Copy" localSheetId="5">#REF!</definedName>
    <definedName name="Interest_Copy" localSheetId="7">#REF!</definedName>
    <definedName name="Interest_Copy" localSheetId="4">#REF!</definedName>
    <definedName name="Interest_Copy">#REF!</definedName>
    <definedName name="Interest_Paste" localSheetId="13">#REF!</definedName>
    <definedName name="Interest_Paste" localSheetId="19">#REF!</definedName>
    <definedName name="Interest_Paste" localSheetId="12">#REF!</definedName>
    <definedName name="Interest_Paste" localSheetId="9">#REF!</definedName>
    <definedName name="Interest_Paste" localSheetId="10">#REF!</definedName>
    <definedName name="Interest_Paste" localSheetId="14">#REF!</definedName>
    <definedName name="Interest_Paste" localSheetId="36">#REF!</definedName>
    <definedName name="Interest_Paste" localSheetId="37">#REF!</definedName>
    <definedName name="Interest_Paste" localSheetId="34">#REF!</definedName>
    <definedName name="Interest_Paste" localSheetId="33">#REF!</definedName>
    <definedName name="Interest_Paste" localSheetId="3">#REF!</definedName>
    <definedName name="Interest_Paste" localSheetId="1">#REF!</definedName>
    <definedName name="Interest_Paste" localSheetId="5">#REF!</definedName>
    <definedName name="Interest_Paste" localSheetId="7">#REF!</definedName>
    <definedName name="Interest_Paste" localSheetId="4">#REF!</definedName>
    <definedName name="Interest_Paste">#REF!</definedName>
    <definedName name="Million">1000000</definedName>
    <definedName name="Month_Year">12</definedName>
    <definedName name="Rounding_Tolerance">4</definedName>
    <definedName name="Rupa_Interest_Copy" localSheetId="9">'Debt Sizing Sapphire'!#REF!</definedName>
    <definedName name="Rupa_Interest_Copy">'Rupa-Rupa'!$J$47:$V$47</definedName>
    <definedName name="Rupa_Interest_Paste" localSheetId="9">'Debt Sizing Sapphire'!#REF!</definedName>
    <definedName name="Rupa_Interest_Paste">'Rupa-Rupa'!$J$48:$V$48</definedName>
    <definedName name="Scenario">Simulation!$D$3</definedName>
    <definedName name="Target_Revenue" localSheetId="13">#REF!</definedName>
    <definedName name="Target_Revenue" localSheetId="19">#REF!</definedName>
    <definedName name="Target_Revenue" localSheetId="12">#REF!</definedName>
    <definedName name="Target_Revenue" localSheetId="6">#REF!</definedName>
    <definedName name="Target_Revenue" localSheetId="9">#REF!</definedName>
    <definedName name="Target_Revenue" localSheetId="10">#REF!</definedName>
    <definedName name="Target_Revenue" localSheetId="14">#REF!</definedName>
    <definedName name="Target_Revenue" localSheetId="36">#REF!</definedName>
    <definedName name="Target_Revenue" localSheetId="37">#REF!</definedName>
    <definedName name="Target_Revenue" localSheetId="34">#REF!</definedName>
    <definedName name="Target_Revenue" localSheetId="33">#REF!</definedName>
    <definedName name="Target_Revenue" localSheetId="3">#REF!</definedName>
    <definedName name="Target_Revenue" localSheetId="1">#REF!</definedName>
    <definedName name="Target_Revenue" localSheetId="5">#REF!</definedName>
    <definedName name="Target_Revenue" localSheetId="7">#REF!</definedName>
    <definedName name="Target_Revenue" localSheetId="4">#REF!</definedName>
    <definedName name="Target_Revenue">#REF!</definedName>
    <definedName name="Thousands">1000</definedName>
    <definedName name="Update_Table_Copy">Simulation!$I$9:$I$16</definedName>
    <definedName name="UpdateFrom">Simulation!$D$4</definedName>
    <definedName name="UpdateTo">Simulation!$E$4</definedName>
    <definedName name="USD_IDR" localSheetId="19">Calculation_SOEs!$F$16</definedName>
    <definedName name="USD_IDR">Calculation_FSL!$F$17</definedName>
  </definedNames>
  <calcPr calcId="191028" calcMode="autoNoTable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4" i="47" l="1"/>
  <c r="Q44" i="47"/>
  <c r="P54" i="47" s="1"/>
  <c r="Q49" i="47" s="1"/>
  <c r="P55" i="47"/>
  <c r="Q54" i="47"/>
  <c r="R49" i="47" s="1"/>
  <c r="Q53" i="47"/>
  <c r="P53" i="47"/>
  <c r="S45" i="47"/>
  <c r="S48" i="47"/>
  <c r="Q37" i="47"/>
  <c r="S37" i="47"/>
  <c r="S35" i="47"/>
  <c r="Q35" i="47"/>
  <c r="S33" i="47"/>
  <c r="Q33" i="47"/>
  <c r="R26" i="47"/>
  <c r="S26" i="47"/>
  <c r="T26" i="47"/>
  <c r="Q26" i="47"/>
  <c r="R24" i="47"/>
  <c r="Q50" i="47" l="1"/>
  <c r="Q51" i="47"/>
  <c r="Q52" i="47" s="1"/>
  <c r="Q45" i="47"/>
  <c r="Q48" i="47" s="1"/>
  <c r="F28" i="15"/>
  <c r="O8" i="40" l="1"/>
  <c r="K35" i="23"/>
  <c r="L35" i="23"/>
  <c r="M35" i="23"/>
  <c r="N35" i="23"/>
  <c r="O35" i="23"/>
  <c r="P35" i="23"/>
  <c r="Q35" i="23"/>
  <c r="R35" i="23"/>
  <c r="S35" i="23"/>
  <c r="T35" i="23"/>
  <c r="U35" i="23"/>
  <c r="V35" i="23"/>
  <c r="J35" i="23"/>
  <c r="E61" i="40"/>
  <c r="F61" i="40"/>
  <c r="G61" i="40"/>
  <c r="H61" i="40"/>
  <c r="I61" i="40"/>
  <c r="J61" i="40"/>
  <c r="K61" i="40"/>
  <c r="L61" i="40"/>
  <c r="M61" i="40"/>
  <c r="N61" i="40"/>
  <c r="D61" i="40"/>
  <c r="F8" i="40"/>
  <c r="G8" i="40"/>
  <c r="H8" i="40"/>
  <c r="I8" i="40"/>
  <c r="J8" i="40"/>
  <c r="K8" i="40"/>
  <c r="L8" i="40"/>
  <c r="M8" i="40"/>
  <c r="N8" i="40"/>
  <c r="E8" i="40"/>
  <c r="F22" i="11"/>
  <c r="E138" i="40"/>
  <c r="K587" i="11"/>
  <c r="L587" i="11"/>
  <c r="M587" i="11"/>
  <c r="N587" i="11"/>
  <c r="O587" i="11"/>
  <c r="P587" i="11"/>
  <c r="Q587" i="11"/>
  <c r="R587" i="11"/>
  <c r="S587" i="11"/>
  <c r="T587" i="11"/>
  <c r="U587" i="11"/>
  <c r="V587" i="11"/>
  <c r="J587" i="11"/>
  <c r="L256" i="11"/>
  <c r="M256" i="11"/>
  <c r="K143" i="14"/>
  <c r="L143" i="14"/>
  <c r="M143" i="14"/>
  <c r="N143" i="14"/>
  <c r="O143" i="14"/>
  <c r="P143" i="14"/>
  <c r="Q143" i="14"/>
  <c r="R143" i="14"/>
  <c r="S143" i="14"/>
  <c r="T143" i="14"/>
  <c r="U143" i="14"/>
  <c r="V143" i="14"/>
  <c r="J143" i="14"/>
  <c r="K366" i="11"/>
  <c r="L366" i="11"/>
  <c r="M366" i="11"/>
  <c r="N366" i="11"/>
  <c r="O366" i="11"/>
  <c r="P366" i="11"/>
  <c r="Q366" i="11"/>
  <c r="R366" i="11"/>
  <c r="S366" i="11"/>
  <c r="T366" i="11"/>
  <c r="U366" i="11"/>
  <c r="V366" i="11"/>
  <c r="J366" i="11"/>
  <c r="F69" i="11"/>
  <c r="F58" i="11"/>
  <c r="F52" i="11"/>
  <c r="K120" i="6"/>
  <c r="K121" i="6"/>
  <c r="K122" i="6"/>
  <c r="K123" i="6"/>
  <c r="K124" i="6"/>
  <c r="K125" i="6"/>
  <c r="K126" i="6"/>
  <c r="K127" i="6"/>
  <c r="K128" i="6"/>
  <c r="K129" i="6"/>
  <c r="K130" i="6"/>
  <c r="K119" i="6"/>
  <c r="O33" i="19" l="1"/>
  <c r="P33" i="19"/>
  <c r="Q33" i="19"/>
  <c r="R33" i="19"/>
  <c r="S33" i="19"/>
  <c r="T33" i="19"/>
  <c r="U33" i="19"/>
  <c r="V33" i="19"/>
  <c r="N33" i="19"/>
  <c r="F151" i="11" l="1"/>
  <c r="M1265" i="6"/>
  <c r="J147" i="11"/>
  <c r="L147" i="11"/>
  <c r="M147" i="11"/>
  <c r="N147" i="11"/>
  <c r="O147" i="11"/>
  <c r="P147" i="11"/>
  <c r="Q147" i="11"/>
  <c r="R147" i="11"/>
  <c r="S147" i="11"/>
  <c r="T147" i="11"/>
  <c r="U147" i="11"/>
  <c r="V147" i="11"/>
  <c r="K147" i="11"/>
  <c r="K133" i="11"/>
  <c r="L133" i="11"/>
  <c r="M133" i="11"/>
  <c r="N133" i="11"/>
  <c r="O133" i="11"/>
  <c r="P133" i="11"/>
  <c r="Q133" i="11"/>
  <c r="R133" i="11"/>
  <c r="S133" i="11"/>
  <c r="T133" i="11"/>
  <c r="U133" i="11"/>
  <c r="V133" i="11"/>
  <c r="J133" i="11"/>
  <c r="O1253" i="6" l="1"/>
  <c r="F157" i="11"/>
  <c r="I54" i="14"/>
  <c r="F29" i="15"/>
  <c r="F43" i="14" s="1"/>
  <c r="O143" i="11"/>
  <c r="R143" i="11"/>
  <c r="S143" i="11"/>
  <c r="U143" i="11"/>
  <c r="V143" i="11"/>
  <c r="S135" i="11"/>
  <c r="V135" i="11"/>
  <c r="V44" i="14" s="1"/>
  <c r="U130" i="41" s="1"/>
  <c r="K134" i="11"/>
  <c r="K135" i="11" s="1"/>
  <c r="J134" i="11"/>
  <c r="J135" i="11" s="1"/>
  <c r="J44" i="14" s="1"/>
  <c r="M134" i="11"/>
  <c r="M135" i="11" s="1"/>
  <c r="N134" i="11"/>
  <c r="N135" i="11" s="1"/>
  <c r="O134" i="11"/>
  <c r="O135" i="11" s="1"/>
  <c r="P134" i="11"/>
  <c r="P135" i="11" s="1"/>
  <c r="P44" i="14" s="1"/>
  <c r="Q134" i="11"/>
  <c r="Q135" i="11" s="1"/>
  <c r="R134" i="11"/>
  <c r="R135" i="11" s="1"/>
  <c r="R44" i="14" s="1"/>
  <c r="Q130" i="41" s="1"/>
  <c r="S134" i="11"/>
  <c r="T134" i="11"/>
  <c r="T135" i="11" s="1"/>
  <c r="U134" i="11"/>
  <c r="U135" i="11" s="1"/>
  <c r="V134" i="11"/>
  <c r="L134" i="11"/>
  <c r="L135" i="11" s="1"/>
  <c r="V162" i="11"/>
  <c r="U162" i="11"/>
  <c r="T162" i="11"/>
  <c r="S162" i="11"/>
  <c r="R162" i="11"/>
  <c r="Q162" i="11"/>
  <c r="P162" i="11"/>
  <c r="O162" i="11"/>
  <c r="N162" i="11"/>
  <c r="M162" i="11"/>
  <c r="L162" i="11"/>
  <c r="K162" i="11"/>
  <c r="J162" i="11"/>
  <c r="N142" i="11"/>
  <c r="O142" i="11" s="1"/>
  <c r="M142" i="11"/>
  <c r="K142" i="11"/>
  <c r="J142" i="11"/>
  <c r="U141" i="11"/>
  <c r="U145" i="11" s="1"/>
  <c r="T141" i="11"/>
  <c r="T145" i="11" s="1"/>
  <c r="S141" i="11"/>
  <c r="S145" i="11" s="1"/>
  <c r="R141" i="11"/>
  <c r="R145" i="11" s="1"/>
  <c r="Q141" i="11"/>
  <c r="Q145" i="11" s="1"/>
  <c r="P141" i="11"/>
  <c r="P145" i="11" s="1"/>
  <c r="O141" i="11"/>
  <c r="O145" i="11" s="1"/>
  <c r="N141" i="11"/>
  <c r="N145" i="11" s="1"/>
  <c r="M141" i="11"/>
  <c r="M145" i="11" s="1"/>
  <c r="L141" i="11"/>
  <c r="L145" i="11" s="1"/>
  <c r="K141" i="11"/>
  <c r="K145" i="11" s="1"/>
  <c r="J141" i="11"/>
  <c r="J143" i="11" s="1"/>
  <c r="F141" i="11"/>
  <c r="U137" i="11"/>
  <c r="T137" i="11"/>
  <c r="S137" i="11"/>
  <c r="R137" i="11"/>
  <c r="Q137" i="11"/>
  <c r="P137" i="11"/>
  <c r="O137" i="11"/>
  <c r="N137" i="11"/>
  <c r="M137" i="11"/>
  <c r="L137" i="11"/>
  <c r="K137" i="11"/>
  <c r="J137" i="11"/>
  <c r="V141" i="11"/>
  <c r="V129" i="11"/>
  <c r="U129" i="11"/>
  <c r="T129" i="11"/>
  <c r="S129" i="11"/>
  <c r="R129" i="11"/>
  <c r="Q129" i="11"/>
  <c r="P129" i="11"/>
  <c r="O129" i="11"/>
  <c r="N129" i="11"/>
  <c r="M129" i="11"/>
  <c r="L129" i="11"/>
  <c r="K129" i="11"/>
  <c r="J129" i="11"/>
  <c r="Q143" i="11" l="1"/>
  <c r="P143" i="11"/>
  <c r="N143" i="11"/>
  <c r="Q48" i="14"/>
  <c r="M143" i="11"/>
  <c r="L143" i="11"/>
  <c r="K143" i="11"/>
  <c r="N48" i="14"/>
  <c r="L48" i="14"/>
  <c r="K48" i="14"/>
  <c r="T143" i="11"/>
  <c r="U48" i="14"/>
  <c r="T135" i="41" s="1"/>
  <c r="T48" i="14"/>
  <c r="S135" i="41" s="1"/>
  <c r="S48" i="14"/>
  <c r="R135" i="41" s="1"/>
  <c r="O48" i="14"/>
  <c r="N135" i="41" s="1"/>
  <c r="I130" i="41"/>
  <c r="O130" i="41"/>
  <c r="K44" i="14"/>
  <c r="L44" i="14"/>
  <c r="M48" i="14"/>
  <c r="M44" i="14"/>
  <c r="U44" i="14"/>
  <c r="T44" i="14"/>
  <c r="P48" i="14"/>
  <c r="O44" i="14"/>
  <c r="N44" i="14"/>
  <c r="J48" i="14"/>
  <c r="V48" i="14"/>
  <c r="S44" i="14"/>
  <c r="R48" i="14"/>
  <c r="Q44" i="14"/>
  <c r="I135" i="11"/>
  <c r="V145" i="11"/>
  <c r="P142" i="11"/>
  <c r="J145" i="11"/>
  <c r="V137" i="11"/>
  <c r="M135" i="41" l="1"/>
  <c r="P135" i="41"/>
  <c r="L130" i="41"/>
  <c r="K130" i="41"/>
  <c r="K135" i="41"/>
  <c r="P130" i="41"/>
  <c r="Q135" i="41"/>
  <c r="J130" i="41"/>
  <c r="R130" i="41"/>
  <c r="U135" i="41"/>
  <c r="I135" i="41"/>
  <c r="M130" i="41"/>
  <c r="N130" i="41"/>
  <c r="O135" i="41"/>
  <c r="L135" i="41"/>
  <c r="J135" i="41"/>
  <c r="S130" i="41"/>
  <c r="T130" i="41"/>
  <c r="Q142" i="11"/>
  <c r="R142" i="11" l="1"/>
  <c r="S142" i="11" l="1"/>
  <c r="T142" i="11" l="1"/>
  <c r="U142" i="11" l="1"/>
  <c r="V142" i="11" l="1"/>
  <c r="I143" i="11" l="1"/>
  <c r="L442" i="11" l="1"/>
  <c r="C156" i="45"/>
  <c r="C155" i="45"/>
  <c r="C154" i="45"/>
  <c r="C153" i="45"/>
  <c r="E153" i="45"/>
  <c r="E155" i="45"/>
  <c r="F131" i="45"/>
  <c r="G131" i="45"/>
  <c r="H131" i="45"/>
  <c r="I131" i="45"/>
  <c r="J131" i="45"/>
  <c r="K131" i="45"/>
  <c r="L131" i="45"/>
  <c r="M131" i="45"/>
  <c r="N131" i="45"/>
  <c r="E131" i="45"/>
  <c r="D146" i="45"/>
  <c r="E154" i="45" l="1"/>
  <c r="D147" i="45" l="1"/>
  <c r="E156" i="45" s="1"/>
  <c r="D143" i="45"/>
  <c r="B136" i="45"/>
  <c r="A136" i="45"/>
  <c r="D131" i="45"/>
  <c r="D130" i="45"/>
  <c r="D128" i="45"/>
  <c r="D127" i="45"/>
  <c r="D154" i="45"/>
  <c r="E138" i="45"/>
  <c r="G138" i="45"/>
  <c r="H138" i="45"/>
  <c r="I138" i="45"/>
  <c r="J138" i="45"/>
  <c r="J139" i="45" s="1"/>
  <c r="K138" i="45"/>
  <c r="K139" i="45" s="1"/>
  <c r="L138" i="45"/>
  <c r="L139" i="45" s="1"/>
  <c r="M138" i="45"/>
  <c r="M139" i="45" s="1"/>
  <c r="N138" i="45"/>
  <c r="F138" i="45"/>
  <c r="F139" i="45" s="1"/>
  <c r="E140" i="45"/>
  <c r="E146" i="45" s="1"/>
  <c r="E139" i="45"/>
  <c r="E144" i="45" s="1"/>
  <c r="D139" i="45"/>
  <c r="D140" i="45" s="1"/>
  <c r="C143" i="45"/>
  <c r="D141" i="45"/>
  <c r="A133" i="45"/>
  <c r="A134" i="45" s="1"/>
  <c r="D134" i="45" s="1"/>
  <c r="E128" i="45"/>
  <c r="C127" i="45"/>
  <c r="F124" i="45"/>
  <c r="G124" i="45"/>
  <c r="F123" i="45"/>
  <c r="J144" i="45" l="1"/>
  <c r="J153" i="45"/>
  <c r="J154" i="45"/>
  <c r="F143" i="45"/>
  <c r="F153" i="45"/>
  <c r="F154" i="45"/>
  <c r="M144" i="45"/>
  <c r="M153" i="45"/>
  <c r="M154" i="45"/>
  <c r="L144" i="45"/>
  <c r="L153" i="45"/>
  <c r="L154" i="45"/>
  <c r="K144" i="45"/>
  <c r="K153" i="45"/>
  <c r="K154" i="45"/>
  <c r="E130" i="45"/>
  <c r="F130" i="45"/>
  <c r="F127" i="45"/>
  <c r="E157" i="45"/>
  <c r="G140" i="45"/>
  <c r="G155" i="45" s="1"/>
  <c r="G146" i="45"/>
  <c r="G147" i="45"/>
  <c r="F144" i="45"/>
  <c r="F140" i="45"/>
  <c r="F155" i="45" s="1"/>
  <c r="I139" i="45"/>
  <c r="N140" i="45"/>
  <c r="N155" i="45" s="1"/>
  <c r="H139" i="45"/>
  <c r="M143" i="45"/>
  <c r="M140" i="45"/>
  <c r="M155" i="45" s="1"/>
  <c r="G139" i="45"/>
  <c r="L143" i="45"/>
  <c r="L140" i="45"/>
  <c r="L155" i="45" s="1"/>
  <c r="E143" i="45"/>
  <c r="K143" i="45"/>
  <c r="K140" i="45"/>
  <c r="K155" i="45" s="1"/>
  <c r="J143" i="45"/>
  <c r="J140" i="45"/>
  <c r="J155" i="45" s="1"/>
  <c r="E147" i="45"/>
  <c r="I140" i="45"/>
  <c r="I155" i="45" s="1"/>
  <c r="H140" i="45"/>
  <c r="H155" i="45" s="1"/>
  <c r="N139" i="45"/>
  <c r="E127" i="45"/>
  <c r="E132" i="45" s="1"/>
  <c r="E134" i="45" s="1"/>
  <c r="G123" i="45"/>
  <c r="G130" i="45"/>
  <c r="F128" i="45"/>
  <c r="F132" i="45" s="1"/>
  <c r="F134" i="45" s="1"/>
  <c r="H124" i="45"/>
  <c r="N153" i="45" l="1"/>
  <c r="N154" i="45"/>
  <c r="H153" i="45"/>
  <c r="H154" i="45"/>
  <c r="I153" i="45"/>
  <c r="I154" i="45"/>
  <c r="G153" i="45"/>
  <c r="G154" i="45"/>
  <c r="E148" i="45"/>
  <c r="E159" i="45" s="1"/>
  <c r="K156" i="45"/>
  <c r="K157" i="45" s="1"/>
  <c r="G156" i="45"/>
  <c r="L156" i="45"/>
  <c r="M156" i="45"/>
  <c r="H156" i="45"/>
  <c r="N156" i="45"/>
  <c r="I156" i="45"/>
  <c r="F156" i="45"/>
  <c r="F157" i="45"/>
  <c r="J156" i="45"/>
  <c r="F146" i="45"/>
  <c r="F147" i="45"/>
  <c r="J146" i="45"/>
  <c r="J147" i="45"/>
  <c r="K147" i="45"/>
  <c r="K146" i="45"/>
  <c r="L147" i="45"/>
  <c r="L146" i="45"/>
  <c r="L148" i="45" s="1"/>
  <c r="G143" i="45"/>
  <c r="G144" i="45"/>
  <c r="M147" i="45"/>
  <c r="M146" i="45"/>
  <c r="M148" i="45" s="1"/>
  <c r="N144" i="45"/>
  <c r="N143" i="45"/>
  <c r="H143" i="45"/>
  <c r="H144" i="45"/>
  <c r="H146" i="45"/>
  <c r="H147" i="45"/>
  <c r="N147" i="45"/>
  <c r="N146" i="45"/>
  <c r="I146" i="45"/>
  <c r="I147" i="45"/>
  <c r="I143" i="45"/>
  <c r="I144" i="45"/>
  <c r="I124" i="45"/>
  <c r="H130" i="45"/>
  <c r="H123" i="45"/>
  <c r="G127" i="45"/>
  <c r="G128" i="45"/>
  <c r="M157" i="45" l="1"/>
  <c r="M159" i="45" s="1"/>
  <c r="L157" i="45"/>
  <c r="L159" i="45" s="1"/>
  <c r="N157" i="45"/>
  <c r="J157" i="45"/>
  <c r="I157" i="45"/>
  <c r="H157" i="45"/>
  <c r="G157" i="45"/>
  <c r="F148" i="45"/>
  <c r="F159" i="45" s="1"/>
  <c r="G148" i="45"/>
  <c r="K148" i="45"/>
  <c r="K159" i="45" s="1"/>
  <c r="I148" i="45"/>
  <c r="N148" i="45"/>
  <c r="H148" i="45"/>
  <c r="J148" i="45"/>
  <c r="G132" i="45"/>
  <c r="G134" i="45" s="1"/>
  <c r="I123" i="45"/>
  <c r="H127" i="45"/>
  <c r="H128" i="45"/>
  <c r="I130" i="45"/>
  <c r="J124" i="45"/>
  <c r="J159" i="45" l="1"/>
  <c r="N159" i="45"/>
  <c r="G159" i="45"/>
  <c r="H159" i="45"/>
  <c r="I159" i="45"/>
  <c r="H132" i="45"/>
  <c r="H134" i="45" s="1"/>
  <c r="J123" i="45"/>
  <c r="I128" i="45"/>
  <c r="I127" i="45"/>
  <c r="J130" i="45"/>
  <c r="K124" i="45"/>
  <c r="I132" i="45" l="1"/>
  <c r="I134" i="45" s="1"/>
  <c r="K123" i="45"/>
  <c r="J127" i="45"/>
  <c r="J128" i="45"/>
  <c r="L124" i="45"/>
  <c r="K130" i="45"/>
  <c r="L130" i="45" l="1"/>
  <c r="M124" i="45"/>
  <c r="J132" i="45"/>
  <c r="J134" i="45" s="1"/>
  <c r="L123" i="45"/>
  <c r="K128" i="45"/>
  <c r="K127" i="45"/>
  <c r="K132" i="45" s="1"/>
  <c r="K134" i="45" s="1"/>
  <c r="M123" i="45" l="1"/>
  <c r="L128" i="45"/>
  <c r="L127" i="45"/>
  <c r="L132" i="45" s="1"/>
  <c r="L134" i="45" s="1"/>
  <c r="N124" i="45"/>
  <c r="M130" i="45"/>
  <c r="N130" i="45" l="1"/>
  <c r="N123" i="45"/>
  <c r="M128" i="45"/>
  <c r="M127" i="45"/>
  <c r="M132" i="45" s="1"/>
  <c r="M134" i="45" s="1"/>
  <c r="N128" i="45" l="1"/>
  <c r="N127" i="45"/>
  <c r="N132" i="45" s="1"/>
  <c r="N134" i="45" s="1"/>
  <c r="D125" i="45" l="1"/>
  <c r="F121" i="45"/>
  <c r="G121" i="45" s="1"/>
  <c r="H121" i="45" s="1"/>
  <c r="I121" i="45" s="1"/>
  <c r="J121" i="45" s="1"/>
  <c r="K121" i="45" s="1"/>
  <c r="L121" i="45" s="1"/>
  <c r="M121" i="45" s="1"/>
  <c r="N121" i="45" s="1"/>
  <c r="N183" i="45" l="1"/>
  <c r="L135" i="45"/>
  <c r="M135" i="45"/>
  <c r="M167" i="45"/>
  <c r="N167" i="45"/>
  <c r="F167" i="45"/>
  <c r="G167" i="45"/>
  <c r="I167" i="45"/>
  <c r="J167" i="45"/>
  <c r="K167" i="45"/>
  <c r="H167" i="45"/>
  <c r="E167" i="45"/>
  <c r="H183" i="45"/>
  <c r="M183" i="45"/>
  <c r="I183" i="45"/>
  <c r="J183" i="45"/>
  <c r="K183" i="45"/>
  <c r="L183" i="45"/>
  <c r="L167" i="45" l="1"/>
  <c r="E135" i="45"/>
  <c r="E152" i="45" s="1"/>
  <c r="N135" i="45"/>
  <c r="N152" i="45" s="1"/>
  <c r="G135" i="45"/>
  <c r="G152" i="45" s="1"/>
  <c r="F135" i="45"/>
  <c r="F152" i="45" s="1"/>
  <c r="F183" i="45"/>
  <c r="L152" i="45"/>
  <c r="L174" i="45"/>
  <c r="J135" i="45"/>
  <c r="I135" i="45"/>
  <c r="M152" i="45"/>
  <c r="M174" i="45"/>
  <c r="K135" i="45"/>
  <c r="H135" i="45"/>
  <c r="G183" i="45"/>
  <c r="E174" i="45" l="1"/>
  <c r="N174" i="45"/>
  <c r="G174" i="45"/>
  <c r="F174" i="45"/>
  <c r="H152" i="45"/>
  <c r="H174" i="45"/>
  <c r="K152" i="45"/>
  <c r="K174" i="45"/>
  <c r="J152" i="45"/>
  <c r="J174" i="45"/>
  <c r="I152" i="45"/>
  <c r="I174" i="45"/>
  <c r="E183" i="45"/>
  <c r="L217" i="11" l="1"/>
  <c r="M217" i="11"/>
  <c r="N217" i="11"/>
  <c r="O217" i="11"/>
  <c r="P217" i="11"/>
  <c r="Q217" i="11"/>
  <c r="R217" i="11"/>
  <c r="S217" i="11"/>
  <c r="T217" i="11"/>
  <c r="U217" i="11"/>
  <c r="V217" i="11"/>
  <c r="L215" i="11"/>
  <c r="M215" i="11"/>
  <c r="N215" i="11"/>
  <c r="O215" i="11"/>
  <c r="P215" i="11"/>
  <c r="Q215" i="11"/>
  <c r="R215" i="11"/>
  <c r="S215" i="11"/>
  <c r="T215" i="11"/>
  <c r="U215" i="11"/>
  <c r="V215" i="11"/>
  <c r="K216" i="11"/>
  <c r="J216" i="11"/>
  <c r="M1259" i="6"/>
  <c r="K182" i="11"/>
  <c r="L182" i="11"/>
  <c r="M182" i="11"/>
  <c r="N182" i="11"/>
  <c r="O182" i="11"/>
  <c r="P182" i="11"/>
  <c r="Q182" i="11"/>
  <c r="R182" i="11"/>
  <c r="S182" i="11"/>
  <c r="T182" i="11"/>
  <c r="U182" i="11"/>
  <c r="V182" i="11"/>
  <c r="J182" i="11"/>
  <c r="J18" i="41"/>
  <c r="K18" i="41"/>
  <c r="L18" i="41"/>
  <c r="M18" i="41"/>
  <c r="N18" i="41"/>
  <c r="O18" i="41"/>
  <c r="P18" i="41"/>
  <c r="Q18" i="41"/>
  <c r="R18" i="41"/>
  <c r="S18" i="41"/>
  <c r="T18" i="41"/>
  <c r="U18" i="41"/>
  <c r="I18" i="41"/>
  <c r="J8" i="41"/>
  <c r="K8" i="41"/>
  <c r="L8" i="41"/>
  <c r="M8" i="41"/>
  <c r="N8" i="41"/>
  <c r="O8" i="41"/>
  <c r="P8" i="41"/>
  <c r="Q8" i="41"/>
  <c r="R8" i="41"/>
  <c r="S8" i="41"/>
  <c r="T8" i="41"/>
  <c r="U8" i="41"/>
  <c r="I8" i="41"/>
  <c r="V174" i="11"/>
  <c r="O127" i="40" l="1"/>
  <c r="E11" i="40"/>
  <c r="F11" i="40"/>
  <c r="F236" i="39" l="1"/>
  <c r="F43" i="19" l="1"/>
  <c r="K353" i="41" l="1"/>
  <c r="L353" i="41"/>
  <c r="M353" i="41"/>
  <c r="N353" i="41"/>
  <c r="O353" i="41"/>
  <c r="P353" i="41"/>
  <c r="Q353" i="41"/>
  <c r="R353" i="41"/>
  <c r="S353" i="41"/>
  <c r="T353" i="41"/>
  <c r="U353" i="41"/>
  <c r="F29" i="49"/>
  <c r="F30" i="15" l="1"/>
  <c r="F4" i="41" s="1"/>
  <c r="F35" i="15"/>
  <c r="F127" i="41" s="1"/>
  <c r="L28" i="41"/>
  <c r="K28" i="41"/>
  <c r="F40" i="15"/>
  <c r="F38" i="15"/>
  <c r="F37" i="15"/>
  <c r="F209" i="41" s="1"/>
  <c r="F34" i="15"/>
  <c r="F168" i="41" s="1"/>
  <c r="F32" i="15"/>
  <c r="F45" i="41" s="1"/>
  <c r="F31" i="15"/>
  <c r="F39" i="15"/>
  <c r="F36" i="15"/>
  <c r="F33" i="15"/>
  <c r="F88" i="41" s="1"/>
  <c r="E125" i="40" l="1"/>
  <c r="AK221" i="39"/>
  <c r="AJ221" i="39"/>
  <c r="AI221" i="39"/>
  <c r="AH221" i="39"/>
  <c r="AG221" i="39"/>
  <c r="AF221" i="39"/>
  <c r="AE221" i="39"/>
  <c r="AD221" i="39"/>
  <c r="AC221" i="39"/>
  <c r="AB221" i="39"/>
  <c r="AA221" i="39"/>
  <c r="Z221" i="39"/>
  <c r="Z222" i="39" s="1"/>
  <c r="Z223" i="39" s="1"/>
  <c r="Z224" i="39" s="1"/>
  <c r="Z225" i="39" s="1"/>
  <c r="Z226" i="39" s="1"/>
  <c r="Z227" i="39" s="1"/>
  <c r="Z228" i="39" s="1"/>
  <c r="Z229" i="39" s="1"/>
  <c r="Z230" i="39" s="1"/>
  <c r="AK220" i="39"/>
  <c r="AJ220" i="39"/>
  <c r="AI220" i="39"/>
  <c r="AH220" i="39"/>
  <c r="AG220" i="39"/>
  <c r="AF220" i="39"/>
  <c r="AE220" i="39"/>
  <c r="AD220" i="39"/>
  <c r="AC220" i="39"/>
  <c r="AB220" i="39"/>
  <c r="AA220" i="39"/>
  <c r="Z203" i="39"/>
  <c r="Z204" i="39" s="1"/>
  <c r="Z205" i="39" s="1"/>
  <c r="Z206" i="39" s="1"/>
  <c r="Z207" i="39" s="1"/>
  <c r="Z208" i="39" s="1"/>
  <c r="Z209" i="39" s="1"/>
  <c r="Z210" i="39" s="1"/>
  <c r="Z211" i="39" s="1"/>
  <c r="Z212" i="39" s="1"/>
  <c r="Z213" i="39" s="1"/>
  <c r="Z214" i="39" s="1"/>
  <c r="Z215" i="39" s="1"/>
  <c r="AK198" i="39"/>
  <c r="AJ198" i="39"/>
  <c r="AI198" i="39"/>
  <c r="AH198" i="39"/>
  <c r="AG198" i="39"/>
  <c r="AF198" i="39"/>
  <c r="AE198" i="39"/>
  <c r="AD198" i="39"/>
  <c r="AC198" i="39"/>
  <c r="AB198" i="39"/>
  <c r="AA198" i="39"/>
  <c r="Z198" i="39"/>
  <c r="AK195" i="39"/>
  <c r="AK215" i="39" s="1"/>
  <c r="AJ195" i="39"/>
  <c r="AJ215" i="39" s="1"/>
  <c r="AI195" i="39"/>
  <c r="AI215" i="39" s="1"/>
  <c r="AH195" i="39"/>
  <c r="AH215" i="39" s="1"/>
  <c r="AG195" i="39"/>
  <c r="AG215" i="39" s="1"/>
  <c r="AF195" i="39"/>
  <c r="AF215" i="39" s="1"/>
  <c r="AE195" i="39"/>
  <c r="AE215" i="39" s="1"/>
  <c r="AD195" i="39"/>
  <c r="AD215" i="39" s="1"/>
  <c r="AC195" i="39"/>
  <c r="AC215" i="39" s="1"/>
  <c r="AB195" i="39"/>
  <c r="AB215" i="39" s="1"/>
  <c r="AA195" i="39"/>
  <c r="AA215" i="39" s="1"/>
  <c r="AK194" i="39"/>
  <c r="AK214" i="39" s="1"/>
  <c r="AJ194" i="39"/>
  <c r="AJ214" i="39" s="1"/>
  <c r="AI194" i="39"/>
  <c r="AI214" i="39" s="1"/>
  <c r="AH194" i="39"/>
  <c r="AH214" i="39" s="1"/>
  <c r="AG194" i="39"/>
  <c r="AG214" i="39" s="1"/>
  <c r="AF194" i="39"/>
  <c r="AF214" i="39" s="1"/>
  <c r="AE194" i="39"/>
  <c r="AE214" i="39" s="1"/>
  <c r="AD194" i="39"/>
  <c r="AD214" i="39" s="1"/>
  <c r="AC194" i="39"/>
  <c r="AC214" i="39" s="1"/>
  <c r="AB194" i="39"/>
  <c r="AB214" i="39" s="1"/>
  <c r="AA194" i="39"/>
  <c r="AA214" i="39" s="1"/>
  <c r="AK193" i="39"/>
  <c r="AK213" i="39" s="1"/>
  <c r="AJ193" i="39"/>
  <c r="AJ213" i="39" s="1"/>
  <c r="AI193" i="39"/>
  <c r="AI213" i="39" s="1"/>
  <c r="AH193" i="39"/>
  <c r="AH213" i="39" s="1"/>
  <c r="AG193" i="39"/>
  <c r="AG213" i="39" s="1"/>
  <c r="AF193" i="39"/>
  <c r="AF213" i="39" s="1"/>
  <c r="AE193" i="39"/>
  <c r="AE213" i="39" s="1"/>
  <c r="AD193" i="39"/>
  <c r="AD213" i="39" s="1"/>
  <c r="AC193" i="39"/>
  <c r="AC213" i="39" s="1"/>
  <c r="AB193" i="39"/>
  <c r="AB213" i="39" s="1"/>
  <c r="AA193" i="39"/>
  <c r="AA213" i="39" s="1"/>
  <c r="AK192" i="39"/>
  <c r="AK212" i="39" s="1"/>
  <c r="AJ192" i="39"/>
  <c r="AJ212" i="39" s="1"/>
  <c r="AI192" i="39"/>
  <c r="AI212" i="39" s="1"/>
  <c r="AH192" i="39"/>
  <c r="AH212" i="39" s="1"/>
  <c r="AG192" i="39"/>
  <c r="AG212" i="39" s="1"/>
  <c r="AF192" i="39"/>
  <c r="AF212" i="39" s="1"/>
  <c r="AE192" i="39"/>
  <c r="AE212" i="39" s="1"/>
  <c r="AD192" i="39"/>
  <c r="AD212" i="39" s="1"/>
  <c r="AC192" i="39"/>
  <c r="AC212" i="39" s="1"/>
  <c r="AB192" i="39"/>
  <c r="AB212" i="39" s="1"/>
  <c r="AA192" i="39"/>
  <c r="AA212" i="39" s="1"/>
  <c r="AK191" i="39"/>
  <c r="AK211" i="39" s="1"/>
  <c r="AJ191" i="39"/>
  <c r="AJ211" i="39" s="1"/>
  <c r="AI191" i="39"/>
  <c r="AI211" i="39" s="1"/>
  <c r="AH191" i="39"/>
  <c r="AH211" i="39" s="1"/>
  <c r="AG191" i="39"/>
  <c r="AG211" i="39" s="1"/>
  <c r="AF191" i="39"/>
  <c r="AF211" i="39" s="1"/>
  <c r="AE191" i="39"/>
  <c r="AE211" i="39" s="1"/>
  <c r="AD191" i="39"/>
  <c r="AD211" i="39" s="1"/>
  <c r="AC191" i="39"/>
  <c r="AC211" i="39" s="1"/>
  <c r="AB191" i="39"/>
  <c r="AB211" i="39" s="1"/>
  <c r="AA191" i="39"/>
  <c r="AA211" i="39" s="1"/>
  <c r="AK190" i="39"/>
  <c r="AK210" i="39" s="1"/>
  <c r="AJ190" i="39"/>
  <c r="AJ210" i="39" s="1"/>
  <c r="AI190" i="39"/>
  <c r="AI210" i="39" s="1"/>
  <c r="AH190" i="39"/>
  <c r="AH210" i="39" s="1"/>
  <c r="AG190" i="39"/>
  <c r="AG210" i="39" s="1"/>
  <c r="AF190" i="39"/>
  <c r="AF210" i="39" s="1"/>
  <c r="AE190" i="39"/>
  <c r="AE210" i="39" s="1"/>
  <c r="AD190" i="39"/>
  <c r="AD210" i="39" s="1"/>
  <c r="AC190" i="39"/>
  <c r="AC210" i="39" s="1"/>
  <c r="AB190" i="39"/>
  <c r="AB210" i="39" s="1"/>
  <c r="AA190" i="39"/>
  <c r="AA210" i="39" s="1"/>
  <c r="AK189" i="39"/>
  <c r="AK209" i="39" s="1"/>
  <c r="AJ189" i="39"/>
  <c r="AJ209" i="39" s="1"/>
  <c r="AI189" i="39"/>
  <c r="AI209" i="39" s="1"/>
  <c r="AH189" i="39"/>
  <c r="AH209" i="39" s="1"/>
  <c r="AG189" i="39"/>
  <c r="AG209" i="39" s="1"/>
  <c r="AF189" i="39"/>
  <c r="AF209" i="39" s="1"/>
  <c r="AE189" i="39"/>
  <c r="AE209" i="39" s="1"/>
  <c r="AD189" i="39"/>
  <c r="AD209" i="39" s="1"/>
  <c r="AC189" i="39"/>
  <c r="AC209" i="39" s="1"/>
  <c r="AB189" i="39"/>
  <c r="AB209" i="39" s="1"/>
  <c r="AA189" i="39"/>
  <c r="AA209" i="39" s="1"/>
  <c r="AK188" i="39"/>
  <c r="AK208" i="39" s="1"/>
  <c r="AJ188" i="39"/>
  <c r="AJ208" i="39" s="1"/>
  <c r="AI188" i="39"/>
  <c r="AI208" i="39" s="1"/>
  <c r="AH188" i="39"/>
  <c r="AH208" i="39" s="1"/>
  <c r="AG188" i="39"/>
  <c r="AG208" i="39" s="1"/>
  <c r="AF188" i="39"/>
  <c r="AF208" i="39" s="1"/>
  <c r="AE188" i="39"/>
  <c r="AE208" i="39" s="1"/>
  <c r="AD188" i="39"/>
  <c r="AD208" i="39" s="1"/>
  <c r="AC188" i="39"/>
  <c r="AC208" i="39" s="1"/>
  <c r="AB188" i="39"/>
  <c r="AB208" i="39" s="1"/>
  <c r="AA188" i="39"/>
  <c r="AA208" i="39" s="1"/>
  <c r="AK187" i="39"/>
  <c r="AK207" i="39" s="1"/>
  <c r="AJ187" i="39"/>
  <c r="AJ207" i="39" s="1"/>
  <c r="AI187" i="39"/>
  <c r="AI207" i="39" s="1"/>
  <c r="AH187" i="39"/>
  <c r="AH207" i="39" s="1"/>
  <c r="AG187" i="39"/>
  <c r="AG207" i="39" s="1"/>
  <c r="AF187" i="39"/>
  <c r="AF207" i="39" s="1"/>
  <c r="AE187" i="39"/>
  <c r="AE207" i="39" s="1"/>
  <c r="AD187" i="39"/>
  <c r="AD207" i="39" s="1"/>
  <c r="AC187" i="39"/>
  <c r="AC207" i="39" s="1"/>
  <c r="AB187" i="39"/>
  <c r="AB207" i="39" s="1"/>
  <c r="AA187" i="39"/>
  <c r="AA207" i="39" s="1"/>
  <c r="AK186" i="39"/>
  <c r="AK206" i="39" s="1"/>
  <c r="AJ186" i="39"/>
  <c r="AJ206" i="39" s="1"/>
  <c r="AI186" i="39"/>
  <c r="AI206" i="39" s="1"/>
  <c r="AH186" i="39"/>
  <c r="AH206" i="39" s="1"/>
  <c r="AG186" i="39"/>
  <c r="AG206" i="39" s="1"/>
  <c r="AF186" i="39"/>
  <c r="AF206" i="39" s="1"/>
  <c r="AE186" i="39"/>
  <c r="AE206" i="39" s="1"/>
  <c r="AD186" i="39"/>
  <c r="AD206" i="39" s="1"/>
  <c r="AC186" i="39"/>
  <c r="AC206" i="39" s="1"/>
  <c r="AB186" i="39"/>
  <c r="AB206" i="39" s="1"/>
  <c r="AA186" i="39"/>
  <c r="AA206" i="39" s="1"/>
  <c r="AK185" i="39"/>
  <c r="AK205" i="39" s="1"/>
  <c r="AJ185" i="39"/>
  <c r="AJ205" i="39" s="1"/>
  <c r="AI185" i="39"/>
  <c r="AI205" i="39" s="1"/>
  <c r="AH185" i="39"/>
  <c r="AH205" i="39" s="1"/>
  <c r="AG185" i="39"/>
  <c r="AG205" i="39" s="1"/>
  <c r="AF185" i="39"/>
  <c r="AF205" i="39" s="1"/>
  <c r="AE185" i="39"/>
  <c r="AE205" i="39" s="1"/>
  <c r="AD185" i="39"/>
  <c r="AD205" i="39" s="1"/>
  <c r="AC185" i="39"/>
  <c r="AC205" i="39" s="1"/>
  <c r="AB185" i="39"/>
  <c r="AB205" i="39" s="1"/>
  <c r="AA185" i="39"/>
  <c r="AA205" i="39" s="1"/>
  <c r="AK184" i="39"/>
  <c r="AK204" i="39" s="1"/>
  <c r="AJ184" i="39"/>
  <c r="AJ204" i="39" s="1"/>
  <c r="AI184" i="39"/>
  <c r="AI204" i="39" s="1"/>
  <c r="AH184" i="39"/>
  <c r="AH204" i="39" s="1"/>
  <c r="AG184" i="39"/>
  <c r="AG204" i="39" s="1"/>
  <c r="AF184" i="39"/>
  <c r="AF204" i="39" s="1"/>
  <c r="AE184" i="39"/>
  <c r="AE204" i="39" s="1"/>
  <c r="AD184" i="39"/>
  <c r="AD204" i="39" s="1"/>
  <c r="AC184" i="39"/>
  <c r="AC204" i="39" s="1"/>
  <c r="AB184" i="39"/>
  <c r="AB204" i="39" s="1"/>
  <c r="AA184" i="39"/>
  <c r="AA204" i="39" s="1"/>
  <c r="Z183" i="39"/>
  <c r="Z184" i="39" s="1"/>
  <c r="Z185" i="39" s="1"/>
  <c r="Z186" i="39" s="1"/>
  <c r="Z187" i="39" s="1"/>
  <c r="Z188" i="39" s="1"/>
  <c r="Z189" i="39" s="1"/>
  <c r="Z190" i="39" s="1"/>
  <c r="Z191" i="39" s="1"/>
  <c r="Z192" i="39" s="1"/>
  <c r="Z193" i="39" s="1"/>
  <c r="Z194" i="39" s="1"/>
  <c r="Z195" i="39" s="1"/>
  <c r="AA181" i="39"/>
  <c r="AB181" i="39" s="1"/>
  <c r="AC181" i="39" s="1"/>
  <c r="AD181" i="39" s="1"/>
  <c r="AE181" i="39" s="1"/>
  <c r="AF181" i="39" s="1"/>
  <c r="AG181" i="39" s="1"/>
  <c r="AH181" i="39" s="1"/>
  <c r="AI181" i="39" s="1"/>
  <c r="AJ181" i="39" s="1"/>
  <c r="AK181" i="39" s="1"/>
  <c r="AK180" i="39"/>
  <c r="AJ180" i="39"/>
  <c r="AI180" i="39"/>
  <c r="AH180" i="39"/>
  <c r="AG180" i="39"/>
  <c r="AF180" i="39"/>
  <c r="AE180" i="39"/>
  <c r="AD180" i="39"/>
  <c r="AC180" i="39"/>
  <c r="AB180" i="39"/>
  <c r="AA180" i="39"/>
  <c r="Z165" i="39"/>
  <c r="Z166" i="39" s="1"/>
  <c r="Z167" i="39" s="1"/>
  <c r="Z168" i="39" s="1"/>
  <c r="Z169" i="39" s="1"/>
  <c r="Z170" i="39" s="1"/>
  <c r="Z171" i="39" s="1"/>
  <c r="Z172" i="39" s="1"/>
  <c r="Z173" i="39" s="1"/>
  <c r="Z174" i="39" s="1"/>
  <c r="Z175" i="39" s="1"/>
  <c r="Z176" i="39" s="1"/>
  <c r="Z177" i="39" s="1"/>
  <c r="AB163" i="39"/>
  <c r="AC163" i="39" s="1"/>
  <c r="AD163" i="39" s="1"/>
  <c r="AE163" i="39" s="1"/>
  <c r="AF163" i="39" s="1"/>
  <c r="AG163" i="39" s="1"/>
  <c r="AH163" i="39" s="1"/>
  <c r="AI163" i="39" s="1"/>
  <c r="AJ163" i="39" s="1"/>
  <c r="AK163" i="39" s="1"/>
  <c r="AA201" i="39" l="1"/>
  <c r="AB201" i="39" s="1"/>
  <c r="AC201" i="39" s="1"/>
  <c r="AD201" i="39" s="1"/>
  <c r="AE201" i="39" s="1"/>
  <c r="AF201" i="39" s="1"/>
  <c r="AG201" i="39" s="1"/>
  <c r="AH201" i="39" s="1"/>
  <c r="AI201" i="39" s="1"/>
  <c r="AJ201" i="39" s="1"/>
  <c r="AK201" i="39" s="1"/>
  <c r="AA218" i="39"/>
  <c r="AB218" i="39" s="1"/>
  <c r="AC218" i="39" s="1"/>
  <c r="AD218" i="39" s="1"/>
  <c r="AE218" i="39" s="1"/>
  <c r="AF218" i="39" s="1"/>
  <c r="AG218" i="39" s="1"/>
  <c r="AG227" i="39" s="1"/>
  <c r="AG225" i="39" l="1"/>
  <c r="AG228" i="39"/>
  <c r="AG229" i="39"/>
  <c r="AG230" i="39"/>
  <c r="AG226" i="39"/>
  <c r="AH218" i="39"/>
  <c r="AH228" i="39" s="1"/>
  <c r="AG224" i="39"/>
  <c r="AG222" i="39"/>
  <c r="AG223" i="39"/>
  <c r="AH223" i="39"/>
  <c r="AH230" i="39"/>
  <c r="AH224" i="39" l="1"/>
  <c r="AH226" i="39"/>
  <c r="AI218" i="39"/>
  <c r="AI230" i="39" s="1"/>
  <c r="AH222" i="39"/>
  <c r="AH229" i="39"/>
  <c r="AH227" i="39"/>
  <c r="AH225" i="39"/>
  <c r="AJ218" i="39"/>
  <c r="AI224" i="39"/>
  <c r="AI226" i="39"/>
  <c r="AI228" i="39"/>
  <c r="AI225" i="39"/>
  <c r="AI227" i="39"/>
  <c r="AI222" i="39"/>
  <c r="AI229" i="39" l="1"/>
  <c r="AI223" i="39"/>
  <c r="AJ228" i="39"/>
  <c r="AJ224" i="39"/>
  <c r="AJ226" i="39"/>
  <c r="AK218" i="39"/>
  <c r="AJ223" i="39"/>
  <c r="AJ230" i="39"/>
  <c r="AJ225" i="39"/>
  <c r="AJ222" i="39"/>
  <c r="AJ227" i="39"/>
  <c r="AJ229" i="39"/>
  <c r="AK226" i="39" l="1"/>
  <c r="AK228" i="39"/>
  <c r="AK224" i="39"/>
  <c r="AK230" i="39"/>
  <c r="AK223" i="39"/>
  <c r="AK227" i="39"/>
  <c r="AK222" i="39"/>
  <c r="AK229" i="39"/>
  <c r="AK225" i="39"/>
  <c r="B4" i="54"/>
  <c r="B5" i="54" s="1"/>
  <c r="B6" i="54" s="1"/>
  <c r="B7" i="54" s="1"/>
  <c r="B8" i="54" s="1"/>
  <c r="N258" i="11"/>
  <c r="O258" i="11" s="1"/>
  <c r="P258" i="11" s="1"/>
  <c r="Q258" i="11" s="1"/>
  <c r="R258" i="11" s="1"/>
  <c r="S258" i="11" s="1"/>
  <c r="T258" i="11" s="1"/>
  <c r="U258" i="11" s="1"/>
  <c r="V258" i="11" s="1"/>
  <c r="M257" i="11"/>
  <c r="N98" i="39" l="1"/>
  <c r="N118" i="39" s="1"/>
  <c r="N99" i="39"/>
  <c r="N119" i="39" s="1"/>
  <c r="N100" i="39"/>
  <c r="N120" i="39" s="1"/>
  <c r="N101" i="39"/>
  <c r="N121" i="39" s="1"/>
  <c r="N102" i="39"/>
  <c r="N122" i="39" s="1"/>
  <c r="N103" i="39"/>
  <c r="N123" i="39" s="1"/>
  <c r="N104" i="39"/>
  <c r="N124" i="39" s="1"/>
  <c r="N105" i="39"/>
  <c r="N125" i="39" s="1"/>
  <c r="N106" i="39"/>
  <c r="N126" i="39" s="1"/>
  <c r="N107" i="39"/>
  <c r="N127" i="39" s="1"/>
  <c r="N108" i="39"/>
  <c r="N128" i="39" s="1"/>
  <c r="N109" i="39"/>
  <c r="N129" i="39" s="1"/>
  <c r="N112" i="39"/>
  <c r="N134" i="39"/>
  <c r="N135" i="39"/>
  <c r="N152" i="39"/>
  <c r="N184" i="39"/>
  <c r="N204" i="39" s="1"/>
  <c r="N185" i="39"/>
  <c r="N205" i="39" s="1"/>
  <c r="N186" i="39"/>
  <c r="N206" i="39" s="1"/>
  <c r="N187" i="39"/>
  <c r="N207" i="39" s="1"/>
  <c r="N188" i="39"/>
  <c r="N208" i="39" s="1"/>
  <c r="N189" i="39"/>
  <c r="N209" i="39" s="1"/>
  <c r="N190" i="39"/>
  <c r="N210" i="39" s="1"/>
  <c r="N191" i="39"/>
  <c r="N211" i="39" s="1"/>
  <c r="N192" i="39"/>
  <c r="N212" i="39" s="1"/>
  <c r="N193" i="39"/>
  <c r="N213" i="39" s="1"/>
  <c r="N194" i="39"/>
  <c r="N214" i="39" s="1"/>
  <c r="N195" i="39"/>
  <c r="N215" i="39" s="1"/>
  <c r="N198" i="39"/>
  <c r="N220" i="39"/>
  <c r="N221" i="39"/>
  <c r="N238" i="39"/>
  <c r="L98" i="39"/>
  <c r="L118" i="39" s="1"/>
  <c r="M98" i="39"/>
  <c r="M118" i="39" s="1"/>
  <c r="L99" i="39"/>
  <c r="L119" i="39" s="1"/>
  <c r="M99" i="39"/>
  <c r="M119" i="39" s="1"/>
  <c r="L100" i="39"/>
  <c r="L120" i="39" s="1"/>
  <c r="M100" i="39"/>
  <c r="M120" i="39" s="1"/>
  <c r="L101" i="39"/>
  <c r="L121" i="39" s="1"/>
  <c r="M101" i="39"/>
  <c r="M121" i="39" s="1"/>
  <c r="L102" i="39"/>
  <c r="L122" i="39" s="1"/>
  <c r="M102" i="39"/>
  <c r="M122" i="39" s="1"/>
  <c r="L103" i="39"/>
  <c r="L123" i="39" s="1"/>
  <c r="M103" i="39"/>
  <c r="M123" i="39" s="1"/>
  <c r="L104" i="39"/>
  <c r="L124" i="39" s="1"/>
  <c r="M104" i="39"/>
  <c r="M124" i="39" s="1"/>
  <c r="L105" i="39"/>
  <c r="L125" i="39" s="1"/>
  <c r="M105" i="39"/>
  <c r="M125" i="39" s="1"/>
  <c r="L106" i="39"/>
  <c r="L126" i="39" s="1"/>
  <c r="M106" i="39"/>
  <c r="M126" i="39" s="1"/>
  <c r="L107" i="39"/>
  <c r="L127" i="39" s="1"/>
  <c r="M107" i="39"/>
  <c r="M127" i="39" s="1"/>
  <c r="L108" i="39"/>
  <c r="L128" i="39" s="1"/>
  <c r="M108" i="39"/>
  <c r="M128" i="39" s="1"/>
  <c r="L109" i="39"/>
  <c r="L129" i="39" s="1"/>
  <c r="M109" i="39"/>
  <c r="M129" i="39" s="1"/>
  <c r="L112" i="39"/>
  <c r="M112" i="39"/>
  <c r="L134" i="39"/>
  <c r="M134" i="39"/>
  <c r="L135" i="39"/>
  <c r="M135" i="39"/>
  <c r="L152" i="39"/>
  <c r="M152" i="39"/>
  <c r="L184" i="39"/>
  <c r="L204" i="39" s="1"/>
  <c r="M184" i="39"/>
  <c r="M204" i="39" s="1"/>
  <c r="L185" i="39"/>
  <c r="L205" i="39" s="1"/>
  <c r="M185" i="39"/>
  <c r="M205" i="39" s="1"/>
  <c r="L186" i="39"/>
  <c r="L206" i="39" s="1"/>
  <c r="M186" i="39"/>
  <c r="M206" i="39" s="1"/>
  <c r="L187" i="39"/>
  <c r="L207" i="39" s="1"/>
  <c r="M187" i="39"/>
  <c r="M207" i="39" s="1"/>
  <c r="L188" i="39"/>
  <c r="L208" i="39" s="1"/>
  <c r="M188" i="39"/>
  <c r="M208" i="39" s="1"/>
  <c r="L189" i="39"/>
  <c r="L209" i="39" s="1"/>
  <c r="M189" i="39"/>
  <c r="M209" i="39" s="1"/>
  <c r="L190" i="39"/>
  <c r="L210" i="39" s="1"/>
  <c r="M190" i="39"/>
  <c r="M210" i="39" s="1"/>
  <c r="L191" i="39"/>
  <c r="L211" i="39" s="1"/>
  <c r="M191" i="39"/>
  <c r="M211" i="39" s="1"/>
  <c r="L192" i="39"/>
  <c r="L212" i="39" s="1"/>
  <c r="M192" i="39"/>
  <c r="M212" i="39" s="1"/>
  <c r="L193" i="39"/>
  <c r="L213" i="39" s="1"/>
  <c r="M193" i="39"/>
  <c r="M213" i="39" s="1"/>
  <c r="L194" i="39"/>
  <c r="L214" i="39" s="1"/>
  <c r="M194" i="39"/>
  <c r="M214" i="39" s="1"/>
  <c r="L195" i="39"/>
  <c r="L215" i="39" s="1"/>
  <c r="M195" i="39"/>
  <c r="M215" i="39" s="1"/>
  <c r="L198" i="39"/>
  <c r="M198" i="39"/>
  <c r="L220" i="39"/>
  <c r="M220" i="39"/>
  <c r="L221" i="39"/>
  <c r="M221" i="39"/>
  <c r="L238" i="39"/>
  <c r="M238" i="39"/>
  <c r="Q180" i="39"/>
  <c r="R180" i="39"/>
  <c r="S180" i="39"/>
  <c r="T180" i="39"/>
  <c r="U180" i="39"/>
  <c r="V180" i="39"/>
  <c r="W180" i="39"/>
  <c r="X180" i="39"/>
  <c r="D181" i="39"/>
  <c r="D201" i="39" s="1"/>
  <c r="D218" i="39" s="1"/>
  <c r="O95" i="39"/>
  <c r="P95" i="39"/>
  <c r="Q95" i="39"/>
  <c r="D95" i="39"/>
  <c r="F6" i="39"/>
  <c r="M32" i="19" l="1"/>
  <c r="P1114" i="11"/>
  <c r="P1112" i="11"/>
  <c r="F226" i="11"/>
  <c r="N1102" i="11"/>
  <c r="N1114" i="11" s="1"/>
  <c r="M1102" i="11"/>
  <c r="M1114" i="11" s="1"/>
  <c r="O1102" i="11"/>
  <c r="N1109" i="11"/>
  <c r="R1173" i="6"/>
  <c r="R1175" i="6"/>
  <c r="S140" i="41"/>
  <c r="U140" i="41"/>
  <c r="T140" i="41"/>
  <c r="V19" i="6"/>
  <c r="W19" i="6"/>
  <c r="V24" i="6"/>
  <c r="W24" i="6"/>
  <c r="V496" i="6"/>
  <c r="W496" i="6"/>
  <c r="V543" i="6"/>
  <c r="W543" i="6"/>
  <c r="L553" i="6"/>
  <c r="K1275" i="6"/>
  <c r="K1276" i="6" s="1"/>
  <c r="M500" i="6" s="1"/>
  <c r="B135" i="40"/>
  <c r="B136" i="40" s="1"/>
  <c r="B137" i="40" s="1"/>
  <c r="B138" i="40" s="1"/>
  <c r="N500" i="6" l="1"/>
  <c r="M552" i="6"/>
  <c r="O1112" i="11"/>
  <c r="O1114" i="11"/>
  <c r="M1271" i="6"/>
  <c r="M1187" i="6"/>
  <c r="K1242" i="6"/>
  <c r="M1109" i="11" l="1"/>
  <c r="Q1109" i="11"/>
  <c r="R1109" i="11" s="1"/>
  <c r="S1109" i="11" s="1"/>
  <c r="T1109" i="11" s="1"/>
  <c r="U1109" i="11" s="1"/>
  <c r="V1109" i="11" s="1"/>
  <c r="E1152" i="11" l="1"/>
  <c r="I24" i="53" l="1"/>
  <c r="I25" i="53" s="1"/>
  <c r="I21" i="53"/>
  <c r="I22" i="53" s="1"/>
  <c r="D24" i="53"/>
  <c r="D23" i="53"/>
  <c r="E2" i="51"/>
  <c r="F2" i="51" s="1"/>
  <c r="G2" i="51" s="1"/>
  <c r="H2" i="51" s="1"/>
  <c r="I2" i="51" s="1"/>
  <c r="J2" i="51" s="1"/>
  <c r="K2" i="51" s="1"/>
  <c r="L2" i="51" s="1"/>
  <c r="M2" i="51" s="1"/>
  <c r="N2" i="51" s="1"/>
  <c r="J1242" i="6"/>
  <c r="F1096" i="11"/>
  <c r="L1246" i="6"/>
  <c r="U1173" i="6"/>
  <c r="V1173" i="6" s="1"/>
  <c r="U1175" i="6"/>
  <c r="V1175" i="6" s="1"/>
  <c r="W1175" i="6" s="1"/>
  <c r="L58" i="6"/>
  <c r="M58" i="6" s="1"/>
  <c r="N58" i="6" s="1"/>
  <c r="O58" i="6" s="1"/>
  <c r="P58" i="6" s="1"/>
  <c r="Q58" i="6" s="1"/>
  <c r="R58" i="6" s="1"/>
  <c r="S58" i="6" s="1"/>
  <c r="T58" i="6" s="1"/>
  <c r="U58" i="6" s="1"/>
  <c r="V58" i="6" s="1"/>
  <c r="G16" i="50"/>
  <c r="G15" i="50"/>
  <c r="F15" i="50"/>
  <c r="E15" i="50"/>
  <c r="G13" i="50"/>
  <c r="G12" i="50"/>
  <c r="F12" i="50"/>
  <c r="E12" i="50"/>
  <c r="F3" i="50"/>
  <c r="G3" i="50" s="1"/>
  <c r="H3" i="50" s="1"/>
  <c r="I3" i="50" s="1"/>
  <c r="J3" i="50" s="1"/>
  <c r="K3" i="50" s="1"/>
  <c r="L3" i="50" s="1"/>
  <c r="M3" i="50" s="1"/>
  <c r="N3" i="50" s="1"/>
  <c r="O3" i="50" s="1"/>
  <c r="F451" i="11"/>
  <c r="AG17" i="47"/>
  <c r="AF17" i="47"/>
  <c r="AE17" i="47"/>
  <c r="AD17" i="47"/>
  <c r="Q17" i="47"/>
  <c r="AG16" i="47"/>
  <c r="AF16" i="47"/>
  <c r="AE16" i="47"/>
  <c r="AF14" i="47"/>
  <c r="AE14" i="47"/>
  <c r="AD14" i="47"/>
  <c r="Q14" i="47"/>
  <c r="AH16" i="47" s="1"/>
  <c r="AD5" i="47"/>
  <c r="Q5" i="47"/>
  <c r="AH14" i="47"/>
  <c r="AG14" i="47"/>
  <c r="AE15" i="47"/>
  <c r="AF13" i="47"/>
  <c r="AE13" i="47"/>
  <c r="AD13" i="47"/>
  <c r="R12" i="47"/>
  <c r="S12" i="47" s="1"/>
  <c r="T12" i="47" s="1"/>
  <c r="U12" i="47" s="1"/>
  <c r="V12" i="47" s="1"/>
  <c r="W12" i="47" s="1"/>
  <c r="X12" i="47" s="1"/>
  <c r="Y12" i="47" s="1"/>
  <c r="Z12" i="47" s="1"/>
  <c r="Q8" i="47"/>
  <c r="R3" i="47"/>
  <c r="S3" i="47" s="1"/>
  <c r="T3" i="47" s="1"/>
  <c r="U3" i="47" s="1"/>
  <c r="V3" i="47" s="1"/>
  <c r="W3" i="47" s="1"/>
  <c r="X3" i="47" s="1"/>
  <c r="Y3" i="47" s="1"/>
  <c r="Z3" i="47" s="1"/>
  <c r="E11" i="49"/>
  <c r="F11" i="49" s="1"/>
  <c r="G11" i="49" s="1"/>
  <c r="H11" i="49" s="1"/>
  <c r="I11" i="49" s="1"/>
  <c r="J11" i="49" s="1"/>
  <c r="K11" i="49" s="1"/>
  <c r="L11" i="49" s="1"/>
  <c r="M11" i="49" s="1"/>
  <c r="N11" i="49" s="1"/>
  <c r="E2" i="49"/>
  <c r="F2" i="49" s="1"/>
  <c r="G2" i="49" s="1"/>
  <c r="H2" i="49" s="1"/>
  <c r="I2" i="49" s="1"/>
  <c r="J2" i="49" s="1"/>
  <c r="K2" i="49" s="1"/>
  <c r="L2" i="49" s="1"/>
  <c r="M2" i="49" s="1"/>
  <c r="N2" i="49" s="1"/>
  <c r="E45" i="47"/>
  <c r="E51" i="47"/>
  <c r="E52" i="47"/>
  <c r="B49" i="47"/>
  <c r="D49" i="47"/>
  <c r="E49" i="47"/>
  <c r="B50" i="47"/>
  <c r="B51" i="47"/>
  <c r="B52" i="47"/>
  <c r="B53" i="47"/>
  <c r="E46" i="47"/>
  <c r="B43" i="47"/>
  <c r="D43" i="47"/>
  <c r="E43" i="47"/>
  <c r="B44" i="47"/>
  <c r="B45" i="47"/>
  <c r="B46" i="47"/>
  <c r="B47" i="47"/>
  <c r="E53" i="40"/>
  <c r="D53" i="40"/>
  <c r="V397" i="48"/>
  <c r="U397" i="48"/>
  <c r="T397" i="48"/>
  <c r="S397" i="48"/>
  <c r="R397" i="48"/>
  <c r="Q397" i="48"/>
  <c r="P397" i="48"/>
  <c r="O397" i="48"/>
  <c r="N397" i="48"/>
  <c r="M397" i="48"/>
  <c r="L397" i="48"/>
  <c r="K397" i="48"/>
  <c r="J397" i="48"/>
  <c r="V323" i="48"/>
  <c r="V484" i="48" s="1"/>
  <c r="U323" i="48"/>
  <c r="U484" i="48" s="1"/>
  <c r="T323" i="48"/>
  <c r="T484" i="48" s="1"/>
  <c r="S323" i="48"/>
  <c r="S484" i="48" s="1"/>
  <c r="R323" i="48"/>
  <c r="R484" i="48" s="1"/>
  <c r="Q323" i="48"/>
  <c r="Q484" i="48" s="1"/>
  <c r="P323" i="48"/>
  <c r="P484" i="48" s="1"/>
  <c r="O323" i="48"/>
  <c r="O484" i="48" s="1"/>
  <c r="N323" i="48"/>
  <c r="N484" i="48" s="1"/>
  <c r="M323" i="48"/>
  <c r="M484" i="48" s="1"/>
  <c r="L323" i="48"/>
  <c r="L484" i="48" s="1"/>
  <c r="K323" i="48"/>
  <c r="K484" i="48" s="1"/>
  <c r="J323" i="48"/>
  <c r="K165" i="48"/>
  <c r="J165" i="48"/>
  <c r="K161" i="48"/>
  <c r="J161" i="48"/>
  <c r="I493" i="48"/>
  <c r="F482" i="48"/>
  <c r="I470" i="48"/>
  <c r="F459" i="48"/>
  <c r="V447" i="48"/>
  <c r="U447" i="48"/>
  <c r="T447" i="48"/>
  <c r="S447" i="48"/>
  <c r="R447" i="48"/>
  <c r="Q447" i="48"/>
  <c r="P447" i="48"/>
  <c r="O447" i="48"/>
  <c r="N447" i="48"/>
  <c r="M447" i="48"/>
  <c r="L447" i="48"/>
  <c r="K447" i="48"/>
  <c r="J447" i="48"/>
  <c r="I424" i="48"/>
  <c r="F413" i="48"/>
  <c r="I401" i="48"/>
  <c r="F390" i="48"/>
  <c r="I378" i="48"/>
  <c r="F367" i="48"/>
  <c r="I355" i="48"/>
  <c r="F344" i="48"/>
  <c r="I332" i="48"/>
  <c r="F321" i="48"/>
  <c r="I309" i="48"/>
  <c r="F298" i="48"/>
  <c r="I286" i="48"/>
  <c r="I277" i="48"/>
  <c r="F275" i="48"/>
  <c r="I263" i="48"/>
  <c r="F252" i="48"/>
  <c r="W257" i="48" s="1"/>
  <c r="I217" i="48"/>
  <c r="I208" i="48"/>
  <c r="F206" i="48"/>
  <c r="I194" i="48"/>
  <c r="F183" i="48"/>
  <c r="I171" i="48"/>
  <c r="I168" i="48"/>
  <c r="I162" i="48"/>
  <c r="F160" i="48"/>
  <c r="I142" i="48"/>
  <c r="F137" i="48"/>
  <c r="I119" i="48"/>
  <c r="F114" i="48"/>
  <c r="U54" i="48" s="1"/>
  <c r="F90" i="48"/>
  <c r="I78" i="48"/>
  <c r="I69" i="48"/>
  <c r="F67" i="48"/>
  <c r="L54" i="48"/>
  <c r="J54" i="48"/>
  <c r="I48" i="48"/>
  <c r="F43" i="48"/>
  <c r="I30" i="48"/>
  <c r="F19" i="48"/>
  <c r="I7" i="48"/>
  <c r="J6" i="48" s="1"/>
  <c r="J7" i="48" s="1"/>
  <c r="J9" i="48" s="1"/>
  <c r="M54" i="48" l="1"/>
  <c r="K54" i="48"/>
  <c r="V54" i="48"/>
  <c r="W58" i="6"/>
  <c r="O54" i="48"/>
  <c r="S54" i="48"/>
  <c r="N54" i="48"/>
  <c r="P54" i="48"/>
  <c r="Q54" i="48"/>
  <c r="AD15" i="47"/>
  <c r="R54" i="48"/>
  <c r="T54" i="48"/>
  <c r="W1173" i="6"/>
  <c r="I323" i="48"/>
  <c r="D50" i="40"/>
  <c r="J163" i="48"/>
  <c r="J178" i="48" s="1"/>
  <c r="E50" i="40"/>
  <c r="K163" i="48"/>
  <c r="K166" i="48" s="1"/>
  <c r="K169" i="48" s="1"/>
  <c r="J484" i="48"/>
  <c r="I484" i="48" s="1"/>
  <c r="J8" i="48"/>
  <c r="K6" i="48"/>
  <c r="K7" i="48" s="1"/>
  <c r="I447" i="48"/>
  <c r="D118" i="45"/>
  <c r="E116" i="45"/>
  <c r="E184" i="45" s="1"/>
  <c r="F115" i="45"/>
  <c r="K114" i="45"/>
  <c r="L114" i="45" s="1"/>
  <c r="M114" i="45" s="1"/>
  <c r="N114" i="45" s="1"/>
  <c r="F113" i="45"/>
  <c r="G113" i="45" s="1"/>
  <c r="H113" i="45" s="1"/>
  <c r="I113" i="45" s="1"/>
  <c r="J113" i="45" s="1"/>
  <c r="K113" i="45" s="1"/>
  <c r="L113" i="45" s="1"/>
  <c r="M113" i="45" s="1"/>
  <c r="N113" i="45" s="1"/>
  <c r="P543" i="6"/>
  <c r="Q543" i="6"/>
  <c r="R543" i="6"/>
  <c r="S543" i="6"/>
  <c r="T543" i="6"/>
  <c r="U543" i="6"/>
  <c r="O543" i="6"/>
  <c r="O540" i="6"/>
  <c r="P540" i="6" s="1"/>
  <c r="Q540" i="6" s="1"/>
  <c r="R540" i="6" s="1"/>
  <c r="S540" i="6" s="1"/>
  <c r="T540" i="6" s="1"/>
  <c r="U540" i="6" s="1"/>
  <c r="V540" i="6" s="1"/>
  <c r="W540" i="6" s="1"/>
  <c r="M534" i="6"/>
  <c r="N534" i="6"/>
  <c r="O534" i="6"/>
  <c r="Q534" i="6"/>
  <c r="R534" i="6"/>
  <c r="S534" i="6"/>
  <c r="T534" i="6" s="1"/>
  <c r="U534" i="6" s="1"/>
  <c r="V534" i="6" s="1"/>
  <c r="W534" i="6" s="1"/>
  <c r="D53" i="46"/>
  <c r="I54" i="48" l="1"/>
  <c r="K178" i="48"/>
  <c r="J166" i="48"/>
  <c r="G115" i="45"/>
  <c r="F116" i="45"/>
  <c r="E118" i="45"/>
  <c r="E119" i="45" s="1"/>
  <c r="E193" i="45" s="1"/>
  <c r="J430" i="48"/>
  <c r="J453" i="48"/>
  <c r="J476" i="48"/>
  <c r="J361" i="48"/>
  <c r="J499" i="48"/>
  <c r="J384" i="48"/>
  <c r="J338" i="48"/>
  <c r="J292" i="48"/>
  <c r="J84" i="48"/>
  <c r="J60" i="48"/>
  <c r="J131" i="48"/>
  <c r="J107" i="48"/>
  <c r="J407" i="48"/>
  <c r="J223" i="48"/>
  <c r="J246" i="48"/>
  <c r="J200" i="48"/>
  <c r="J269" i="48"/>
  <c r="J177" i="48"/>
  <c r="J315" i="48"/>
  <c r="J154" i="48"/>
  <c r="J36" i="48"/>
  <c r="K179" i="48"/>
  <c r="K172" i="48"/>
  <c r="K9" i="48"/>
  <c r="L6" i="48"/>
  <c r="L7" i="48" s="1"/>
  <c r="K8" i="48"/>
  <c r="D3" i="47"/>
  <c r="E3" i="47" s="1"/>
  <c r="F3" i="47" s="1"/>
  <c r="G3" i="47" s="1"/>
  <c r="H3" i="47" s="1"/>
  <c r="I3" i="47" s="1"/>
  <c r="J3" i="47" s="1"/>
  <c r="K3" i="47" s="1"/>
  <c r="L3" i="47" s="1"/>
  <c r="Z18" i="46"/>
  <c r="D20" i="46"/>
  <c r="D26" i="46"/>
  <c r="F99" i="45"/>
  <c r="G99" i="45"/>
  <c r="E99" i="45"/>
  <c r="E92" i="45"/>
  <c r="F92" i="45"/>
  <c r="G92" i="45"/>
  <c r="H92" i="45"/>
  <c r="I92" i="45"/>
  <c r="J92" i="45"/>
  <c r="K92" i="45"/>
  <c r="L92" i="45"/>
  <c r="M92" i="45"/>
  <c r="N92" i="45"/>
  <c r="F91" i="45"/>
  <c r="G91" i="45"/>
  <c r="H91" i="45"/>
  <c r="I91" i="45"/>
  <c r="J91" i="45"/>
  <c r="K91" i="45"/>
  <c r="L91" i="45"/>
  <c r="M91" i="45"/>
  <c r="N91" i="45"/>
  <c r="E91" i="45"/>
  <c r="F118" i="45" l="1"/>
  <c r="F184" i="45"/>
  <c r="F119" i="45"/>
  <c r="F193" i="45" s="1"/>
  <c r="J179" i="48"/>
  <c r="J169" i="48"/>
  <c r="J172" i="48" s="1"/>
  <c r="J174" i="48" s="1"/>
  <c r="J175" i="48" s="1"/>
  <c r="E93" i="45"/>
  <c r="C26" i="47" s="1"/>
  <c r="H115" i="45"/>
  <c r="G116" i="45"/>
  <c r="G184" i="45" s="1"/>
  <c r="E101" i="45"/>
  <c r="E166" i="45"/>
  <c r="E181" i="45" s="1"/>
  <c r="E95" i="45"/>
  <c r="E96" i="45" s="1"/>
  <c r="C29" i="47" s="1"/>
  <c r="L8" i="48"/>
  <c r="M6" i="48"/>
  <c r="M7" i="48" s="1"/>
  <c r="L9" i="48"/>
  <c r="K174" i="48"/>
  <c r="K175" i="48" s="1"/>
  <c r="K180" i="48" s="1"/>
  <c r="N93" i="45"/>
  <c r="N166" i="45" s="1"/>
  <c r="K430" i="48"/>
  <c r="K499" i="48"/>
  <c r="K384" i="48"/>
  <c r="K338" i="48"/>
  <c r="K315" i="48"/>
  <c r="K453" i="48"/>
  <c r="K292" i="48"/>
  <c r="K269" i="48"/>
  <c r="K246" i="48"/>
  <c r="K177" i="48"/>
  <c r="K476" i="48"/>
  <c r="K107" i="48"/>
  <c r="K407" i="48"/>
  <c r="K200" i="48"/>
  <c r="K84" i="48"/>
  <c r="K361" i="48"/>
  <c r="K131" i="48"/>
  <c r="K60" i="48"/>
  <c r="K154" i="48"/>
  <c r="K36" i="48"/>
  <c r="K223" i="48"/>
  <c r="K93" i="45"/>
  <c r="L93" i="45"/>
  <c r="J93" i="45"/>
  <c r="G93" i="45"/>
  <c r="F93" i="45"/>
  <c r="H93" i="45"/>
  <c r="I93" i="45"/>
  <c r="G26" i="47" s="1"/>
  <c r="M93" i="45"/>
  <c r="F445" i="11"/>
  <c r="F1385" i="11"/>
  <c r="K1383" i="11"/>
  <c r="K1385" i="11" s="1"/>
  <c r="K1387" i="11" s="1"/>
  <c r="J1383" i="11"/>
  <c r="J1385" i="11" s="1"/>
  <c r="L1381" i="11"/>
  <c r="N517" i="11"/>
  <c r="L517" i="11"/>
  <c r="M517" i="11" s="1"/>
  <c r="K405" i="6"/>
  <c r="I95" i="45" l="1"/>
  <c r="I96" i="45" s="1"/>
  <c r="G29" i="47" s="1"/>
  <c r="I166" i="45"/>
  <c r="L1383" i="11"/>
  <c r="L1385" i="11" s="1"/>
  <c r="M1381" i="11"/>
  <c r="M95" i="45"/>
  <c r="M96" i="45" s="1"/>
  <c r="K29" i="47" s="1"/>
  <c r="K26" i="47"/>
  <c r="H95" i="45"/>
  <c r="H96" i="45" s="1"/>
  <c r="F29" i="47" s="1"/>
  <c r="F26" i="47"/>
  <c r="F95" i="45"/>
  <c r="F96" i="45" s="1"/>
  <c r="D29" i="47" s="1"/>
  <c r="D30" i="47" s="1"/>
  <c r="D31" i="47" s="1"/>
  <c r="D26" i="47"/>
  <c r="G95" i="45"/>
  <c r="G96" i="45" s="1"/>
  <c r="E29" i="47" s="1"/>
  <c r="E30" i="47" s="1"/>
  <c r="E31" i="47" s="1"/>
  <c r="E26" i="47"/>
  <c r="J166" i="45"/>
  <c r="H26" i="47"/>
  <c r="L166" i="45"/>
  <c r="J26" i="47"/>
  <c r="K166" i="45"/>
  <c r="I26" i="47"/>
  <c r="N95" i="45"/>
  <c r="N96" i="45" s="1"/>
  <c r="L29" i="47" s="1"/>
  <c r="L26" i="47"/>
  <c r="G118" i="45"/>
  <c r="G119" i="45"/>
  <c r="G193" i="45" s="1"/>
  <c r="I115" i="45"/>
  <c r="H116" i="45"/>
  <c r="H184" i="45" s="1"/>
  <c r="E173" i="45"/>
  <c r="E190" i="45" s="1"/>
  <c r="E107" i="45"/>
  <c r="L476" i="48"/>
  <c r="L499" i="48"/>
  <c r="L430" i="48"/>
  <c r="L338" i="48"/>
  <c r="L315" i="48"/>
  <c r="L384" i="48"/>
  <c r="L292" i="48"/>
  <c r="L361" i="48"/>
  <c r="L200" i="48"/>
  <c r="L107" i="48"/>
  <c r="L407" i="48"/>
  <c r="L246" i="48"/>
  <c r="L131" i="48"/>
  <c r="L269" i="48"/>
  <c r="L453" i="48"/>
  <c r="L223" i="48"/>
  <c r="L84" i="48"/>
  <c r="L154" i="48"/>
  <c r="L36" i="48"/>
  <c r="L177" i="48"/>
  <c r="L60" i="48"/>
  <c r="L95" i="45"/>
  <c r="L96" i="45" s="1"/>
  <c r="J180" i="48"/>
  <c r="K95" i="45"/>
  <c r="K96" i="45" s="1"/>
  <c r="I29" i="47" s="1"/>
  <c r="M9" i="48"/>
  <c r="M8" i="48"/>
  <c r="N6" i="48"/>
  <c r="N7" i="48" s="1"/>
  <c r="F166" i="45"/>
  <c r="F101" i="45"/>
  <c r="G166" i="45"/>
  <c r="M166" i="45"/>
  <c r="H166" i="45"/>
  <c r="J95" i="45"/>
  <c r="J96" i="45" s="1"/>
  <c r="G101" i="45"/>
  <c r="I107" i="45" l="1"/>
  <c r="I173" i="45"/>
  <c r="N107" i="45"/>
  <c r="K107" i="45"/>
  <c r="F173" i="45"/>
  <c r="F190" i="45" s="1"/>
  <c r="M173" i="45"/>
  <c r="M107" i="45"/>
  <c r="H173" i="45"/>
  <c r="F107" i="45"/>
  <c r="H107" i="45"/>
  <c r="G107" i="45"/>
  <c r="N173" i="45"/>
  <c r="G173" i="45"/>
  <c r="G190" i="45" s="1"/>
  <c r="K173" i="45"/>
  <c r="J173" i="45"/>
  <c r="H29" i="47"/>
  <c r="L173" i="45"/>
  <c r="J29" i="47"/>
  <c r="H118" i="45"/>
  <c r="H119" i="45" s="1"/>
  <c r="H193" i="45" s="1"/>
  <c r="J115" i="45"/>
  <c r="I116" i="45"/>
  <c r="I184" i="45" s="1"/>
  <c r="M1383" i="11"/>
  <c r="M1385" i="11" s="1"/>
  <c r="N1381" i="11"/>
  <c r="N8" i="48"/>
  <c r="O6" i="48"/>
  <c r="O7" i="48" s="1"/>
  <c r="N9" i="48"/>
  <c r="M453" i="48"/>
  <c r="M384" i="48"/>
  <c r="M361" i="48"/>
  <c r="M476" i="48"/>
  <c r="M292" i="48"/>
  <c r="M338" i="48"/>
  <c r="M200" i="48"/>
  <c r="M84" i="48"/>
  <c r="M60" i="48"/>
  <c r="M315" i="48"/>
  <c r="M407" i="48"/>
  <c r="M269" i="48"/>
  <c r="M223" i="48"/>
  <c r="M131" i="48"/>
  <c r="M499" i="48"/>
  <c r="M430" i="48"/>
  <c r="M177" i="48"/>
  <c r="M154" i="48"/>
  <c r="M36" i="48"/>
  <c r="M246" i="48"/>
  <c r="M107" i="48"/>
  <c r="L107" i="45"/>
  <c r="J107" i="45"/>
  <c r="F163" i="45"/>
  <c r="G163" i="45" s="1"/>
  <c r="H163" i="45" s="1"/>
  <c r="I163" i="45" s="1"/>
  <c r="J163" i="45" s="1"/>
  <c r="K163" i="45" s="1"/>
  <c r="L163" i="45" s="1"/>
  <c r="M163" i="45" s="1"/>
  <c r="N163" i="45" s="1"/>
  <c r="H238" i="39"/>
  <c r="I238" i="39"/>
  <c r="J238" i="39"/>
  <c r="K238" i="39"/>
  <c r="G238" i="39"/>
  <c r="F238" i="39"/>
  <c r="E238" i="39"/>
  <c r="N1383" i="11" l="1"/>
  <c r="N1385" i="11" s="1"/>
  <c r="O1381" i="11"/>
  <c r="I118" i="45"/>
  <c r="I119" i="45" s="1"/>
  <c r="I193" i="45" s="1"/>
  <c r="K115" i="45"/>
  <c r="J116" i="45"/>
  <c r="J184" i="45" s="1"/>
  <c r="O8" i="48"/>
  <c r="P6" i="48"/>
  <c r="P7" i="48" s="1"/>
  <c r="O9" i="48"/>
  <c r="N453" i="48"/>
  <c r="N499" i="48"/>
  <c r="N384" i="48"/>
  <c r="N430" i="48"/>
  <c r="N338" i="48"/>
  <c r="N361" i="48"/>
  <c r="N476" i="48"/>
  <c r="N315" i="48"/>
  <c r="N292" i="48"/>
  <c r="N200" i="48"/>
  <c r="N84" i="48"/>
  <c r="N60" i="48"/>
  <c r="N269" i="48"/>
  <c r="N223" i="48"/>
  <c r="N154" i="48"/>
  <c r="N407" i="48"/>
  <c r="N177" i="48"/>
  <c r="N36" i="48"/>
  <c r="N131" i="48"/>
  <c r="N246" i="48"/>
  <c r="N107" i="48"/>
  <c r="K18" i="21"/>
  <c r="L18" i="21" s="1"/>
  <c r="M18" i="21" s="1"/>
  <c r="N18" i="21" s="1"/>
  <c r="O18" i="21" s="1"/>
  <c r="P18" i="21" s="1"/>
  <c r="Q18" i="21" s="1"/>
  <c r="R18" i="21" s="1"/>
  <c r="J118" i="45" l="1"/>
  <c r="J119" i="45" s="1"/>
  <c r="J193" i="45" s="1"/>
  <c r="L115" i="45"/>
  <c r="K116" i="45"/>
  <c r="K184" i="45" s="1"/>
  <c r="O1383" i="11"/>
  <c r="O1385" i="11" s="1"/>
  <c r="P1381" i="11"/>
  <c r="P8" i="48"/>
  <c r="P9" i="48"/>
  <c r="Q6" i="48"/>
  <c r="Q7" i="48" s="1"/>
  <c r="O453" i="48"/>
  <c r="O476" i="48"/>
  <c r="O499" i="48"/>
  <c r="O430" i="48"/>
  <c r="O384" i="48"/>
  <c r="O315" i="48"/>
  <c r="O338" i="48"/>
  <c r="O84" i="48"/>
  <c r="O60" i="48"/>
  <c r="O361" i="48"/>
  <c r="O107" i="48"/>
  <c r="O269" i="48"/>
  <c r="O223" i="48"/>
  <c r="O246" i="48"/>
  <c r="O407" i="48"/>
  <c r="O292" i="48"/>
  <c r="O36" i="48"/>
  <c r="O154" i="48"/>
  <c r="O131" i="48"/>
  <c r="O200" i="48"/>
  <c r="O177" i="48"/>
  <c r="K19" i="21"/>
  <c r="L19" i="21" s="1"/>
  <c r="M19" i="21" s="1"/>
  <c r="N19" i="21" s="1"/>
  <c r="O19" i="21" s="1"/>
  <c r="P19" i="21" s="1"/>
  <c r="Q19" i="21" s="1"/>
  <c r="R19" i="21" s="1"/>
  <c r="X221" i="39"/>
  <c r="W221" i="39"/>
  <c r="V221" i="39"/>
  <c r="U221" i="39"/>
  <c r="P221" i="39"/>
  <c r="P222" i="39" s="1"/>
  <c r="P223" i="39" s="1"/>
  <c r="P224" i="39" s="1"/>
  <c r="P225" i="39" s="1"/>
  <c r="P226" i="39" s="1"/>
  <c r="P227" i="39" s="1"/>
  <c r="P228" i="39" s="1"/>
  <c r="P229" i="39" s="1"/>
  <c r="P230" i="39" s="1"/>
  <c r="P231" i="39" s="1"/>
  <c r="P232" i="39" s="1"/>
  <c r="P233" i="39" s="1"/>
  <c r="K221" i="39"/>
  <c r="J221" i="39"/>
  <c r="I221" i="39"/>
  <c r="C221" i="39"/>
  <c r="C222" i="39" s="1"/>
  <c r="C223" i="39" s="1"/>
  <c r="C224" i="39" s="1"/>
  <c r="C225" i="39" s="1"/>
  <c r="C226" i="39" s="1"/>
  <c r="C227" i="39" s="1"/>
  <c r="C228" i="39" s="1"/>
  <c r="C229" i="39" s="1"/>
  <c r="C230" i="39" s="1"/>
  <c r="C231" i="39" s="1"/>
  <c r="C232" i="39" s="1"/>
  <c r="C233" i="39" s="1"/>
  <c r="X220" i="39"/>
  <c r="W220" i="39"/>
  <c r="V220" i="39"/>
  <c r="U220" i="39"/>
  <c r="K220" i="39"/>
  <c r="J220" i="39"/>
  <c r="I220" i="39"/>
  <c r="R218" i="39"/>
  <c r="S218" i="39" s="1"/>
  <c r="T218" i="39" s="1"/>
  <c r="U218" i="39" s="1"/>
  <c r="V218" i="39" s="1"/>
  <c r="W218" i="39" s="1"/>
  <c r="X218" i="39" s="1"/>
  <c r="E218" i="39"/>
  <c r="Q217" i="39"/>
  <c r="P217" i="39"/>
  <c r="O217" i="39"/>
  <c r="P203" i="39"/>
  <c r="C203" i="39"/>
  <c r="C204" i="39" s="1"/>
  <c r="C205" i="39" s="1"/>
  <c r="C206" i="39" s="1"/>
  <c r="C207" i="39" s="1"/>
  <c r="C208" i="39" s="1"/>
  <c r="C209" i="39" s="1"/>
  <c r="C210" i="39" s="1"/>
  <c r="C211" i="39" s="1"/>
  <c r="C212" i="39" s="1"/>
  <c r="C213" i="39" s="1"/>
  <c r="C214" i="39" s="1"/>
  <c r="C215" i="39" s="1"/>
  <c r="R201" i="39"/>
  <c r="S201" i="39" s="1"/>
  <c r="T201" i="39" s="1"/>
  <c r="U201" i="39" s="1"/>
  <c r="V201" i="39" s="1"/>
  <c r="W201" i="39" s="1"/>
  <c r="X201" i="39" s="1"/>
  <c r="E201" i="39"/>
  <c r="F201" i="39" s="1"/>
  <c r="G201" i="39" s="1"/>
  <c r="H201" i="39" s="1"/>
  <c r="I201" i="39" s="1"/>
  <c r="J201" i="39" s="1"/>
  <c r="K201" i="39" s="1"/>
  <c r="L201" i="39" s="1"/>
  <c r="K198" i="39"/>
  <c r="J198" i="39"/>
  <c r="I198" i="39"/>
  <c r="H198" i="39"/>
  <c r="G198" i="39"/>
  <c r="F198" i="39"/>
  <c r="E198" i="39"/>
  <c r="D198" i="39"/>
  <c r="C198" i="39"/>
  <c r="X195" i="39"/>
  <c r="W195" i="39"/>
  <c r="V195" i="39"/>
  <c r="U195" i="39"/>
  <c r="T195" i="39"/>
  <c r="S195" i="39"/>
  <c r="R195" i="39"/>
  <c r="Q195" i="39"/>
  <c r="O195" i="39"/>
  <c r="K195" i="39"/>
  <c r="K215" i="39" s="1"/>
  <c r="J195" i="39"/>
  <c r="J215" i="39" s="1"/>
  <c r="I195" i="39"/>
  <c r="I215" i="39" s="1"/>
  <c r="H195" i="39"/>
  <c r="H215" i="39" s="1"/>
  <c r="G195" i="39"/>
  <c r="G215" i="39" s="1"/>
  <c r="F195" i="39"/>
  <c r="F215" i="39" s="1"/>
  <c r="E195" i="39"/>
  <c r="E215" i="39" s="1"/>
  <c r="D195" i="39"/>
  <c r="D215" i="39" s="1"/>
  <c r="X194" i="39"/>
  <c r="X215" i="39" s="1"/>
  <c r="W194" i="39"/>
  <c r="W215" i="39" s="1"/>
  <c r="V194" i="39"/>
  <c r="V215" i="39" s="1"/>
  <c r="U194" i="39"/>
  <c r="U215" i="39" s="1"/>
  <c r="T194" i="39"/>
  <c r="T215" i="39" s="1"/>
  <c r="S194" i="39"/>
  <c r="S215" i="39" s="1"/>
  <c r="R194" i="39"/>
  <c r="R215" i="39" s="1"/>
  <c r="Q194" i="39"/>
  <c r="Q215" i="39" s="1"/>
  <c r="O194" i="39"/>
  <c r="O215" i="39" s="1"/>
  <c r="K194" i="39"/>
  <c r="K214" i="39" s="1"/>
  <c r="J194" i="39"/>
  <c r="J214" i="39" s="1"/>
  <c r="I194" i="39"/>
  <c r="I214" i="39" s="1"/>
  <c r="H194" i="39"/>
  <c r="H214" i="39" s="1"/>
  <c r="G194" i="39"/>
  <c r="G214" i="39" s="1"/>
  <c r="F194" i="39"/>
  <c r="F214" i="39" s="1"/>
  <c r="E194" i="39"/>
  <c r="E214" i="39" s="1"/>
  <c r="D194" i="39"/>
  <c r="D214" i="39" s="1"/>
  <c r="X193" i="39"/>
  <c r="X214" i="39" s="1"/>
  <c r="W193" i="39"/>
  <c r="W214" i="39" s="1"/>
  <c r="V193" i="39"/>
  <c r="V214" i="39" s="1"/>
  <c r="U193" i="39"/>
  <c r="U214" i="39" s="1"/>
  <c r="T193" i="39"/>
  <c r="T214" i="39" s="1"/>
  <c r="S193" i="39"/>
  <c r="S214" i="39" s="1"/>
  <c r="R193" i="39"/>
  <c r="R214" i="39" s="1"/>
  <c r="Q193" i="39"/>
  <c r="Q214" i="39" s="1"/>
  <c r="O193" i="39"/>
  <c r="O214" i="39" s="1"/>
  <c r="K193" i="39"/>
  <c r="K213" i="39" s="1"/>
  <c r="J193" i="39"/>
  <c r="J213" i="39" s="1"/>
  <c r="I193" i="39"/>
  <c r="I213" i="39" s="1"/>
  <c r="H193" i="39"/>
  <c r="H213" i="39" s="1"/>
  <c r="G193" i="39"/>
  <c r="G213" i="39" s="1"/>
  <c r="F193" i="39"/>
  <c r="F213" i="39" s="1"/>
  <c r="E193" i="39"/>
  <c r="E213" i="39" s="1"/>
  <c r="D193" i="39"/>
  <c r="D213" i="39" s="1"/>
  <c r="X192" i="39"/>
  <c r="X213" i="39" s="1"/>
  <c r="W192" i="39"/>
  <c r="W213" i="39" s="1"/>
  <c r="V192" i="39"/>
  <c r="V213" i="39" s="1"/>
  <c r="U192" i="39"/>
  <c r="U213" i="39" s="1"/>
  <c r="T192" i="39"/>
  <c r="T213" i="39" s="1"/>
  <c r="S192" i="39"/>
  <c r="S213" i="39" s="1"/>
  <c r="R192" i="39"/>
  <c r="R213" i="39" s="1"/>
  <c r="Q192" i="39"/>
  <c r="Q213" i="39" s="1"/>
  <c r="O192" i="39"/>
  <c r="O213" i="39" s="1"/>
  <c r="K192" i="39"/>
  <c r="K212" i="39" s="1"/>
  <c r="J192" i="39"/>
  <c r="J212" i="39" s="1"/>
  <c r="I192" i="39"/>
  <c r="I212" i="39" s="1"/>
  <c r="H192" i="39"/>
  <c r="H212" i="39" s="1"/>
  <c r="G192" i="39"/>
  <c r="G212" i="39" s="1"/>
  <c r="F192" i="39"/>
  <c r="F212" i="39" s="1"/>
  <c r="E192" i="39"/>
  <c r="E212" i="39" s="1"/>
  <c r="D192" i="39"/>
  <c r="D212" i="39" s="1"/>
  <c r="X191" i="39"/>
  <c r="X212" i="39" s="1"/>
  <c r="W191" i="39"/>
  <c r="W212" i="39" s="1"/>
  <c r="V191" i="39"/>
  <c r="V212" i="39" s="1"/>
  <c r="U191" i="39"/>
  <c r="U212" i="39" s="1"/>
  <c r="T191" i="39"/>
  <c r="T212" i="39" s="1"/>
  <c r="S191" i="39"/>
  <c r="S212" i="39" s="1"/>
  <c r="R191" i="39"/>
  <c r="R212" i="39" s="1"/>
  <c r="Q191" i="39"/>
  <c r="Q212" i="39" s="1"/>
  <c r="O191" i="39"/>
  <c r="O212" i="39" s="1"/>
  <c r="K191" i="39"/>
  <c r="K211" i="39" s="1"/>
  <c r="J191" i="39"/>
  <c r="J211" i="39" s="1"/>
  <c r="I191" i="39"/>
  <c r="I211" i="39" s="1"/>
  <c r="H191" i="39"/>
  <c r="H211" i="39" s="1"/>
  <c r="G191" i="39"/>
  <c r="G211" i="39" s="1"/>
  <c r="F191" i="39"/>
  <c r="F211" i="39" s="1"/>
  <c r="E191" i="39"/>
  <c r="E211" i="39" s="1"/>
  <c r="D191" i="39"/>
  <c r="D211" i="39" s="1"/>
  <c r="X190" i="39"/>
  <c r="X211" i="39" s="1"/>
  <c r="W190" i="39"/>
  <c r="W211" i="39" s="1"/>
  <c r="V190" i="39"/>
  <c r="V211" i="39" s="1"/>
  <c r="U190" i="39"/>
  <c r="U211" i="39" s="1"/>
  <c r="T190" i="39"/>
  <c r="T211" i="39" s="1"/>
  <c r="S190" i="39"/>
  <c r="S211" i="39" s="1"/>
  <c r="R190" i="39"/>
  <c r="R211" i="39" s="1"/>
  <c r="Q190" i="39"/>
  <c r="Q211" i="39" s="1"/>
  <c r="O190" i="39"/>
  <c r="O211" i="39" s="1"/>
  <c r="K190" i="39"/>
  <c r="K210" i="39" s="1"/>
  <c r="J190" i="39"/>
  <c r="J210" i="39" s="1"/>
  <c r="I190" i="39"/>
  <c r="I210" i="39" s="1"/>
  <c r="H190" i="39"/>
  <c r="H210" i="39" s="1"/>
  <c r="G190" i="39"/>
  <c r="G210" i="39" s="1"/>
  <c r="F190" i="39"/>
  <c r="F210" i="39" s="1"/>
  <c r="E190" i="39"/>
  <c r="E210" i="39" s="1"/>
  <c r="D190" i="39"/>
  <c r="D210" i="39" s="1"/>
  <c r="X189" i="39"/>
  <c r="X210" i="39" s="1"/>
  <c r="W189" i="39"/>
  <c r="W210" i="39" s="1"/>
  <c r="V189" i="39"/>
  <c r="V210" i="39" s="1"/>
  <c r="U189" i="39"/>
  <c r="U210" i="39" s="1"/>
  <c r="T189" i="39"/>
  <c r="T210" i="39" s="1"/>
  <c r="S189" i="39"/>
  <c r="S210" i="39" s="1"/>
  <c r="R189" i="39"/>
  <c r="R210" i="39" s="1"/>
  <c r="Q189" i="39"/>
  <c r="Q210" i="39" s="1"/>
  <c r="O189" i="39"/>
  <c r="O210" i="39" s="1"/>
  <c r="K189" i="39"/>
  <c r="K209" i="39" s="1"/>
  <c r="J189" i="39"/>
  <c r="J209" i="39" s="1"/>
  <c r="I189" i="39"/>
  <c r="I209" i="39" s="1"/>
  <c r="H189" i="39"/>
  <c r="H209" i="39" s="1"/>
  <c r="G189" i="39"/>
  <c r="G209" i="39" s="1"/>
  <c r="F189" i="39"/>
  <c r="F209" i="39" s="1"/>
  <c r="E189" i="39"/>
  <c r="E209" i="39" s="1"/>
  <c r="D189" i="39"/>
  <c r="D209" i="39" s="1"/>
  <c r="X188" i="39"/>
  <c r="X209" i="39" s="1"/>
  <c r="W188" i="39"/>
  <c r="W209" i="39" s="1"/>
  <c r="V188" i="39"/>
  <c r="V209" i="39" s="1"/>
  <c r="U188" i="39"/>
  <c r="U209" i="39" s="1"/>
  <c r="T188" i="39"/>
  <c r="T209" i="39" s="1"/>
  <c r="S188" i="39"/>
  <c r="S209" i="39" s="1"/>
  <c r="R188" i="39"/>
  <c r="R209" i="39" s="1"/>
  <c r="Q188" i="39"/>
  <c r="Q209" i="39" s="1"/>
  <c r="O188" i="39"/>
  <c r="O209" i="39" s="1"/>
  <c r="K188" i="39"/>
  <c r="K208" i="39" s="1"/>
  <c r="J188" i="39"/>
  <c r="J208" i="39" s="1"/>
  <c r="I188" i="39"/>
  <c r="I208" i="39" s="1"/>
  <c r="H188" i="39"/>
  <c r="H208" i="39" s="1"/>
  <c r="G188" i="39"/>
  <c r="G208" i="39" s="1"/>
  <c r="F188" i="39"/>
  <c r="F208" i="39" s="1"/>
  <c r="E188" i="39"/>
  <c r="E208" i="39" s="1"/>
  <c r="D188" i="39"/>
  <c r="D208" i="39" s="1"/>
  <c r="X187" i="39"/>
  <c r="X208" i="39" s="1"/>
  <c r="W187" i="39"/>
  <c r="W208" i="39" s="1"/>
  <c r="V187" i="39"/>
  <c r="V208" i="39" s="1"/>
  <c r="U187" i="39"/>
  <c r="U208" i="39" s="1"/>
  <c r="T187" i="39"/>
  <c r="T208" i="39" s="1"/>
  <c r="S187" i="39"/>
  <c r="S208" i="39" s="1"/>
  <c r="R187" i="39"/>
  <c r="R208" i="39" s="1"/>
  <c r="Q187" i="39"/>
  <c r="Q208" i="39" s="1"/>
  <c r="O187" i="39"/>
  <c r="O208" i="39" s="1"/>
  <c r="K187" i="39"/>
  <c r="K207" i="39" s="1"/>
  <c r="J187" i="39"/>
  <c r="J207" i="39" s="1"/>
  <c r="I187" i="39"/>
  <c r="I207" i="39" s="1"/>
  <c r="H187" i="39"/>
  <c r="H207" i="39" s="1"/>
  <c r="G187" i="39"/>
  <c r="G207" i="39" s="1"/>
  <c r="F187" i="39"/>
  <c r="F207" i="39" s="1"/>
  <c r="E187" i="39"/>
  <c r="E207" i="39" s="1"/>
  <c r="D187" i="39"/>
  <c r="D207" i="39" s="1"/>
  <c r="X186" i="39"/>
  <c r="X207" i="39" s="1"/>
  <c r="W186" i="39"/>
  <c r="W207" i="39" s="1"/>
  <c r="V186" i="39"/>
  <c r="V207" i="39" s="1"/>
  <c r="U186" i="39"/>
  <c r="U207" i="39" s="1"/>
  <c r="T186" i="39"/>
  <c r="T207" i="39" s="1"/>
  <c r="S186" i="39"/>
  <c r="S207" i="39" s="1"/>
  <c r="R186" i="39"/>
  <c r="R207" i="39" s="1"/>
  <c r="Q186" i="39"/>
  <c r="Q207" i="39" s="1"/>
  <c r="O186" i="39"/>
  <c r="O207" i="39" s="1"/>
  <c r="K186" i="39"/>
  <c r="K206" i="39" s="1"/>
  <c r="J186" i="39"/>
  <c r="J206" i="39" s="1"/>
  <c r="I186" i="39"/>
  <c r="I206" i="39" s="1"/>
  <c r="H186" i="39"/>
  <c r="H206" i="39" s="1"/>
  <c r="G186" i="39"/>
  <c r="G206" i="39" s="1"/>
  <c r="F186" i="39"/>
  <c r="F206" i="39" s="1"/>
  <c r="E186" i="39"/>
  <c r="E206" i="39" s="1"/>
  <c r="D186" i="39"/>
  <c r="D206" i="39" s="1"/>
  <c r="X185" i="39"/>
  <c r="X206" i="39" s="1"/>
  <c r="W185" i="39"/>
  <c r="W206" i="39" s="1"/>
  <c r="V185" i="39"/>
  <c r="V206" i="39" s="1"/>
  <c r="U185" i="39"/>
  <c r="U206" i="39" s="1"/>
  <c r="T185" i="39"/>
  <c r="T206" i="39" s="1"/>
  <c r="S185" i="39"/>
  <c r="S206" i="39" s="1"/>
  <c r="R185" i="39"/>
  <c r="R206" i="39" s="1"/>
  <c r="Q185" i="39"/>
  <c r="Q206" i="39" s="1"/>
  <c r="O185" i="39"/>
  <c r="O206" i="39" s="1"/>
  <c r="K185" i="39"/>
  <c r="K205" i="39" s="1"/>
  <c r="J185" i="39"/>
  <c r="J205" i="39" s="1"/>
  <c r="I185" i="39"/>
  <c r="I205" i="39" s="1"/>
  <c r="H185" i="39"/>
  <c r="H205" i="39" s="1"/>
  <c r="G185" i="39"/>
  <c r="G205" i="39" s="1"/>
  <c r="F185" i="39"/>
  <c r="F205" i="39" s="1"/>
  <c r="E185" i="39"/>
  <c r="E205" i="39" s="1"/>
  <c r="D185" i="39"/>
  <c r="D205" i="39" s="1"/>
  <c r="X184" i="39"/>
  <c r="X204" i="39" s="1"/>
  <c r="W184" i="39"/>
  <c r="W205" i="39" s="1"/>
  <c r="V184" i="39"/>
  <c r="U184" i="39"/>
  <c r="T184" i="39"/>
  <c r="T204" i="39" s="1"/>
  <c r="S184" i="39"/>
  <c r="S204" i="39" s="1"/>
  <c r="R184" i="39"/>
  <c r="Q184" i="39"/>
  <c r="O184" i="39"/>
  <c r="K184" i="39"/>
  <c r="K204" i="39" s="1"/>
  <c r="J184" i="39"/>
  <c r="J204" i="39" s="1"/>
  <c r="I184" i="39"/>
  <c r="I204" i="39" s="1"/>
  <c r="H184" i="39"/>
  <c r="H204" i="39" s="1"/>
  <c r="G184" i="39"/>
  <c r="G204" i="39" s="1"/>
  <c r="F184" i="39"/>
  <c r="F204" i="39" s="1"/>
  <c r="E184" i="39"/>
  <c r="E204" i="39" s="1"/>
  <c r="D184" i="39"/>
  <c r="D204" i="39" s="1"/>
  <c r="P183" i="39"/>
  <c r="C183" i="39"/>
  <c r="C184" i="39" s="1"/>
  <c r="C185" i="39" s="1"/>
  <c r="C186" i="39" s="1"/>
  <c r="C187" i="39" s="1"/>
  <c r="C188" i="39" s="1"/>
  <c r="C189" i="39" s="1"/>
  <c r="C190" i="39" s="1"/>
  <c r="C191" i="39" s="1"/>
  <c r="C192" i="39" s="1"/>
  <c r="C193" i="39" s="1"/>
  <c r="C194" i="39" s="1"/>
  <c r="C195" i="39" s="1"/>
  <c r="R181" i="39"/>
  <c r="S181" i="39" s="1"/>
  <c r="T181" i="39" s="1"/>
  <c r="U181" i="39" s="1"/>
  <c r="V181" i="39" s="1"/>
  <c r="W181" i="39" s="1"/>
  <c r="X181" i="39" s="1"/>
  <c r="E181" i="39"/>
  <c r="F181" i="39" s="1"/>
  <c r="G181" i="39" s="1"/>
  <c r="H181" i="39" s="1"/>
  <c r="I181" i="39" s="1"/>
  <c r="J181" i="39" s="1"/>
  <c r="K181" i="39" s="1"/>
  <c r="L181" i="39" s="1"/>
  <c r="P165" i="39"/>
  <c r="P166" i="39" s="1"/>
  <c r="C165" i="39"/>
  <c r="C166" i="39" s="1"/>
  <c r="C167" i="39" s="1"/>
  <c r="C168" i="39" s="1"/>
  <c r="C169" i="39" s="1"/>
  <c r="C170" i="39" s="1"/>
  <c r="C171" i="39" s="1"/>
  <c r="C172" i="39" s="1"/>
  <c r="C173" i="39" s="1"/>
  <c r="C174" i="39" s="1"/>
  <c r="C175" i="39" s="1"/>
  <c r="C176" i="39" s="1"/>
  <c r="C177" i="39" s="1"/>
  <c r="R163" i="39"/>
  <c r="S163" i="39" s="1"/>
  <c r="T163" i="39" s="1"/>
  <c r="U163" i="39" s="1"/>
  <c r="V163" i="39" s="1"/>
  <c r="W163" i="39" s="1"/>
  <c r="X163" i="39" s="1"/>
  <c r="E163" i="39"/>
  <c r="F163" i="39" s="1"/>
  <c r="G163" i="39" s="1"/>
  <c r="H163" i="39" s="1"/>
  <c r="I163" i="39" s="1"/>
  <c r="J163" i="39" s="1"/>
  <c r="K163" i="39" s="1"/>
  <c r="L163" i="39" s="1"/>
  <c r="B37" i="46"/>
  <c r="B36" i="46"/>
  <c r="E15" i="46"/>
  <c r="F15" i="46" s="1"/>
  <c r="G15" i="46" s="1"/>
  <c r="H15" i="46" s="1"/>
  <c r="I15" i="46" s="1"/>
  <c r="J15" i="46" s="1"/>
  <c r="K15" i="46" s="1"/>
  <c r="L15" i="46" s="1"/>
  <c r="M15" i="46" s="1"/>
  <c r="N15" i="46" s="1"/>
  <c r="M201" i="39" l="1"/>
  <c r="N201" i="39" s="1"/>
  <c r="M163" i="39"/>
  <c r="N163" i="39" s="1"/>
  <c r="M181" i="39"/>
  <c r="N181" i="39" s="1"/>
  <c r="O205" i="39"/>
  <c r="O204" i="39"/>
  <c r="Q205" i="39"/>
  <c r="Q204" i="39"/>
  <c r="R205" i="39"/>
  <c r="R204" i="39"/>
  <c r="F218" i="39"/>
  <c r="E237" i="39"/>
  <c r="P1383" i="11"/>
  <c r="P1385" i="11" s="1"/>
  <c r="Q1381" i="11"/>
  <c r="K118" i="45"/>
  <c r="K119" i="45" s="1"/>
  <c r="K193" i="45" s="1"/>
  <c r="M115" i="45"/>
  <c r="L116" i="45"/>
  <c r="L184" i="45" s="1"/>
  <c r="Q9" i="48"/>
  <c r="R6" i="48"/>
  <c r="R7" i="48" s="1"/>
  <c r="Q8" i="48"/>
  <c r="P476" i="48"/>
  <c r="P384" i="48"/>
  <c r="P407" i="48"/>
  <c r="P361" i="48"/>
  <c r="P499" i="48"/>
  <c r="P223" i="48"/>
  <c r="P338" i="48"/>
  <c r="P315" i="48"/>
  <c r="P131" i="48"/>
  <c r="P246" i="48"/>
  <c r="P154" i="48"/>
  <c r="P84" i="48"/>
  <c r="P430" i="48"/>
  <c r="P36" i="48"/>
  <c r="P177" i="48"/>
  <c r="P292" i="48"/>
  <c r="P60" i="48"/>
  <c r="P453" i="48"/>
  <c r="P200" i="48"/>
  <c r="P107" i="48"/>
  <c r="P269" i="48"/>
  <c r="U204" i="39"/>
  <c r="U205" i="39"/>
  <c r="V204" i="39"/>
  <c r="V205" i="39"/>
  <c r="P167" i="39"/>
  <c r="P184" i="39"/>
  <c r="X205" i="39"/>
  <c r="W204" i="39"/>
  <c r="S205" i="39"/>
  <c r="T205" i="39"/>
  <c r="F561" i="11"/>
  <c r="F1396" i="11"/>
  <c r="H1394" i="11"/>
  <c r="I1392" i="11" s="1"/>
  <c r="H514" i="11"/>
  <c r="G513" i="11" s="1"/>
  <c r="G1393" i="11" s="1"/>
  <c r="K512" i="11"/>
  <c r="K1392" i="11" s="1"/>
  <c r="F86" i="45"/>
  <c r="G86" i="45" s="1"/>
  <c r="H86" i="45" s="1"/>
  <c r="I86" i="45" s="1"/>
  <c r="J86" i="45" s="1"/>
  <c r="K86" i="45" s="1"/>
  <c r="L86" i="45" s="1"/>
  <c r="M86" i="45" s="1"/>
  <c r="N86" i="45" s="1"/>
  <c r="F1418" i="11"/>
  <c r="L118" i="45" l="1"/>
  <c r="L119" i="45" s="1"/>
  <c r="L193" i="45" s="1"/>
  <c r="N115" i="45"/>
  <c r="N116" i="45" s="1"/>
  <c r="N184" i="45" s="1"/>
  <c r="M116" i="45"/>
  <c r="M184" i="45" s="1"/>
  <c r="Q1383" i="11"/>
  <c r="Q1385" i="11" s="1"/>
  <c r="R1381" i="11"/>
  <c r="G218" i="39"/>
  <c r="F237" i="39"/>
  <c r="Q476" i="48"/>
  <c r="Q499" i="48"/>
  <c r="Q453" i="48"/>
  <c r="Q407" i="48"/>
  <c r="Q430" i="48"/>
  <c r="Q315" i="48"/>
  <c r="Q338" i="48"/>
  <c r="Q384" i="48"/>
  <c r="Q361" i="48"/>
  <c r="Q177" i="48"/>
  <c r="Q154" i="48"/>
  <c r="Q246" i="48"/>
  <c r="Q292" i="48"/>
  <c r="Q36" i="48"/>
  <c r="Q60" i="48"/>
  <c r="Q84" i="48"/>
  <c r="Q223" i="48"/>
  <c r="Q200" i="48"/>
  <c r="Q131" i="48"/>
  <c r="Q107" i="48"/>
  <c r="Q269" i="48"/>
  <c r="R9" i="48"/>
  <c r="R8" i="48"/>
  <c r="S6" i="48"/>
  <c r="S7" i="48" s="1"/>
  <c r="L512" i="11"/>
  <c r="I1391" i="11"/>
  <c r="I1393" i="11"/>
  <c r="P204" i="39"/>
  <c r="P205" i="39"/>
  <c r="P168" i="39"/>
  <c r="P185" i="39"/>
  <c r="P206" i="39" s="1"/>
  <c r="H218" i="39" l="1"/>
  <c r="G237" i="39"/>
  <c r="R1383" i="11"/>
  <c r="R1385" i="11" s="1"/>
  <c r="S1381" i="11"/>
  <c r="M118" i="45"/>
  <c r="M119" i="45" s="1"/>
  <c r="M193" i="45" s="1"/>
  <c r="N118" i="45"/>
  <c r="N119" i="45" s="1"/>
  <c r="N193" i="45" s="1"/>
  <c r="S9" i="48"/>
  <c r="S8" i="48"/>
  <c r="T6" i="48"/>
  <c r="T7" i="48" s="1"/>
  <c r="R499" i="48"/>
  <c r="R407" i="48"/>
  <c r="R430" i="48"/>
  <c r="R384" i="48"/>
  <c r="R223" i="48"/>
  <c r="R200" i="48"/>
  <c r="R315" i="48"/>
  <c r="R476" i="48"/>
  <c r="R107" i="48"/>
  <c r="R246" i="48"/>
  <c r="R292" i="48"/>
  <c r="R338" i="48"/>
  <c r="R177" i="48"/>
  <c r="R361" i="48"/>
  <c r="R154" i="48"/>
  <c r="R36" i="48"/>
  <c r="R131" i="48"/>
  <c r="R453" i="48"/>
  <c r="R84" i="48"/>
  <c r="R60" i="48"/>
  <c r="R269" i="48"/>
  <c r="M512" i="11"/>
  <c r="M1392" i="11" s="1"/>
  <c r="M1393" i="11" s="1"/>
  <c r="L1392" i="11"/>
  <c r="L1393" i="11" s="1"/>
  <c r="P186" i="39"/>
  <c r="P207" i="39" s="1"/>
  <c r="P169" i="39"/>
  <c r="F709" i="11"/>
  <c r="F63" i="45"/>
  <c r="G63" i="45" s="1"/>
  <c r="H63" i="45" s="1"/>
  <c r="I63" i="45" s="1"/>
  <c r="J63" i="45" s="1"/>
  <c r="K63" i="45" s="1"/>
  <c r="L63" i="45" s="1"/>
  <c r="M63" i="45" s="1"/>
  <c r="N63" i="45" s="1"/>
  <c r="F1374" i="11"/>
  <c r="F1368" i="11"/>
  <c r="K1365" i="11"/>
  <c r="L1365" i="11"/>
  <c r="M1365" i="11"/>
  <c r="N1365" i="11"/>
  <c r="O1365" i="11"/>
  <c r="P1365" i="11"/>
  <c r="Q1365" i="11"/>
  <c r="R1365" i="11"/>
  <c r="S1365" i="11"/>
  <c r="T1365" i="11"/>
  <c r="U1365" i="11"/>
  <c r="V1365" i="11"/>
  <c r="J1365" i="11"/>
  <c r="F1348" i="11"/>
  <c r="S1348" i="11" s="1"/>
  <c r="S1383" i="11" l="1"/>
  <c r="S1385" i="11" s="1"/>
  <c r="T1381" i="11"/>
  <c r="I218" i="39"/>
  <c r="H237" i="39"/>
  <c r="U6" i="48"/>
  <c r="U7" i="48" s="1"/>
  <c r="T9" i="48"/>
  <c r="T8" i="48"/>
  <c r="S499" i="48"/>
  <c r="S384" i="48"/>
  <c r="S453" i="48"/>
  <c r="S476" i="48"/>
  <c r="S407" i="48"/>
  <c r="S200" i="48"/>
  <c r="S107" i="48"/>
  <c r="S430" i="48"/>
  <c r="S131" i="48"/>
  <c r="S269" i="48"/>
  <c r="S292" i="48"/>
  <c r="S338" i="48"/>
  <c r="S84" i="48"/>
  <c r="S154" i="48"/>
  <c r="S36" i="48"/>
  <c r="S177" i="48"/>
  <c r="S223" i="48"/>
  <c r="S315" i="48"/>
  <c r="S246" i="48"/>
  <c r="S361" i="48"/>
  <c r="S60" i="48"/>
  <c r="P187" i="39"/>
  <c r="P208" i="39" s="1"/>
  <c r="P170" i="39"/>
  <c r="L1348" i="11"/>
  <c r="K1348" i="11"/>
  <c r="R1348" i="11"/>
  <c r="Q1348" i="11"/>
  <c r="P1348" i="11"/>
  <c r="O1348" i="11"/>
  <c r="N1348" i="11"/>
  <c r="M1348" i="11"/>
  <c r="J1348" i="11"/>
  <c r="V1348" i="11"/>
  <c r="U1348" i="11"/>
  <c r="T1348" i="11"/>
  <c r="T1383" i="11" l="1"/>
  <c r="T1385" i="11" s="1"/>
  <c r="U1381" i="11"/>
  <c r="J218" i="39"/>
  <c r="I237" i="39"/>
  <c r="T430" i="48"/>
  <c r="T384" i="48"/>
  <c r="T476" i="48"/>
  <c r="T269" i="48"/>
  <c r="T107" i="48"/>
  <c r="T131" i="48"/>
  <c r="T177" i="48"/>
  <c r="T154" i="48"/>
  <c r="T407" i="48"/>
  <c r="T223" i="48"/>
  <c r="T338" i="48"/>
  <c r="T84" i="48"/>
  <c r="T36" i="48"/>
  <c r="T499" i="48"/>
  <c r="T453" i="48"/>
  <c r="T200" i="48"/>
  <c r="T60" i="48"/>
  <c r="T292" i="48"/>
  <c r="T315" i="48"/>
  <c r="T246" i="48"/>
  <c r="T361" i="48"/>
  <c r="V6" i="48"/>
  <c r="V7" i="48" s="1"/>
  <c r="U9" i="48"/>
  <c r="U8" i="48"/>
  <c r="P188" i="39"/>
  <c r="P209" i="39" s="1"/>
  <c r="P171" i="39"/>
  <c r="V1381" i="11" l="1"/>
  <c r="V1383" i="11" s="1"/>
  <c r="V1385" i="11" s="1"/>
  <c r="U1383" i="11"/>
  <c r="U1385" i="11" s="1"/>
  <c r="K218" i="39"/>
  <c r="L218" i="39" s="1"/>
  <c r="J237" i="39"/>
  <c r="U407" i="48"/>
  <c r="U476" i="48"/>
  <c r="U223" i="48"/>
  <c r="U200" i="48"/>
  <c r="U338" i="48"/>
  <c r="U131" i="48"/>
  <c r="U107" i="48"/>
  <c r="U269" i="48"/>
  <c r="U246" i="48"/>
  <c r="U430" i="48"/>
  <c r="U361" i="48"/>
  <c r="U384" i="48"/>
  <c r="U177" i="48"/>
  <c r="U154" i="48"/>
  <c r="U315" i="48"/>
  <c r="U84" i="48"/>
  <c r="U36" i="48"/>
  <c r="U499" i="48"/>
  <c r="U292" i="48"/>
  <c r="U453" i="48"/>
  <c r="U60" i="48"/>
  <c r="V9" i="48"/>
  <c r="V8" i="48"/>
  <c r="P172" i="39"/>
  <c r="P189" i="39"/>
  <c r="P210" i="39" s="1"/>
  <c r="F1182" i="43"/>
  <c r="V1387" i="11"/>
  <c r="U1387" i="11"/>
  <c r="R1387" i="11"/>
  <c r="Q1387" i="11"/>
  <c r="O1387" i="11"/>
  <c r="N1387" i="11"/>
  <c r="M1387" i="11"/>
  <c r="J1387" i="11"/>
  <c r="F232" i="11"/>
  <c r="F40" i="45"/>
  <c r="G40" i="45" s="1"/>
  <c r="H40" i="45" s="1"/>
  <c r="I40" i="45" s="1"/>
  <c r="J40" i="45" s="1"/>
  <c r="K40" i="45" s="1"/>
  <c r="L40" i="45" s="1"/>
  <c r="M40" i="45" s="1"/>
  <c r="N40" i="45" s="1"/>
  <c r="D23" i="45"/>
  <c r="F458" i="11"/>
  <c r="D22" i="45" s="1"/>
  <c r="F487" i="11"/>
  <c r="G1270" i="6"/>
  <c r="I1477" i="11"/>
  <c r="F3" i="45"/>
  <c r="G3" i="45" s="1"/>
  <c r="H3" i="45" s="1"/>
  <c r="I3" i="45" s="1"/>
  <c r="J3" i="45" s="1"/>
  <c r="K3" i="45" s="1"/>
  <c r="L3" i="45" s="1"/>
  <c r="M3" i="45" s="1"/>
  <c r="N3" i="45" s="1"/>
  <c r="J192" i="45" l="1"/>
  <c r="I192" i="45"/>
  <c r="H192" i="45"/>
  <c r="G192" i="45"/>
  <c r="F192" i="45"/>
  <c r="E192" i="45"/>
  <c r="N192" i="45"/>
  <c r="M192" i="45"/>
  <c r="L192" i="45"/>
  <c r="K192" i="45"/>
  <c r="T1270" i="6"/>
  <c r="S1477" i="11" s="1"/>
  <c r="R192" i="41" s="1"/>
  <c r="V1270" i="6"/>
  <c r="U1477" i="11" s="1"/>
  <c r="T192" i="41" s="1"/>
  <c r="W1270" i="6"/>
  <c r="L237" i="39"/>
  <c r="M218" i="39"/>
  <c r="N218" i="39" s="1"/>
  <c r="N237" i="39" s="1"/>
  <c r="K237" i="39"/>
  <c r="V453" i="48"/>
  <c r="V407" i="48"/>
  <c r="V338" i="48"/>
  <c r="V315" i="48"/>
  <c r="V499" i="48"/>
  <c r="V476" i="48"/>
  <c r="V292" i="48"/>
  <c r="V269" i="48"/>
  <c r="V246" i="48"/>
  <c r="V154" i="48"/>
  <c r="V430" i="48"/>
  <c r="V361" i="48"/>
  <c r="V177" i="48"/>
  <c r="V131" i="48"/>
  <c r="V36" i="48"/>
  <c r="V84" i="48"/>
  <c r="V200" i="48"/>
  <c r="V223" i="48"/>
  <c r="V107" i="48"/>
  <c r="V384" i="48"/>
  <c r="V60" i="48"/>
  <c r="L1387" i="11"/>
  <c r="U1270" i="6"/>
  <c r="T1477" i="11" s="1"/>
  <c r="S192" i="41" s="1"/>
  <c r="P173" i="39"/>
  <c r="P190" i="39"/>
  <c r="P211" i="39" s="1"/>
  <c r="D58" i="45"/>
  <c r="D81" i="45" s="1"/>
  <c r="D110" i="45" s="1"/>
  <c r="S1387" i="11"/>
  <c r="T1387" i="11"/>
  <c r="P1387" i="11"/>
  <c r="V1477" i="11"/>
  <c r="U192" i="41" s="1"/>
  <c r="K1270" i="6"/>
  <c r="J1477" i="11" s="1"/>
  <c r="I192" i="41" s="1"/>
  <c r="L1270" i="6"/>
  <c r="M1270" i="6"/>
  <c r="L1477" i="11" s="1"/>
  <c r="K192" i="41" s="1"/>
  <c r="N1270" i="6"/>
  <c r="M1477" i="11" s="1"/>
  <c r="L192" i="41" s="1"/>
  <c r="O1270" i="6"/>
  <c r="N1477" i="11" s="1"/>
  <c r="M192" i="41" s="1"/>
  <c r="P1270" i="6"/>
  <c r="O1477" i="11" s="1"/>
  <c r="N192" i="41" s="1"/>
  <c r="Q1270" i="6"/>
  <c r="P1477" i="11" s="1"/>
  <c r="O192" i="41" s="1"/>
  <c r="R1270" i="6"/>
  <c r="Q1477" i="11" s="1"/>
  <c r="P192" i="41" s="1"/>
  <c r="S1270" i="6"/>
  <c r="R1477" i="11" s="1"/>
  <c r="Q192" i="41" s="1"/>
  <c r="M237" i="39" l="1"/>
  <c r="P174" i="39"/>
  <c r="P191" i="39"/>
  <c r="P212" i="39" s="1"/>
  <c r="F461" i="11"/>
  <c r="K1477" i="11"/>
  <c r="J192" i="41" s="1"/>
  <c r="J1270" i="6"/>
  <c r="E134" i="40" s="1"/>
  <c r="P192" i="39" l="1"/>
  <c r="P213" i="39" s="1"/>
  <c r="P175" i="39"/>
  <c r="F1199" i="43"/>
  <c r="K1197" i="43"/>
  <c r="L1197" i="43"/>
  <c r="L1199" i="43" s="1"/>
  <c r="M1197" i="43"/>
  <c r="M1199" i="43" s="1"/>
  <c r="M1201" i="43" s="1"/>
  <c r="N1197" i="43"/>
  <c r="N1199" i="43" s="1"/>
  <c r="O1197" i="43"/>
  <c r="O1199" i="43" s="1"/>
  <c r="O1201" i="43" s="1"/>
  <c r="P1197" i="43"/>
  <c r="P1199" i="43" s="1"/>
  <c r="P1201" i="43" s="1"/>
  <c r="Q1197" i="43"/>
  <c r="Q1199" i="43" s="1"/>
  <c r="Q1201" i="43" s="1"/>
  <c r="R1197" i="43"/>
  <c r="R1199" i="43" s="1"/>
  <c r="R1201" i="43" s="1"/>
  <c r="S1197" i="43"/>
  <c r="S1199" i="43" s="1"/>
  <c r="S1201" i="43" s="1"/>
  <c r="T1197" i="43"/>
  <c r="T1199" i="43" s="1"/>
  <c r="U1197" i="43"/>
  <c r="U1199" i="43" s="1"/>
  <c r="U1201" i="43" s="1"/>
  <c r="V1197" i="43"/>
  <c r="J1197" i="43"/>
  <c r="N450" i="43"/>
  <c r="F1179" i="43"/>
  <c r="F506" i="14"/>
  <c r="F570" i="11"/>
  <c r="K556" i="11"/>
  <c r="K557" i="11" s="1"/>
  <c r="L556" i="11"/>
  <c r="L557" i="11" s="1"/>
  <c r="M556" i="11"/>
  <c r="M557" i="11" s="1"/>
  <c r="N556" i="11"/>
  <c r="N557" i="11" s="1"/>
  <c r="O556" i="11"/>
  <c r="O557" i="11" s="1"/>
  <c r="P556" i="11"/>
  <c r="P557" i="11" s="1"/>
  <c r="Q556" i="11"/>
  <c r="Q557" i="11" s="1"/>
  <c r="R556" i="11"/>
  <c r="R557" i="11" s="1"/>
  <c r="S556" i="11"/>
  <c r="T556" i="11"/>
  <c r="T557" i="11" s="1"/>
  <c r="U556" i="11"/>
  <c r="U557" i="11" s="1"/>
  <c r="V556" i="11"/>
  <c r="V557" i="11" s="1"/>
  <c r="J556" i="11"/>
  <c r="J557" i="11" s="1"/>
  <c r="F576" i="11"/>
  <c r="G567" i="11"/>
  <c r="S557" i="11"/>
  <c r="V554" i="11"/>
  <c r="U554" i="11"/>
  <c r="T554" i="11"/>
  <c r="S554" i="11"/>
  <c r="R554" i="11"/>
  <c r="Q554" i="11"/>
  <c r="P554" i="11"/>
  <c r="O554" i="11"/>
  <c r="N554" i="11"/>
  <c r="M554" i="11"/>
  <c r="L554" i="11"/>
  <c r="K554" i="11"/>
  <c r="J554" i="11"/>
  <c r="F248" i="11"/>
  <c r="F242" i="11"/>
  <c r="G239" i="11"/>
  <c r="V228" i="11"/>
  <c r="V229" i="11" s="1"/>
  <c r="U228" i="11"/>
  <c r="U229" i="11" s="1"/>
  <c r="T228" i="11"/>
  <c r="T229" i="11" s="1"/>
  <c r="O19" i="50" s="1"/>
  <c r="S228" i="11"/>
  <c r="S229" i="11" s="1"/>
  <c r="N19" i="50" s="1"/>
  <c r="R228" i="11"/>
  <c r="R229" i="11" s="1"/>
  <c r="M19" i="50" s="1"/>
  <c r="Q228" i="11"/>
  <c r="Q229" i="11" s="1"/>
  <c r="L19" i="50" s="1"/>
  <c r="P228" i="11"/>
  <c r="P229" i="11" s="1"/>
  <c r="K19" i="50" s="1"/>
  <c r="O228" i="11"/>
  <c r="O229" i="11" s="1"/>
  <c r="J19" i="50" s="1"/>
  <c r="N228" i="11"/>
  <c r="N229" i="11" s="1"/>
  <c r="I19" i="50" s="1"/>
  <c r="M228" i="11"/>
  <c r="M229" i="11" s="1"/>
  <c r="H19" i="50" s="1"/>
  <c r="L228" i="11"/>
  <c r="L229" i="11" s="1"/>
  <c r="G19" i="50" s="1"/>
  <c r="K228" i="11"/>
  <c r="K229" i="11" s="1"/>
  <c r="F19" i="50" s="1"/>
  <c r="J228" i="11"/>
  <c r="J229" i="11" s="1"/>
  <c r="E19" i="50" s="1"/>
  <c r="F184" i="14"/>
  <c r="V508" i="14"/>
  <c r="U508" i="14"/>
  <c r="T508" i="14"/>
  <c r="S508" i="14"/>
  <c r="R508" i="14"/>
  <c r="Q508" i="14"/>
  <c r="P508" i="14"/>
  <c r="O508" i="14"/>
  <c r="N508" i="14"/>
  <c r="M508" i="14"/>
  <c r="L508" i="14"/>
  <c r="K508" i="14"/>
  <c r="J508" i="14"/>
  <c r="F345" i="14"/>
  <c r="F91" i="14"/>
  <c r="I102" i="14"/>
  <c r="I93" i="14"/>
  <c r="I310" i="14"/>
  <c r="I301" i="14"/>
  <c r="F299" i="14"/>
  <c r="I517" i="14"/>
  <c r="F230" i="14"/>
  <c r="I356" i="14"/>
  <c r="I347" i="14"/>
  <c r="K705" i="11"/>
  <c r="K706" i="11" s="1"/>
  <c r="L705" i="11"/>
  <c r="L706" i="11" s="1"/>
  <c r="M705" i="11"/>
  <c r="M706" i="11" s="1"/>
  <c r="N705" i="11"/>
  <c r="N706" i="11" s="1"/>
  <c r="O705" i="11"/>
  <c r="O706" i="11" s="1"/>
  <c r="P705" i="11"/>
  <c r="P706" i="11" s="1"/>
  <c r="Q705" i="11"/>
  <c r="Q706" i="11" s="1"/>
  <c r="R705" i="11"/>
  <c r="S705" i="11"/>
  <c r="S706" i="11" s="1"/>
  <c r="T705" i="11"/>
  <c r="T706" i="11" s="1"/>
  <c r="U705" i="11"/>
  <c r="U706" i="11" s="1"/>
  <c r="V705" i="11"/>
  <c r="V706" i="11" s="1"/>
  <c r="J705" i="11"/>
  <c r="J706" i="11" s="1"/>
  <c r="F725" i="11"/>
  <c r="F719" i="11"/>
  <c r="G716" i="11"/>
  <c r="R706" i="11"/>
  <c r="V703" i="11"/>
  <c r="U703" i="11"/>
  <c r="T703" i="11"/>
  <c r="S703" i="11"/>
  <c r="R703" i="11"/>
  <c r="Q703" i="11"/>
  <c r="P703" i="11"/>
  <c r="O703" i="11"/>
  <c r="N703" i="11"/>
  <c r="M703" i="11"/>
  <c r="L703" i="11"/>
  <c r="K703" i="11"/>
  <c r="J703" i="11"/>
  <c r="I4" i="44"/>
  <c r="G6" i="44"/>
  <c r="F1347" i="11" s="1"/>
  <c r="J1199" i="43" l="1"/>
  <c r="J1201" i="43" s="1"/>
  <c r="F1364" i="11"/>
  <c r="F1436" i="11" s="1"/>
  <c r="E1354" i="11"/>
  <c r="F1353" i="11" s="1"/>
  <c r="F1354" i="11" s="1"/>
  <c r="V1199" i="43"/>
  <c r="V1201" i="43" s="1"/>
  <c r="P176" i="39"/>
  <c r="P193" i="39"/>
  <c r="P214" i="39" s="1"/>
  <c r="L1179" i="43"/>
  <c r="K1199" i="43"/>
  <c r="K1201" i="43" s="1"/>
  <c r="K1179" i="43"/>
  <c r="T1201" i="43"/>
  <c r="T1179" i="43"/>
  <c r="S1179" i="43"/>
  <c r="R1179" i="43"/>
  <c r="N1201" i="43"/>
  <c r="J1179" i="43"/>
  <c r="O1179" i="43"/>
  <c r="L1201" i="43"/>
  <c r="U1179" i="43"/>
  <c r="Q1179" i="43"/>
  <c r="O450" i="43"/>
  <c r="N1179" i="43"/>
  <c r="K1347" i="11"/>
  <c r="J1347" i="11"/>
  <c r="V1347" i="11"/>
  <c r="U1347" i="11"/>
  <c r="T1347" i="11"/>
  <c r="S1347" i="11"/>
  <c r="R1347" i="11"/>
  <c r="Q1347" i="11"/>
  <c r="P1347" i="11"/>
  <c r="O1347" i="11"/>
  <c r="N1347" i="11"/>
  <c r="M1347" i="11"/>
  <c r="L1347" i="11"/>
  <c r="V1179" i="43"/>
  <c r="P1179" i="43"/>
  <c r="M1179" i="43"/>
  <c r="F1370" i="11" l="1"/>
  <c r="M1364" i="11"/>
  <c r="N1364" i="11"/>
  <c r="J1364" i="11"/>
  <c r="O1364" i="11"/>
  <c r="P1364" i="11"/>
  <c r="Q1364" i="11"/>
  <c r="L1364" i="11"/>
  <c r="K1364" i="11"/>
  <c r="R1364" i="11"/>
  <c r="S1364" i="11"/>
  <c r="T1364" i="11"/>
  <c r="U1364" i="11"/>
  <c r="V1364" i="11"/>
  <c r="P194" i="39"/>
  <c r="P215" i="39" s="1"/>
  <c r="P177" i="39"/>
  <c r="P195" i="39" s="1"/>
  <c r="P450" i="43"/>
  <c r="Q450" i="43" l="1"/>
  <c r="R450" i="43" l="1"/>
  <c r="F496" i="11"/>
  <c r="H495" i="11" s="1"/>
  <c r="H496" i="11" s="1"/>
  <c r="G493" i="11"/>
  <c r="I241" i="14"/>
  <c r="K482" i="11"/>
  <c r="K483" i="11" s="1"/>
  <c r="L482" i="11"/>
  <c r="L483" i="11" s="1"/>
  <c r="M482" i="11"/>
  <c r="M483" i="11" s="1"/>
  <c r="N482" i="11"/>
  <c r="N483" i="11" s="1"/>
  <c r="O482" i="11"/>
  <c r="O483" i="11" s="1"/>
  <c r="P482" i="11"/>
  <c r="P483" i="11" s="1"/>
  <c r="Q482" i="11"/>
  <c r="Q483" i="11" s="1"/>
  <c r="R482" i="11"/>
  <c r="R483" i="11" s="1"/>
  <c r="S482" i="11"/>
  <c r="S483" i="11" s="1"/>
  <c r="T482" i="11"/>
  <c r="T483" i="11" s="1"/>
  <c r="U482" i="11"/>
  <c r="U483" i="11" s="1"/>
  <c r="V482" i="11"/>
  <c r="V483" i="11" s="1"/>
  <c r="J482" i="11"/>
  <c r="J483" i="11" s="1"/>
  <c r="F502" i="11"/>
  <c r="M448" i="11"/>
  <c r="N448" i="11"/>
  <c r="O448" i="11"/>
  <c r="P448" i="11"/>
  <c r="Q448" i="11"/>
  <c r="R448" i="11"/>
  <c r="S448" i="11"/>
  <c r="T448" i="11"/>
  <c r="U448" i="11"/>
  <c r="V448" i="11"/>
  <c r="L448" i="11"/>
  <c r="M447" i="11"/>
  <c r="N447" i="11"/>
  <c r="O447" i="11"/>
  <c r="P447" i="11"/>
  <c r="Q447" i="11"/>
  <c r="R447" i="11"/>
  <c r="S447" i="11"/>
  <c r="T447" i="11"/>
  <c r="U447" i="11"/>
  <c r="V447" i="11"/>
  <c r="L447" i="11"/>
  <c r="M372" i="43"/>
  <c r="N372" i="43"/>
  <c r="O372" i="43"/>
  <c r="P372" i="43"/>
  <c r="Q372" i="43"/>
  <c r="R372" i="43"/>
  <c r="S372" i="43"/>
  <c r="T372" i="43"/>
  <c r="U372" i="43"/>
  <c r="V372" i="43"/>
  <c r="L372" i="43"/>
  <c r="M371" i="43"/>
  <c r="N371" i="43"/>
  <c r="O371" i="43"/>
  <c r="P371" i="43"/>
  <c r="Q371" i="43"/>
  <c r="R371" i="43"/>
  <c r="S371" i="43"/>
  <c r="T371" i="43"/>
  <c r="U371" i="43"/>
  <c r="V371" i="43"/>
  <c r="L371" i="43"/>
  <c r="M182" i="43"/>
  <c r="L440" i="6"/>
  <c r="F329" i="43" s="1"/>
  <c r="F207" i="14"/>
  <c r="I218" i="14"/>
  <c r="S450" i="43" l="1"/>
  <c r="I232" i="14"/>
  <c r="E60" i="42"/>
  <c r="F60" i="42" s="1"/>
  <c r="G60" i="42" s="1"/>
  <c r="H60" i="42" s="1"/>
  <c r="I60" i="42" s="1"/>
  <c r="J60" i="42" s="1"/>
  <c r="F1121" i="43"/>
  <c r="F1129" i="43" s="1"/>
  <c r="E1155" i="43" s="1"/>
  <c r="F1025" i="43"/>
  <c r="F1033" i="43" s="1"/>
  <c r="E1088" i="43" s="1"/>
  <c r="F1026" i="43"/>
  <c r="F1004" i="43"/>
  <c r="F1008" i="43" s="1"/>
  <c r="F1001" i="43"/>
  <c r="F1002" i="43" s="1"/>
  <c r="G1003" i="43" s="1"/>
  <c r="F1322" i="43"/>
  <c r="F1309" i="43"/>
  <c r="V1298" i="43"/>
  <c r="V1301" i="43" s="1"/>
  <c r="U1298" i="43"/>
  <c r="U1301" i="43" s="1"/>
  <c r="T1298" i="43"/>
  <c r="T1301" i="43" s="1"/>
  <c r="S1298" i="43"/>
  <c r="S1301" i="43" s="1"/>
  <c r="R1298" i="43"/>
  <c r="R1301" i="43" s="1"/>
  <c r="Q1298" i="43"/>
  <c r="Q1301" i="43" s="1"/>
  <c r="P1298" i="43"/>
  <c r="P1301" i="43" s="1"/>
  <c r="O1298" i="43"/>
  <c r="O1301" i="43" s="1"/>
  <c r="N1298" i="43"/>
  <c r="N1301" i="43" s="1"/>
  <c r="M1298" i="43"/>
  <c r="M1301" i="43" s="1"/>
  <c r="L1298" i="43"/>
  <c r="L1301" i="43" s="1"/>
  <c r="K1298" i="43"/>
  <c r="K1301" i="43" s="1"/>
  <c r="J1298" i="43"/>
  <c r="N1282" i="43"/>
  <c r="F1280" i="43"/>
  <c r="Q1280" i="43" s="1"/>
  <c r="V1267" i="43"/>
  <c r="U1267" i="43"/>
  <c r="T1267" i="43"/>
  <c r="S1267" i="43"/>
  <c r="R1267" i="43"/>
  <c r="Q1267" i="43"/>
  <c r="P1267" i="43"/>
  <c r="O1267" i="43"/>
  <c r="N1267" i="43"/>
  <c r="M1267" i="43"/>
  <c r="L1267" i="43"/>
  <c r="K1267" i="43"/>
  <c r="J1267" i="43"/>
  <c r="I1267" i="43"/>
  <c r="I1266" i="43"/>
  <c r="I1265" i="43"/>
  <c r="I1263" i="43"/>
  <c r="I1262" i="43"/>
  <c r="I1252" i="43"/>
  <c r="I1242" i="43"/>
  <c r="E1161" i="43"/>
  <c r="E1153" i="43"/>
  <c r="E1152" i="43"/>
  <c r="F1152" i="43" s="1"/>
  <c r="E1151" i="43"/>
  <c r="F1151" i="43" s="1"/>
  <c r="E1146" i="43"/>
  <c r="F1146" i="43" s="1"/>
  <c r="E1145" i="43"/>
  <c r="E1142" i="43"/>
  <c r="F1142" i="43" s="1"/>
  <c r="F1118" i="43"/>
  <c r="E1144" i="43" s="1"/>
  <c r="F1117" i="43"/>
  <c r="H1115" i="43"/>
  <c r="I1113" i="43" s="1"/>
  <c r="E1115" i="43"/>
  <c r="E1114" i="43" s="1"/>
  <c r="G1114" i="43"/>
  <c r="J1113" i="43"/>
  <c r="E1086" i="43"/>
  <c r="G1086" i="43" s="1"/>
  <c r="E1085" i="43"/>
  <c r="F1085" i="43" s="1"/>
  <c r="E1084" i="43"/>
  <c r="E1079" i="43"/>
  <c r="F1079" i="43" s="1"/>
  <c r="E1078" i="43"/>
  <c r="F1078" i="43" s="1"/>
  <c r="E1077" i="43"/>
  <c r="E1076" i="43"/>
  <c r="E1075" i="43"/>
  <c r="F1075" i="43" s="1"/>
  <c r="E1074" i="43"/>
  <c r="E1068" i="43"/>
  <c r="G1050" i="43" s="1"/>
  <c r="F1050" i="43" s="1"/>
  <c r="E1060" i="43"/>
  <c r="E1059" i="43"/>
  <c r="F1059" i="43" s="1"/>
  <c r="E1058" i="43"/>
  <c r="F1052" i="43"/>
  <c r="F1049" i="43"/>
  <c r="F1048" i="43"/>
  <c r="E1038" i="43"/>
  <c r="F1028" i="43" s="1"/>
  <c r="F1032" i="43" s="1"/>
  <c r="F984" i="43"/>
  <c r="F945" i="43"/>
  <c r="F941" i="43"/>
  <c r="O938" i="43"/>
  <c r="P938" i="43" s="1"/>
  <c r="Q938" i="43" s="1"/>
  <c r="R938" i="43" s="1"/>
  <c r="S938" i="43" s="1"/>
  <c r="T938" i="43" s="1"/>
  <c r="F934" i="43"/>
  <c r="O931" i="43"/>
  <c r="P931" i="43" s="1"/>
  <c r="Q931" i="43" s="1"/>
  <c r="R931" i="43" s="1"/>
  <c r="S931" i="43" s="1"/>
  <c r="T931" i="43" s="1"/>
  <c r="G930" i="43"/>
  <c r="F927" i="43"/>
  <c r="F925" i="43"/>
  <c r="V886" i="43"/>
  <c r="U886" i="43"/>
  <c r="T886" i="43"/>
  <c r="S886" i="43"/>
  <c r="R886" i="43"/>
  <c r="Q886" i="43"/>
  <c r="P886" i="43"/>
  <c r="O886" i="43"/>
  <c r="N886" i="43"/>
  <c r="M886" i="43"/>
  <c r="L886" i="43"/>
  <c r="K886" i="43"/>
  <c r="J886" i="43"/>
  <c r="V880" i="43"/>
  <c r="U880" i="43"/>
  <c r="T880" i="43"/>
  <c r="S880" i="43"/>
  <c r="R880" i="43"/>
  <c r="Q880" i="43"/>
  <c r="P880" i="43"/>
  <c r="O880" i="43"/>
  <c r="N880" i="43"/>
  <c r="M880" i="43"/>
  <c r="L880" i="43"/>
  <c r="K880" i="43"/>
  <c r="J880" i="43"/>
  <c r="V869" i="43"/>
  <c r="U869" i="43"/>
  <c r="T869" i="43"/>
  <c r="S869" i="43"/>
  <c r="R869" i="43"/>
  <c r="Q869" i="43"/>
  <c r="P869" i="43"/>
  <c r="O869" i="43"/>
  <c r="N869" i="43"/>
  <c r="M869" i="43"/>
  <c r="L869" i="43"/>
  <c r="K869" i="43"/>
  <c r="J869" i="43"/>
  <c r="F863" i="43"/>
  <c r="F853" i="43"/>
  <c r="F848" i="43"/>
  <c r="F843" i="43"/>
  <c r="F838" i="43"/>
  <c r="F797" i="43"/>
  <c r="R798" i="43" s="1"/>
  <c r="V781" i="43"/>
  <c r="U781" i="43"/>
  <c r="T781" i="43"/>
  <c r="S781" i="43"/>
  <c r="R781" i="43"/>
  <c r="Q781" i="43"/>
  <c r="P781" i="43"/>
  <c r="O781" i="43"/>
  <c r="N781" i="43"/>
  <c r="M781" i="43"/>
  <c r="L781" i="43"/>
  <c r="K781" i="43"/>
  <c r="J781" i="43"/>
  <c r="F775" i="43"/>
  <c r="F719" i="43"/>
  <c r="J720" i="43" s="1"/>
  <c r="V703" i="43"/>
  <c r="U703" i="43"/>
  <c r="T703" i="43"/>
  <c r="S703" i="43"/>
  <c r="R703" i="43"/>
  <c r="Q703" i="43"/>
  <c r="P703" i="43"/>
  <c r="O703" i="43"/>
  <c r="N703" i="43"/>
  <c r="M703" i="43"/>
  <c r="L703" i="43"/>
  <c r="K703" i="43"/>
  <c r="J703" i="43"/>
  <c r="F702" i="43"/>
  <c r="F697" i="43"/>
  <c r="V684" i="43"/>
  <c r="U684" i="43"/>
  <c r="T684" i="43"/>
  <c r="S684" i="43"/>
  <c r="R684" i="43"/>
  <c r="Q684" i="43"/>
  <c r="P684" i="43"/>
  <c r="O684" i="43"/>
  <c r="N684" i="43"/>
  <c r="M684" i="43"/>
  <c r="L684" i="43"/>
  <c r="K684" i="43"/>
  <c r="J684" i="43"/>
  <c r="V630" i="43"/>
  <c r="U630" i="43"/>
  <c r="T630" i="43"/>
  <c r="S630" i="43"/>
  <c r="R630" i="43"/>
  <c r="Q630" i="43"/>
  <c r="P630" i="43"/>
  <c r="O630" i="43"/>
  <c r="N630" i="43"/>
  <c r="M630" i="43"/>
  <c r="L630" i="43"/>
  <c r="K630" i="43"/>
  <c r="J630" i="43"/>
  <c r="V625" i="43"/>
  <c r="U625" i="43"/>
  <c r="T625" i="43"/>
  <c r="S625" i="43"/>
  <c r="R625" i="43"/>
  <c r="Q625" i="43"/>
  <c r="P625" i="43"/>
  <c r="O625" i="43"/>
  <c r="N625" i="43"/>
  <c r="M625" i="43"/>
  <c r="L625" i="43"/>
  <c r="K625" i="43"/>
  <c r="J625" i="43"/>
  <c r="V620" i="43"/>
  <c r="U620" i="43"/>
  <c r="T620" i="43"/>
  <c r="S620" i="43"/>
  <c r="R620" i="43"/>
  <c r="Q620" i="43"/>
  <c r="P620" i="43"/>
  <c r="O620" i="43"/>
  <c r="N620" i="43"/>
  <c r="M620" i="43"/>
  <c r="L620" i="43"/>
  <c r="K620" i="43"/>
  <c r="J620" i="43"/>
  <c r="V615" i="43"/>
  <c r="U615" i="43"/>
  <c r="T615" i="43"/>
  <c r="S615" i="43"/>
  <c r="R615" i="43"/>
  <c r="Q615" i="43"/>
  <c r="P615" i="43"/>
  <c r="O615" i="43"/>
  <c r="N615" i="43"/>
  <c r="M615" i="43"/>
  <c r="L615" i="43"/>
  <c r="K615" i="43"/>
  <c r="J615" i="43"/>
  <c r="V610" i="43"/>
  <c r="U610" i="43"/>
  <c r="T610" i="43"/>
  <c r="S610" i="43"/>
  <c r="R610" i="43"/>
  <c r="Q610" i="43"/>
  <c r="P610" i="43"/>
  <c r="O610" i="43"/>
  <c r="N610" i="43"/>
  <c r="M610" i="43"/>
  <c r="L610" i="43"/>
  <c r="K610" i="43"/>
  <c r="J610" i="43"/>
  <c r="V604" i="43"/>
  <c r="U604" i="43"/>
  <c r="T604" i="43"/>
  <c r="S604" i="43"/>
  <c r="R604" i="43"/>
  <c r="Q604" i="43"/>
  <c r="P604" i="43"/>
  <c r="O604" i="43"/>
  <c r="N604" i="43"/>
  <c r="M604" i="43"/>
  <c r="L604" i="43"/>
  <c r="K604" i="43"/>
  <c r="J604" i="43"/>
  <c r="F603" i="43"/>
  <c r="F597" i="43"/>
  <c r="F528" i="43"/>
  <c r="V459" i="43"/>
  <c r="U459" i="43"/>
  <c r="T459" i="43"/>
  <c r="S459" i="43"/>
  <c r="R459" i="43"/>
  <c r="Q459" i="43"/>
  <c r="P459" i="43"/>
  <c r="O459" i="43"/>
  <c r="N459" i="43"/>
  <c r="M459" i="43"/>
  <c r="L459" i="43"/>
  <c r="K459" i="43"/>
  <c r="J459" i="43"/>
  <c r="F458" i="43"/>
  <c r="V403" i="43"/>
  <c r="U403" i="43"/>
  <c r="T403" i="43"/>
  <c r="S403" i="43"/>
  <c r="R403" i="43"/>
  <c r="Q403" i="43"/>
  <c r="P403" i="43"/>
  <c r="O403" i="43"/>
  <c r="N403" i="43"/>
  <c r="M403" i="43"/>
  <c r="L403" i="43"/>
  <c r="K403" i="43"/>
  <c r="J403" i="43"/>
  <c r="F398" i="43"/>
  <c r="V392" i="43"/>
  <c r="U392" i="43"/>
  <c r="T392" i="43"/>
  <c r="S392" i="43"/>
  <c r="R392" i="43"/>
  <c r="Q392" i="43"/>
  <c r="P392" i="43"/>
  <c r="O392" i="43"/>
  <c r="N392" i="43"/>
  <c r="M392" i="43"/>
  <c r="L392" i="43"/>
  <c r="K392" i="43"/>
  <c r="J392" i="43"/>
  <c r="F387" i="43"/>
  <c r="V370" i="43"/>
  <c r="U370" i="43"/>
  <c r="T370" i="43"/>
  <c r="S370" i="43"/>
  <c r="R370" i="43"/>
  <c r="Q370" i="43"/>
  <c r="P370" i="43"/>
  <c r="O370" i="43"/>
  <c r="N370" i="43"/>
  <c r="M370" i="43"/>
  <c r="L370" i="43"/>
  <c r="K369" i="43"/>
  <c r="J369" i="43"/>
  <c r="J375" i="43" s="1"/>
  <c r="F242" i="43"/>
  <c r="F236" i="43"/>
  <c r="F230" i="43"/>
  <c r="F224" i="43"/>
  <c r="F213" i="43"/>
  <c r="F202" i="43"/>
  <c r="V173" i="43"/>
  <c r="U173" i="43"/>
  <c r="T173" i="43"/>
  <c r="S173" i="43"/>
  <c r="R173" i="43"/>
  <c r="Q173" i="43"/>
  <c r="P173" i="43"/>
  <c r="O173" i="43"/>
  <c r="N173" i="43"/>
  <c r="M173" i="43"/>
  <c r="L173" i="43"/>
  <c r="K173" i="43"/>
  <c r="J173" i="43"/>
  <c r="F168" i="43"/>
  <c r="V162" i="43"/>
  <c r="U162" i="43"/>
  <c r="T162" i="43"/>
  <c r="S162" i="43"/>
  <c r="R162" i="43"/>
  <c r="Q162" i="43"/>
  <c r="P162" i="43"/>
  <c r="O162" i="43"/>
  <c r="N162" i="43"/>
  <c r="M162" i="43"/>
  <c r="L162" i="43"/>
  <c r="K162" i="43"/>
  <c r="J162" i="43"/>
  <c r="F157" i="43"/>
  <c r="L145" i="43"/>
  <c r="K145" i="43"/>
  <c r="J145" i="43"/>
  <c r="M142" i="43"/>
  <c r="N142" i="43" s="1"/>
  <c r="O142" i="43" s="1"/>
  <c r="P142" i="43" s="1"/>
  <c r="Q142" i="43" s="1"/>
  <c r="R142" i="43" s="1"/>
  <c r="S142" i="43" s="1"/>
  <c r="T142" i="43" s="1"/>
  <c r="U142" i="43" s="1"/>
  <c r="V142" i="43" s="1"/>
  <c r="K142" i="43"/>
  <c r="J142" i="43"/>
  <c r="M141" i="43"/>
  <c r="F141" i="43"/>
  <c r="L137" i="43"/>
  <c r="K137" i="43"/>
  <c r="J137" i="43"/>
  <c r="M134" i="43"/>
  <c r="N134" i="43" s="1"/>
  <c r="O134" i="43" s="1"/>
  <c r="P134" i="43" s="1"/>
  <c r="Q134" i="43" s="1"/>
  <c r="R134" i="43" s="1"/>
  <c r="S134" i="43" s="1"/>
  <c r="T134" i="43" s="1"/>
  <c r="U134" i="43" s="1"/>
  <c r="V134" i="43" s="1"/>
  <c r="K134" i="43"/>
  <c r="J134" i="43"/>
  <c r="M133" i="43"/>
  <c r="F133" i="43"/>
  <c r="F93" i="43"/>
  <c r="F87" i="43"/>
  <c r="F75" i="43"/>
  <c r="F69" i="43"/>
  <c r="F58" i="43"/>
  <c r="F52" i="43"/>
  <c r="E11" i="43"/>
  <c r="F11" i="43" s="1"/>
  <c r="I8" i="43"/>
  <c r="I1260" i="43" s="1"/>
  <c r="J6" i="43"/>
  <c r="D19" i="40"/>
  <c r="E19" i="40"/>
  <c r="F19" i="40"/>
  <c r="G19" i="40"/>
  <c r="H19" i="40"/>
  <c r="E1316" i="11"/>
  <c r="F1222" i="11"/>
  <c r="F1283" i="11"/>
  <c r="F1281" i="11" s="1"/>
  <c r="H1281" i="11"/>
  <c r="I1279" i="11" s="1"/>
  <c r="E1229" i="11"/>
  <c r="E1228" i="11"/>
  <c r="F1228" i="11" s="1"/>
  <c r="E1227" i="11"/>
  <c r="F1219" i="11"/>
  <c r="F1218" i="11"/>
  <c r="E1236" i="11"/>
  <c r="E1261" i="11" s="1"/>
  <c r="E1208" i="11"/>
  <c r="J7" i="43" l="1"/>
  <c r="K6" i="43" s="1"/>
  <c r="K7" i="43" s="1"/>
  <c r="E12" i="43"/>
  <c r="F12" i="43" s="1"/>
  <c r="G1144" i="43"/>
  <c r="E1080" i="43"/>
  <c r="E1147" i="43"/>
  <c r="F1084" i="43"/>
  <c r="E1081" i="43"/>
  <c r="F1009" i="43"/>
  <c r="F1010" i="43" s="1"/>
  <c r="F1011" i="43" s="1"/>
  <c r="E1062" i="43"/>
  <c r="E1054" i="43"/>
  <c r="T450" i="43"/>
  <c r="K375" i="43"/>
  <c r="K720" i="43"/>
  <c r="Q720" i="43"/>
  <c r="V1280" i="43"/>
  <c r="S720" i="43"/>
  <c r="V720" i="43"/>
  <c r="M720" i="43"/>
  <c r="N720" i="43"/>
  <c r="O720" i="43"/>
  <c r="R720" i="43"/>
  <c r="U720" i="43"/>
  <c r="P798" i="43"/>
  <c r="J1280" i="43"/>
  <c r="K1280" i="43"/>
  <c r="L1280" i="43"/>
  <c r="M1280" i="43"/>
  <c r="N1280" i="43"/>
  <c r="O1280" i="43"/>
  <c r="P1280" i="43"/>
  <c r="I1268" i="43"/>
  <c r="I1270" i="43" s="1"/>
  <c r="R1280" i="43"/>
  <c r="S1280" i="43"/>
  <c r="T1280" i="43"/>
  <c r="U1280" i="43"/>
  <c r="K11" i="43"/>
  <c r="K12" i="43" s="1"/>
  <c r="K8" i="43"/>
  <c r="L6" i="43"/>
  <c r="L7" i="43" s="1"/>
  <c r="K9" i="43"/>
  <c r="J9" i="43"/>
  <c r="E1095" i="43"/>
  <c r="G1076" i="43" s="1"/>
  <c r="F1076" i="43" s="1"/>
  <c r="G1051" i="43"/>
  <c r="F1051" i="43" s="1"/>
  <c r="M145" i="43"/>
  <c r="N141" i="43"/>
  <c r="J8" i="43"/>
  <c r="J11" i="43"/>
  <c r="J12" i="43" s="1"/>
  <c r="J135" i="43" s="1"/>
  <c r="E1087" i="43"/>
  <c r="E1083" i="43" s="1"/>
  <c r="N133" i="43"/>
  <c r="M137" i="43"/>
  <c r="E1061" i="43"/>
  <c r="T798" i="43"/>
  <c r="Q798" i="43"/>
  <c r="M798" i="43"/>
  <c r="O798" i="43"/>
  <c r="K798" i="43"/>
  <c r="J798" i="43"/>
  <c r="V798" i="43"/>
  <c r="U798" i="43"/>
  <c r="L798" i="43"/>
  <c r="N798" i="43"/>
  <c r="S798" i="43"/>
  <c r="F1158" i="43"/>
  <c r="L720" i="43"/>
  <c r="T720" i="43"/>
  <c r="P720" i="43"/>
  <c r="F1074" i="43"/>
  <c r="F1115" i="43"/>
  <c r="F1124" i="43" s="1"/>
  <c r="E1143" i="43"/>
  <c r="J698" i="43" l="1"/>
  <c r="J776" i="43"/>
  <c r="E1055" i="43"/>
  <c r="F1054" i="43"/>
  <c r="F1062" i="43" s="1"/>
  <c r="G1062" i="43" s="1"/>
  <c r="F1212" i="43"/>
  <c r="G1054" i="43"/>
  <c r="E1057" i="43"/>
  <c r="D1088" i="43" s="1"/>
  <c r="E1063" i="43"/>
  <c r="F1061" i="43" s="1"/>
  <c r="G1077" i="43"/>
  <c r="F1077" i="43" s="1"/>
  <c r="K41" i="43"/>
  <c r="K792" i="43"/>
  <c r="K776" i="43"/>
  <c r="K135" i="43"/>
  <c r="K143" i="43"/>
  <c r="K864" i="43"/>
  <c r="K698" i="43"/>
  <c r="K1323" i="43"/>
  <c r="K1327" i="43" s="1"/>
  <c r="J143" i="43"/>
  <c r="G1143" i="43"/>
  <c r="F1143" i="43" s="1"/>
  <c r="H1143" i="43" s="1"/>
  <c r="F1122" i="43"/>
  <c r="F1128" i="43" s="1"/>
  <c r="E1141" i="43"/>
  <c r="N137" i="43"/>
  <c r="O133" i="43"/>
  <c r="M6" i="43"/>
  <c r="M7" i="43" s="1"/>
  <c r="L11" i="43"/>
  <c r="L12" i="43" s="1"/>
  <c r="L9" i="43"/>
  <c r="L8" i="43"/>
  <c r="O141" i="43"/>
  <c r="N145" i="43"/>
  <c r="K1109" i="43"/>
  <c r="K937" i="43"/>
  <c r="K941" i="43" s="1"/>
  <c r="K1260" i="43"/>
  <c r="K834" i="43"/>
  <c r="K925" i="43"/>
  <c r="K927" i="43" s="1"/>
  <c r="K930" i="43"/>
  <c r="K934" i="43" s="1"/>
  <c r="K285" i="43"/>
  <c r="K328" i="43" s="1"/>
  <c r="K837" i="43"/>
  <c r="K679" i="43"/>
  <c r="K562" i="43"/>
  <c r="K847" i="43"/>
  <c r="K848" i="43" s="1"/>
  <c r="K944" i="43"/>
  <c r="K989" i="43"/>
  <c r="K129" i="43"/>
  <c r="K365" i="43"/>
  <c r="K368" i="43" s="1"/>
  <c r="K444" i="11" s="1"/>
  <c r="K409" i="43"/>
  <c r="K325" i="43"/>
  <c r="K412" i="43"/>
  <c r="K922" i="43"/>
  <c r="K30" i="43" s="1"/>
  <c r="K282" i="43"/>
  <c r="K445" i="43"/>
  <c r="K757" i="43"/>
  <c r="J813" i="43"/>
  <c r="J884" i="43"/>
  <c r="K884" i="43" s="1"/>
  <c r="J718" i="43"/>
  <c r="K718" i="43" s="1"/>
  <c r="L718" i="43" s="1"/>
  <c r="J828" i="43"/>
  <c r="J792" i="43"/>
  <c r="J68" i="43"/>
  <c r="J41" i="43"/>
  <c r="J99" i="43"/>
  <c r="K14" i="43"/>
  <c r="J14" i="43"/>
  <c r="J864" i="43"/>
  <c r="E1089" i="43"/>
  <c r="J1260" i="43"/>
  <c r="J1109" i="43"/>
  <c r="J925" i="43"/>
  <c r="J927" i="43" s="1"/>
  <c r="J847" i="43"/>
  <c r="J848" i="43" s="1"/>
  <c r="J937" i="43"/>
  <c r="J941" i="43" s="1"/>
  <c r="J679" i="43"/>
  <c r="J602" i="43"/>
  <c r="K602" i="43" s="1"/>
  <c r="J412" i="43"/>
  <c r="J282" i="43"/>
  <c r="J445" i="43"/>
  <c r="J365" i="43"/>
  <c r="J368" i="43" s="1"/>
  <c r="J444" i="11" s="1"/>
  <c r="J922" i="43"/>
  <c r="J30" i="43" s="1"/>
  <c r="J562" i="43"/>
  <c r="J325" i="43"/>
  <c r="J285" i="43"/>
  <c r="J328" i="43" s="1"/>
  <c r="J930" i="43"/>
  <c r="J934" i="43" s="1"/>
  <c r="J867" i="43"/>
  <c r="K867" i="43" s="1"/>
  <c r="J837" i="43"/>
  <c r="J757" i="43"/>
  <c r="J701" i="43"/>
  <c r="K701" i="43" s="1"/>
  <c r="J129" i="43"/>
  <c r="J944" i="43"/>
  <c r="J834" i="43"/>
  <c r="J989" i="43"/>
  <c r="J409" i="43"/>
  <c r="J1323" i="43"/>
  <c r="J1327" i="43" s="1"/>
  <c r="D1151" i="43" l="1"/>
  <c r="D1084" i="43"/>
  <c r="F1080" i="43"/>
  <c r="F1081" i="43" s="1"/>
  <c r="G1081" i="43" s="1"/>
  <c r="D1058" i="43"/>
  <c r="D1087" i="43"/>
  <c r="D1060" i="43"/>
  <c r="D1063" i="43"/>
  <c r="D1061" i="43"/>
  <c r="D1152" i="43"/>
  <c r="J838" i="43"/>
  <c r="D1059" i="43"/>
  <c r="D1085" i="43"/>
  <c r="D1062" i="43"/>
  <c r="D1086" i="43"/>
  <c r="F1055" i="43"/>
  <c r="E1150" i="43"/>
  <c r="E1148" i="43"/>
  <c r="F1217" i="43"/>
  <c r="K329" i="43"/>
  <c r="K403" i="11"/>
  <c r="J329" i="43"/>
  <c r="J333" i="43" s="1"/>
  <c r="J403" i="11"/>
  <c r="K147" i="43"/>
  <c r="O137" i="43"/>
  <c r="P133" i="43"/>
  <c r="F1141" i="43"/>
  <c r="J147" i="43"/>
  <c r="L1109" i="43"/>
  <c r="L937" i="43"/>
  <c r="L941" i="43" s="1"/>
  <c r="L989" i="43"/>
  <c r="L925" i="43"/>
  <c r="L927" i="43" s="1"/>
  <c r="L922" i="43"/>
  <c r="L30" i="43" s="1"/>
  <c r="L930" i="43"/>
  <c r="L934" i="43" s="1"/>
  <c r="L1260" i="43"/>
  <c r="L867" i="43"/>
  <c r="L944" i="43"/>
  <c r="L701" i="43"/>
  <c r="L757" i="43"/>
  <c r="L602" i="43"/>
  <c r="L445" i="43"/>
  <c r="L847" i="43"/>
  <c r="L848" i="43" s="1"/>
  <c r="L837" i="43"/>
  <c r="L365" i="43"/>
  <c r="L282" i="43"/>
  <c r="L834" i="43"/>
  <c r="L412" i="43"/>
  <c r="L325" i="43"/>
  <c r="L129" i="43"/>
  <c r="L562" i="43"/>
  <c r="L679" i="43"/>
  <c r="L409" i="43"/>
  <c r="L792" i="43"/>
  <c r="L135" i="43"/>
  <c r="L143" i="43"/>
  <c r="L41" i="43"/>
  <c r="L776" i="43"/>
  <c r="L698" i="43"/>
  <c r="L864" i="43"/>
  <c r="L1323" i="43"/>
  <c r="L1327" i="43" s="1"/>
  <c r="M9" i="43"/>
  <c r="M11" i="43"/>
  <c r="M12" i="43" s="1"/>
  <c r="N6" i="43"/>
  <c r="N7" i="43" s="1"/>
  <c r="M8" i="43"/>
  <c r="G1055" i="43"/>
  <c r="J830" i="43"/>
  <c r="K828" i="43"/>
  <c r="L884" i="43"/>
  <c r="F1130" i="43"/>
  <c r="E1154" i="43"/>
  <c r="K99" i="43"/>
  <c r="K838" i="43"/>
  <c r="K68" i="43"/>
  <c r="J69" i="43"/>
  <c r="L14" i="43"/>
  <c r="K813" i="43"/>
  <c r="J815" i="43"/>
  <c r="O145" i="43"/>
  <c r="P141" i="43"/>
  <c r="D1089" i="43"/>
  <c r="F1087" i="43"/>
  <c r="F1088" i="43" l="1"/>
  <c r="L368" i="43"/>
  <c r="L444" i="11" s="1"/>
  <c r="L147" i="43"/>
  <c r="F1147" i="43"/>
  <c r="F1148" i="43"/>
  <c r="F1228" i="43"/>
  <c r="F1155" i="43"/>
  <c r="F1057" i="43"/>
  <c r="G1057" i="43" s="1"/>
  <c r="Q141" i="43"/>
  <c r="P145" i="43"/>
  <c r="L68" i="43"/>
  <c r="K69" i="43"/>
  <c r="M884" i="43"/>
  <c r="L838" i="43"/>
  <c r="D1153" i="43"/>
  <c r="L828" i="43"/>
  <c r="K830" i="43"/>
  <c r="D1154" i="43"/>
  <c r="E1156" i="43"/>
  <c r="D1156" i="43" s="1"/>
  <c r="M1260" i="43"/>
  <c r="M989" i="43"/>
  <c r="M930" i="43"/>
  <c r="M934" i="43" s="1"/>
  <c r="M922" i="43"/>
  <c r="M30" i="43" s="1"/>
  <c r="M937" i="43"/>
  <c r="M941" i="43" s="1"/>
  <c r="M1109" i="43"/>
  <c r="M757" i="43"/>
  <c r="M944" i="43"/>
  <c r="M701" i="43"/>
  <c r="M925" i="43"/>
  <c r="M927" i="43" s="1"/>
  <c r="M834" i="43"/>
  <c r="M325" i="43"/>
  <c r="M602" i="43"/>
  <c r="M679" i="43"/>
  <c r="M409" i="43"/>
  <c r="M282" i="43"/>
  <c r="M445" i="43"/>
  <c r="M562" i="43"/>
  <c r="M365" i="43"/>
  <c r="M867" i="43"/>
  <c r="M412" i="43"/>
  <c r="M129" i="43"/>
  <c r="N11" i="43"/>
  <c r="N12" i="43" s="1"/>
  <c r="N8" i="43"/>
  <c r="N9" i="43"/>
  <c r="O6" i="43"/>
  <c r="O7" i="43" s="1"/>
  <c r="M776" i="43"/>
  <c r="M792" i="43"/>
  <c r="M698" i="43"/>
  <c r="M41" i="43"/>
  <c r="M864" i="43"/>
  <c r="M1323" i="43"/>
  <c r="M1327" i="43" s="1"/>
  <c r="M135" i="43"/>
  <c r="M143" i="43"/>
  <c r="M14" i="43"/>
  <c r="F1083" i="43"/>
  <c r="L99" i="43"/>
  <c r="M718" i="43"/>
  <c r="P137" i="43"/>
  <c r="Q133" i="43"/>
  <c r="K815" i="43"/>
  <c r="L813" i="43"/>
  <c r="M368" i="43" l="1"/>
  <c r="M444" i="11" s="1"/>
  <c r="L369" i="43"/>
  <c r="L373" i="43" s="1"/>
  <c r="R141" i="43"/>
  <c r="Q145" i="43"/>
  <c r="O9" i="43"/>
  <c r="P6" i="43"/>
  <c r="P7" i="43" s="1"/>
  <c r="O8" i="43"/>
  <c r="O11" i="43"/>
  <c r="O12" i="43" s="1"/>
  <c r="M68" i="43"/>
  <c r="L69" i="43"/>
  <c r="N944" i="43"/>
  <c r="N1260" i="43"/>
  <c r="N930" i="43"/>
  <c r="N934" i="43" s="1"/>
  <c r="N922" i="43"/>
  <c r="N30" i="43" s="1"/>
  <c r="N679" i="43"/>
  <c r="N937" i="43"/>
  <c r="N941" i="43" s="1"/>
  <c r="N1109" i="43"/>
  <c r="N757" i="43"/>
  <c r="N701" i="43"/>
  <c r="N602" i="43"/>
  <c r="N989" i="43"/>
  <c r="N834" i="43"/>
  <c r="N129" i="43"/>
  <c r="N445" i="43"/>
  <c r="N562" i="43"/>
  <c r="N282" i="43"/>
  <c r="N325" i="43"/>
  <c r="N365" i="43"/>
  <c r="N867" i="43"/>
  <c r="N412" i="43"/>
  <c r="N409" i="43"/>
  <c r="N884" i="43"/>
  <c r="G1148" i="43"/>
  <c r="N792" i="43"/>
  <c r="N41" i="43"/>
  <c r="N776" i="43"/>
  <c r="N1323" i="43"/>
  <c r="N1327" i="43" s="1"/>
  <c r="N864" i="43"/>
  <c r="N698" i="43"/>
  <c r="N143" i="43"/>
  <c r="N135" i="43"/>
  <c r="N14" i="43"/>
  <c r="E1149" i="43"/>
  <c r="N718" i="43"/>
  <c r="L830" i="43"/>
  <c r="M828" i="43"/>
  <c r="M99" i="43"/>
  <c r="M813" i="43"/>
  <c r="L815" i="43"/>
  <c r="Q137" i="43"/>
  <c r="R133" i="43"/>
  <c r="M147" i="43"/>
  <c r="M369" i="43" l="1"/>
  <c r="M373" i="43" s="1"/>
  <c r="L375" i="43"/>
  <c r="N368" i="43"/>
  <c r="N444" i="11" s="1"/>
  <c r="O718" i="43"/>
  <c r="R137" i="43"/>
  <c r="S133" i="43"/>
  <c r="N99" i="43"/>
  <c r="L378" i="43"/>
  <c r="L377" i="43"/>
  <c r="N147" i="43"/>
  <c r="O884" i="43"/>
  <c r="R145" i="43"/>
  <c r="S141" i="43"/>
  <c r="N68" i="43"/>
  <c r="M69" i="43"/>
  <c r="N813" i="43"/>
  <c r="M815" i="43"/>
  <c r="O792" i="43"/>
  <c r="O41" i="43"/>
  <c r="O776" i="43"/>
  <c r="O698" i="43"/>
  <c r="O1323" i="43"/>
  <c r="O1327" i="43" s="1"/>
  <c r="O864" i="43"/>
  <c r="O135" i="43"/>
  <c r="O143" i="43"/>
  <c r="O944" i="43"/>
  <c r="O989" i="43"/>
  <c r="O867" i="43"/>
  <c r="O922" i="43"/>
  <c r="O30" i="43" s="1"/>
  <c r="O679" i="43"/>
  <c r="O1109" i="43"/>
  <c r="O1260" i="43"/>
  <c r="O602" i="43"/>
  <c r="O937" i="43"/>
  <c r="O941" i="43" s="1"/>
  <c r="O445" i="43"/>
  <c r="O365" i="43"/>
  <c r="O834" i="43"/>
  <c r="O562" i="43"/>
  <c r="O325" i="43"/>
  <c r="O757" i="43"/>
  <c r="O282" i="43"/>
  <c r="O409" i="43"/>
  <c r="O701" i="43"/>
  <c r="O129" i="43"/>
  <c r="Q6" i="43"/>
  <c r="Q7" i="43" s="1"/>
  <c r="P11" i="43"/>
  <c r="P12" i="43" s="1"/>
  <c r="P9" i="43"/>
  <c r="P8" i="43"/>
  <c r="M375" i="43"/>
  <c r="N828" i="43"/>
  <c r="M830" i="43"/>
  <c r="O14" i="43"/>
  <c r="N369" i="43" l="1"/>
  <c r="N373" i="43" s="1"/>
  <c r="O368" i="43"/>
  <c r="O444" i="11" s="1"/>
  <c r="O369" i="43"/>
  <c r="O373" i="43" s="1"/>
  <c r="P792" i="43"/>
  <c r="P776" i="43"/>
  <c r="P41" i="43"/>
  <c r="P864" i="43"/>
  <c r="P698" i="43"/>
  <c r="P1323" i="43"/>
  <c r="P1327" i="43" s="1"/>
  <c r="P143" i="43"/>
  <c r="P135" i="43"/>
  <c r="R6" i="43"/>
  <c r="R7" i="43" s="1"/>
  <c r="Q11" i="43"/>
  <c r="Q12" i="43" s="1"/>
  <c r="Q14" i="43" s="1"/>
  <c r="Q9" i="43"/>
  <c r="Q8" i="43"/>
  <c r="O147" i="43"/>
  <c r="P884" i="43"/>
  <c r="N815" i="43"/>
  <c r="O813" i="43"/>
  <c r="O68" i="43"/>
  <c r="N69" i="43"/>
  <c r="O99" i="43"/>
  <c r="N830" i="43"/>
  <c r="O828" i="43"/>
  <c r="T141" i="43"/>
  <c r="S145" i="43"/>
  <c r="P718" i="43"/>
  <c r="T133" i="43"/>
  <c r="S137" i="43"/>
  <c r="P14" i="43"/>
  <c r="M377" i="43"/>
  <c r="M378" i="43"/>
  <c r="P989" i="43"/>
  <c r="P834" i="43"/>
  <c r="P1260" i="43"/>
  <c r="P922" i="43"/>
  <c r="P30" i="43" s="1"/>
  <c r="P944" i="43"/>
  <c r="P757" i="43"/>
  <c r="P867" i="43"/>
  <c r="P562" i="43"/>
  <c r="P365" i="43"/>
  <c r="P282" i="43"/>
  <c r="P325" i="43"/>
  <c r="P701" i="43"/>
  <c r="P445" i="43"/>
  <c r="P1109" i="43"/>
  <c r="P602" i="43"/>
  <c r="P409" i="43"/>
  <c r="P129" i="43"/>
  <c r="P679" i="43"/>
  <c r="N375" i="43" l="1"/>
  <c r="P368" i="43"/>
  <c r="P444" i="11" s="1"/>
  <c r="N377" i="43"/>
  <c r="N378" i="43"/>
  <c r="O830" i="43"/>
  <c r="P828" i="43"/>
  <c r="O375" i="43"/>
  <c r="Q792" i="43"/>
  <c r="Q776" i="43"/>
  <c r="Q698" i="43"/>
  <c r="Q41" i="43"/>
  <c r="Q864" i="43"/>
  <c r="Q1323" i="43"/>
  <c r="Q1327" i="43" s="1"/>
  <c r="Q143" i="43"/>
  <c r="Q135" i="43"/>
  <c r="P147" i="43"/>
  <c r="T137" i="43"/>
  <c r="U133" i="43"/>
  <c r="P99" i="43"/>
  <c r="R11" i="43"/>
  <c r="R12" i="43" s="1"/>
  <c r="R8" i="43"/>
  <c r="R9" i="43"/>
  <c r="S6" i="43"/>
  <c r="S7" i="43" s="1"/>
  <c r="Q718" i="43"/>
  <c r="Q884" i="43"/>
  <c r="Q1260" i="43"/>
  <c r="Q989" i="43"/>
  <c r="Q1109" i="43"/>
  <c r="Q834" i="43"/>
  <c r="Q701" i="43"/>
  <c r="Q445" i="43"/>
  <c r="Q757" i="43"/>
  <c r="Q867" i="43"/>
  <c r="Q562" i="43"/>
  <c r="Q944" i="43"/>
  <c r="Q922" i="43"/>
  <c r="Q30" i="43" s="1"/>
  <c r="Q129" i="43"/>
  <c r="Q409" i="43"/>
  <c r="Q602" i="43"/>
  <c r="Q282" i="43"/>
  <c r="Q365" i="43"/>
  <c r="Q679" i="43"/>
  <c r="Q325" i="43"/>
  <c r="O815" i="43"/>
  <c r="P813" i="43"/>
  <c r="T145" i="43"/>
  <c r="U141" i="43"/>
  <c r="P68" i="43"/>
  <c r="O69" i="43"/>
  <c r="Q368" i="43" l="1"/>
  <c r="Q444" i="11" s="1"/>
  <c r="Q147" i="43"/>
  <c r="P369" i="43"/>
  <c r="P373" i="43" s="1"/>
  <c r="O378" i="43"/>
  <c r="O377" i="43"/>
  <c r="R718" i="43"/>
  <c r="V141" i="43"/>
  <c r="U145" i="43"/>
  <c r="R792" i="43"/>
  <c r="R776" i="43"/>
  <c r="R698" i="43"/>
  <c r="R41" i="43"/>
  <c r="R864" i="43"/>
  <c r="R1323" i="43"/>
  <c r="R1327" i="43" s="1"/>
  <c r="R143" i="43"/>
  <c r="R135" i="43"/>
  <c r="R14" i="43"/>
  <c r="Q813" i="43"/>
  <c r="P815" i="43"/>
  <c r="V133" i="43"/>
  <c r="U137" i="43"/>
  <c r="Q99" i="43"/>
  <c r="Q828" i="43"/>
  <c r="P830" i="43"/>
  <c r="Q68" i="43"/>
  <c r="P69" i="43"/>
  <c r="S11" i="43"/>
  <c r="S12" i="43" s="1"/>
  <c r="S8" i="43"/>
  <c r="S9" i="43"/>
  <c r="T6" i="43"/>
  <c r="T7" i="43" s="1"/>
  <c r="R884" i="43"/>
  <c r="R1109" i="43"/>
  <c r="R867" i="43"/>
  <c r="R922" i="43"/>
  <c r="R30" i="43" s="1"/>
  <c r="R701" i="43"/>
  <c r="R757" i="43"/>
  <c r="R602" i="43"/>
  <c r="R834" i="43"/>
  <c r="R944" i="43"/>
  <c r="R679" i="43"/>
  <c r="R409" i="43"/>
  <c r="R562" i="43"/>
  <c r="R365" i="43"/>
  <c r="R325" i="43"/>
  <c r="R1260" i="43"/>
  <c r="R129" i="43"/>
  <c r="R282" i="43"/>
  <c r="R445" i="43"/>
  <c r="R989" i="43"/>
  <c r="P375" i="43" l="1"/>
  <c r="S718" i="43"/>
  <c r="R368" i="43"/>
  <c r="R444" i="11" s="1"/>
  <c r="R147" i="43"/>
  <c r="Q369" i="43"/>
  <c r="Q373" i="43" s="1"/>
  <c r="R813" i="43"/>
  <c r="Q815" i="43"/>
  <c r="V137" i="43"/>
  <c r="R828" i="43"/>
  <c r="Q830" i="43"/>
  <c r="R99" i="43"/>
  <c r="R68" i="43"/>
  <c r="Q69" i="43"/>
  <c r="P377" i="43"/>
  <c r="P378" i="43"/>
  <c r="V145" i="43"/>
  <c r="U6" i="43"/>
  <c r="U7" i="43" s="1"/>
  <c r="T9" i="43"/>
  <c r="T1247" i="43" s="1"/>
  <c r="T8" i="43"/>
  <c r="T11" i="43"/>
  <c r="T12" i="43" s="1"/>
  <c r="S1260" i="43"/>
  <c r="S867" i="43"/>
  <c r="S602" i="43"/>
  <c r="S922" i="43"/>
  <c r="S30" i="43" s="1"/>
  <c r="S1109" i="43"/>
  <c r="S944" i="43"/>
  <c r="S701" i="43"/>
  <c r="S562" i="43"/>
  <c r="S679" i="43"/>
  <c r="S282" i="43"/>
  <c r="S325" i="43"/>
  <c r="S409" i="43"/>
  <c r="S757" i="43"/>
  <c r="S834" i="43"/>
  <c r="S445" i="43"/>
  <c r="S989" i="43"/>
  <c r="S129" i="43"/>
  <c r="S365" i="43"/>
  <c r="S792" i="43"/>
  <c r="S41" i="43"/>
  <c r="S1323" i="43"/>
  <c r="S1327" i="43" s="1"/>
  <c r="S864" i="43"/>
  <c r="S698" i="43"/>
  <c r="S776" i="43"/>
  <c r="S143" i="43"/>
  <c r="S14" i="43"/>
  <c r="S135" i="43"/>
  <c r="S884" i="43"/>
  <c r="R369" i="43" l="1"/>
  <c r="R373" i="43" s="1"/>
  <c r="Q375" i="43"/>
  <c r="S368" i="43"/>
  <c r="S444" i="11" s="1"/>
  <c r="Q377" i="43"/>
  <c r="Q378" i="43"/>
  <c r="T792" i="43"/>
  <c r="T776" i="43"/>
  <c r="T41" i="43"/>
  <c r="T698" i="43"/>
  <c r="T864" i="43"/>
  <c r="T1323" i="43"/>
  <c r="T1327" i="43" s="1"/>
  <c r="T14" i="43"/>
  <c r="T143" i="43"/>
  <c r="T135" i="43"/>
  <c r="T1109" i="43"/>
  <c r="T922" i="43"/>
  <c r="T30" i="43" s="1"/>
  <c r="T867" i="43"/>
  <c r="T1260" i="43"/>
  <c r="T757" i="43"/>
  <c r="T562" i="43"/>
  <c r="T944" i="43"/>
  <c r="T834" i="43"/>
  <c r="T989" i="43"/>
  <c r="T602" i="43"/>
  <c r="T445" i="43"/>
  <c r="T701" i="43"/>
  <c r="T679" i="43"/>
  <c r="T409" i="43"/>
  <c r="T325" i="43"/>
  <c r="T282" i="43"/>
  <c r="T129" i="43"/>
  <c r="T365" i="43"/>
  <c r="U8" i="43"/>
  <c r="V6" i="43"/>
  <c r="V7" i="43" s="1"/>
  <c r="U11" i="43"/>
  <c r="U12" i="43" s="1"/>
  <c r="U9" i="43"/>
  <c r="U1247" i="43" s="1"/>
  <c r="S68" i="43"/>
  <c r="R69" i="43"/>
  <c r="S99" i="43"/>
  <c r="S828" i="43"/>
  <c r="R830" i="43"/>
  <c r="R815" i="43"/>
  <c r="S813" i="43"/>
  <c r="T884" i="43"/>
  <c r="S147" i="43"/>
  <c r="R375" i="43"/>
  <c r="T718" i="43"/>
  <c r="S369" i="43" l="1"/>
  <c r="S373" i="43" s="1"/>
  <c r="U718" i="43"/>
  <c r="U884" i="43"/>
  <c r="T368" i="43"/>
  <c r="T444" i="11" s="1"/>
  <c r="T369" i="43"/>
  <c r="T373" i="43" s="1"/>
  <c r="R377" i="43"/>
  <c r="R378" i="43"/>
  <c r="U1323" i="43"/>
  <c r="U1327" i="43" s="1"/>
  <c r="U792" i="43"/>
  <c r="U776" i="43"/>
  <c r="U41" i="43"/>
  <c r="U698" i="43"/>
  <c r="U864" i="43"/>
  <c r="U14" i="43"/>
  <c r="U143" i="43"/>
  <c r="U135" i="43"/>
  <c r="T99" i="43"/>
  <c r="V11" i="43"/>
  <c r="V12" i="43" s="1"/>
  <c r="V8" i="43"/>
  <c r="V9" i="43"/>
  <c r="V1247" i="43" s="1"/>
  <c r="S375" i="43"/>
  <c r="T813" i="43"/>
  <c r="S815" i="43"/>
  <c r="U944" i="43"/>
  <c r="U989" i="43"/>
  <c r="U1260" i="43"/>
  <c r="U701" i="43"/>
  <c r="U834" i="43"/>
  <c r="U562" i="43"/>
  <c r="U679" i="43"/>
  <c r="U922" i="43"/>
  <c r="U30" i="43" s="1"/>
  <c r="U867" i="43"/>
  <c r="U757" i="43"/>
  <c r="U129" i="43"/>
  <c r="U445" i="43"/>
  <c r="U282" i="43"/>
  <c r="U1109" i="43"/>
  <c r="U365" i="43"/>
  <c r="U409" i="43"/>
  <c r="U602" i="43"/>
  <c r="U325" i="43"/>
  <c r="S830" i="43"/>
  <c r="T828" i="43"/>
  <c r="T147" i="43"/>
  <c r="T68" i="43"/>
  <c r="S69" i="43"/>
  <c r="V884" i="43" l="1"/>
  <c r="V718" i="43"/>
  <c r="U368" i="43"/>
  <c r="U444" i="11" s="1"/>
  <c r="V1109" i="43"/>
  <c r="V1260" i="43"/>
  <c r="V834" i="43"/>
  <c r="V989" i="43"/>
  <c r="V944" i="43"/>
  <c r="V867" i="43"/>
  <c r="V757" i="43"/>
  <c r="V679" i="43"/>
  <c r="V325" i="43"/>
  <c r="V365" i="43"/>
  <c r="V409" i="43"/>
  <c r="V701" i="43"/>
  <c r="V129" i="43"/>
  <c r="V562" i="43"/>
  <c r="V602" i="43"/>
  <c r="V445" i="43"/>
  <c r="V282" i="43"/>
  <c r="V922" i="43"/>
  <c r="V30" i="43" s="1"/>
  <c r="T375" i="43"/>
  <c r="V792" i="43"/>
  <c r="V776" i="43"/>
  <c r="I776" i="43" s="1"/>
  <c r="V41" i="43"/>
  <c r="V698" i="43"/>
  <c r="I698" i="43" s="1"/>
  <c r="V864" i="43"/>
  <c r="I864" i="43" s="1"/>
  <c r="V1323" i="43"/>
  <c r="V1327" i="43" s="1"/>
  <c r="V14" i="43"/>
  <c r="V143" i="43"/>
  <c r="V135" i="43"/>
  <c r="I135" i="43" s="1"/>
  <c r="U147" i="43"/>
  <c r="T830" i="43"/>
  <c r="U828" i="43"/>
  <c r="U813" i="43"/>
  <c r="T815" i="43"/>
  <c r="U99" i="43"/>
  <c r="U68" i="43"/>
  <c r="T69" i="43"/>
  <c r="S377" i="43"/>
  <c r="S378" i="43"/>
  <c r="U369" i="43" l="1"/>
  <c r="U373" i="43" s="1"/>
  <c r="V368" i="43"/>
  <c r="V444" i="11" s="1"/>
  <c r="V813" i="43"/>
  <c r="V815" i="43" s="1"/>
  <c r="U815" i="43"/>
  <c r="V828" i="43"/>
  <c r="V830" i="43" s="1"/>
  <c r="U830" i="43"/>
  <c r="T378" i="43"/>
  <c r="T377" i="43"/>
  <c r="V68" i="43"/>
  <c r="V69" i="43" s="1"/>
  <c r="U69" i="43"/>
  <c r="V99" i="43"/>
  <c r="I41" i="43"/>
  <c r="V147" i="43"/>
  <c r="I143" i="43"/>
  <c r="U375" i="43" l="1"/>
  <c r="V369" i="43"/>
  <c r="V373" i="43" s="1"/>
  <c r="U378" i="43"/>
  <c r="U377" i="43"/>
  <c r="V375" i="43"/>
  <c r="V378" i="43" l="1"/>
  <c r="V377" i="43"/>
  <c r="E31" i="42" l="1"/>
  <c r="F31" i="42" s="1"/>
  <c r="G31" i="42" s="1"/>
  <c r="H31" i="42" s="1"/>
  <c r="I31" i="42" s="1"/>
  <c r="J31" i="42" s="1"/>
  <c r="G30" i="42"/>
  <c r="V10" i="42"/>
  <c r="V13" i="42"/>
  <c r="W13" i="42"/>
  <c r="V16" i="42"/>
  <c r="V17" i="42"/>
  <c r="W9" i="42"/>
  <c r="V9" i="42"/>
  <c r="C79" i="40"/>
  <c r="L540" i="6"/>
  <c r="K41" i="6"/>
  <c r="K55" i="6"/>
  <c r="L44" i="6"/>
  <c r="M44" i="6" s="1"/>
  <c r="N44" i="6" s="1"/>
  <c r="O44" i="6" s="1"/>
  <c r="E1323" i="11"/>
  <c r="K16" i="42"/>
  <c r="J15" i="42"/>
  <c r="J16" i="42"/>
  <c r="J14" i="42"/>
  <c r="J10" i="42"/>
  <c r="J9" i="42"/>
  <c r="H15" i="42"/>
  <c r="H16" i="42"/>
  <c r="H14" i="42"/>
  <c r="T17" i="42"/>
  <c r="H9" i="42"/>
  <c r="G15" i="42"/>
  <c r="G16" i="42"/>
  <c r="G14" i="42"/>
  <c r="G10" i="42"/>
  <c r="G9" i="42"/>
  <c r="E16" i="42"/>
  <c r="D15" i="42"/>
  <c r="D16" i="42"/>
  <c r="D14" i="42"/>
  <c r="D10" i="42"/>
  <c r="D9" i="42"/>
  <c r="J533" i="6" l="1"/>
  <c r="P44" i="6"/>
  <c r="Q44" i="6" s="1"/>
  <c r="R44" i="6" s="1"/>
  <c r="S44" i="6" s="1"/>
  <c r="T44" i="6" s="1"/>
  <c r="U44" i="6" s="1"/>
  <c r="V44" i="6" s="1"/>
  <c r="G12" i="42"/>
  <c r="D12" i="42"/>
  <c r="J12" i="42"/>
  <c r="G1280" i="11"/>
  <c r="P11" i="42" s="1"/>
  <c r="Q11" i="42" s="1"/>
  <c r="W44" i="6" l="1"/>
  <c r="P12" i="42"/>
  <c r="E1315" i="11"/>
  <c r="F1315" i="11" s="1"/>
  <c r="E1314" i="11"/>
  <c r="F1314" i="11" s="1"/>
  <c r="E14" i="42" s="1"/>
  <c r="E1281" i="11"/>
  <c r="E1280" i="11" s="1"/>
  <c r="E1307" i="11"/>
  <c r="G1307" i="11" s="1"/>
  <c r="E1309" i="11"/>
  <c r="E1310" i="11"/>
  <c r="F1310" i="11" s="1"/>
  <c r="J1279" i="11"/>
  <c r="G1221" i="11"/>
  <c r="F1221" i="11" s="1"/>
  <c r="E1253" i="11"/>
  <c r="G1253" i="11" s="1"/>
  <c r="E1252" i="11"/>
  <c r="E1251" i="11"/>
  <c r="E1243" i="11"/>
  <c r="F1243" i="11" s="1"/>
  <c r="E1244" i="11"/>
  <c r="G1244" i="11" s="1"/>
  <c r="F1244" i="11" s="1"/>
  <c r="E1245" i="11"/>
  <c r="G1245" i="11" s="1"/>
  <c r="F1245" i="11" s="1"/>
  <c r="E1246" i="11"/>
  <c r="F1246" i="11" s="1"/>
  <c r="E1247" i="11"/>
  <c r="F1247" i="11" s="1"/>
  <c r="E1242" i="11"/>
  <c r="F1242" i="11" s="1"/>
  <c r="G1220" i="11"/>
  <c r="F1220" i="11" s="1"/>
  <c r="E1224" i="11"/>
  <c r="F1197" i="11"/>
  <c r="F1199" i="11" s="1"/>
  <c r="F1203" i="11" s="1"/>
  <c r="F1175" i="11"/>
  <c r="F1177" i="11" s="1"/>
  <c r="F1181" i="11" s="1"/>
  <c r="K9" i="42" l="1"/>
  <c r="G17" i="42"/>
  <c r="G18" i="42" s="1"/>
  <c r="G19" i="42" s="1"/>
  <c r="G21" i="42" s="1"/>
  <c r="E1230" i="11"/>
  <c r="E1226" i="11"/>
  <c r="D1315" i="11" s="1"/>
  <c r="H10" i="42"/>
  <c r="H12" i="42" s="1"/>
  <c r="K10" i="42"/>
  <c r="E15" i="42"/>
  <c r="F1320" i="11"/>
  <c r="F1307" i="11" s="1"/>
  <c r="H1307" i="11" s="1"/>
  <c r="E1254" i="11"/>
  <c r="E1255" i="11" s="1"/>
  <c r="F1254" i="11" s="1"/>
  <c r="J17" i="42"/>
  <c r="J18" i="42" s="1"/>
  <c r="J19" i="42" s="1"/>
  <c r="J21" i="42" s="1"/>
  <c r="F1284" i="11"/>
  <c r="E1308" i="11" s="1"/>
  <c r="G1308" i="11" s="1"/>
  <c r="D1314" i="11"/>
  <c r="E1248" i="11"/>
  <c r="E1306" i="11"/>
  <c r="F1224" i="11"/>
  <c r="F1409" i="11" s="1"/>
  <c r="F1251" i="11"/>
  <c r="K14" i="42" s="1"/>
  <c r="F1252" i="11"/>
  <c r="K15" i="42" s="1"/>
  <c r="F1248" i="11"/>
  <c r="D1252" i="11" l="1"/>
  <c r="D1251" i="11"/>
  <c r="D1227" i="11"/>
  <c r="D1228" i="11"/>
  <c r="D1229" i="11"/>
  <c r="K12" i="42"/>
  <c r="F17" i="42"/>
  <c r="D1254" i="11"/>
  <c r="G1248" i="11"/>
  <c r="G1224" i="11"/>
  <c r="D1253" i="11"/>
  <c r="E10" i="42"/>
  <c r="K24" i="42" s="1"/>
  <c r="F1306" i="11"/>
  <c r="E1250" i="11"/>
  <c r="F1414" i="11"/>
  <c r="D1230" i="11"/>
  <c r="E1231" i="11"/>
  <c r="D1231" i="11" s="1"/>
  <c r="D1255" i="11" l="1"/>
  <c r="F1230" i="11"/>
  <c r="H17" i="42" s="1"/>
  <c r="H18" i="42" s="1"/>
  <c r="H19" i="42" s="1"/>
  <c r="H21" i="42" s="1"/>
  <c r="F1250" i="11" l="1"/>
  <c r="K17" i="42"/>
  <c r="K18" i="42" s="1"/>
  <c r="K19" i="42" s="1"/>
  <c r="K21" i="42" s="1"/>
  <c r="E24" i="40" l="1"/>
  <c r="F24" i="40"/>
  <c r="D24" i="40"/>
  <c r="E23" i="40"/>
  <c r="F23" i="40"/>
  <c r="D23" i="40"/>
  <c r="U496" i="6"/>
  <c r="F1094" i="11" l="1"/>
  <c r="N1496" i="11"/>
  <c r="N32" i="19" l="1"/>
  <c r="O32" i="19" l="1"/>
  <c r="P32" i="19" l="1"/>
  <c r="Q32" i="19" l="1"/>
  <c r="R32" i="19" l="1"/>
  <c r="S32" i="19" l="1"/>
  <c r="T32" i="19" l="1"/>
  <c r="U32" i="19" l="1"/>
  <c r="V32" i="19" l="1"/>
  <c r="G1264" i="6" l="1"/>
  <c r="G1258" i="6"/>
  <c r="U1258" i="6" l="1"/>
  <c r="V1258" i="6"/>
  <c r="W1258" i="6"/>
  <c r="N1264" i="6"/>
  <c r="M1264" i="43" s="1"/>
  <c r="W1264" i="6"/>
  <c r="V1264" i="6"/>
  <c r="T1261" i="43"/>
  <c r="T1474" i="11"/>
  <c r="S28" i="41" s="1"/>
  <c r="M1478" i="11"/>
  <c r="L151" i="41" s="1"/>
  <c r="O1264" i="6"/>
  <c r="P1264" i="6"/>
  <c r="Q1264" i="6"/>
  <c r="R1264" i="6"/>
  <c r="S1264" i="6"/>
  <c r="T1264" i="6"/>
  <c r="U1264" i="6"/>
  <c r="K1264" i="6"/>
  <c r="L1264" i="6"/>
  <c r="K1264" i="43" s="1"/>
  <c r="M1264" i="6"/>
  <c r="L1478" i="11" s="1"/>
  <c r="K1258" i="6"/>
  <c r="L1258" i="6"/>
  <c r="M1258" i="6"/>
  <c r="N1258" i="6"/>
  <c r="O1258" i="6"/>
  <c r="P1258" i="6"/>
  <c r="Q1258" i="6"/>
  <c r="R1258" i="6"/>
  <c r="S1258" i="6"/>
  <c r="T1258" i="6"/>
  <c r="V1264" i="43" l="1"/>
  <c r="V1478" i="11"/>
  <c r="U151" i="41" s="1"/>
  <c r="S1261" i="43"/>
  <c r="S1474" i="11"/>
  <c r="R28" i="41" s="1"/>
  <c r="U1264" i="43"/>
  <c r="U1478" i="11"/>
  <c r="T151" i="41" s="1"/>
  <c r="R1261" i="43"/>
  <c r="R1474" i="11"/>
  <c r="Q28" i="41" s="1"/>
  <c r="T1264" i="43"/>
  <c r="T1478" i="11"/>
  <c r="S151" i="41" s="1"/>
  <c r="Q1261" i="43"/>
  <c r="Q1474" i="11"/>
  <c r="P28" i="41" s="1"/>
  <c r="S1264" i="43"/>
  <c r="S1478" i="11"/>
  <c r="R151" i="41" s="1"/>
  <c r="P1261" i="43"/>
  <c r="P1474" i="11"/>
  <c r="O28" i="41" s="1"/>
  <c r="R1264" i="43"/>
  <c r="R1478" i="11"/>
  <c r="Q151" i="41" s="1"/>
  <c r="O1261" i="43"/>
  <c r="O1474" i="11"/>
  <c r="N28" i="41" s="1"/>
  <c r="Q1264" i="43"/>
  <c r="Q1478" i="11"/>
  <c r="P151" i="41" s="1"/>
  <c r="N1261" i="43"/>
  <c r="N1474" i="11"/>
  <c r="M28" i="41" s="1"/>
  <c r="P1264" i="43"/>
  <c r="P1478" i="11"/>
  <c r="O151" i="41" s="1"/>
  <c r="M1261" i="43"/>
  <c r="O1264" i="43"/>
  <c r="O1478" i="11"/>
  <c r="N151" i="41" s="1"/>
  <c r="L1261" i="43"/>
  <c r="N1264" i="43"/>
  <c r="N1478" i="11"/>
  <c r="M151" i="41" s="1"/>
  <c r="K1261" i="43"/>
  <c r="K1474" i="11"/>
  <c r="J28" i="41" s="1"/>
  <c r="V1261" i="43"/>
  <c r="V1474" i="11"/>
  <c r="U28" i="41" s="1"/>
  <c r="L1264" i="43"/>
  <c r="U1261" i="43"/>
  <c r="U1474" i="11"/>
  <c r="T28" i="41" s="1"/>
  <c r="J1261" i="43"/>
  <c r="J1474" i="11"/>
  <c r="I28" i="41" s="1"/>
  <c r="J1258" i="6"/>
  <c r="J1264" i="43"/>
  <c r="J1478" i="11"/>
  <c r="I151" i="41" s="1"/>
  <c r="K1478" i="11"/>
  <c r="J151" i="41" s="1"/>
  <c r="J1264" i="6"/>
  <c r="E135" i="40" s="1"/>
  <c r="D164" i="40"/>
  <c r="E162" i="40"/>
  <c r="G162" i="40" s="1"/>
  <c r="I162" i="40" s="1"/>
  <c r="F159" i="40"/>
  <c r="E161" i="40"/>
  <c r="G161" i="40" s="1"/>
  <c r="I161" i="40" s="1"/>
  <c r="E160" i="40"/>
  <c r="F160" i="40" s="1"/>
  <c r="L32" i="19" s="1"/>
  <c r="G159" i="40"/>
  <c r="I159" i="40" s="1"/>
  <c r="F724" i="11" l="1"/>
  <c r="F247" i="11"/>
  <c r="F501" i="11"/>
  <c r="F381" i="43"/>
  <c r="F386" i="43"/>
  <c r="F156" i="43"/>
  <c r="F151" i="43"/>
  <c r="F197" i="11"/>
  <c r="F192" i="11"/>
  <c r="F161" i="40"/>
  <c r="G160" i="40"/>
  <c r="I160" i="40" s="1"/>
  <c r="E18" i="40"/>
  <c r="D18" i="40"/>
  <c r="C80" i="40"/>
  <c r="C87" i="40"/>
  <c r="C86" i="40"/>
  <c r="B45" i="41" s="1"/>
  <c r="C84" i="40"/>
  <c r="C78" i="40"/>
  <c r="E2" i="40"/>
  <c r="F2" i="40" s="1"/>
  <c r="G2" i="40" s="1"/>
  <c r="H2" i="40" s="1"/>
  <c r="I2" i="40" s="1"/>
  <c r="J2" i="40" s="1"/>
  <c r="K2" i="40" s="1"/>
  <c r="L2" i="40" s="1"/>
  <c r="M2" i="40" s="1"/>
  <c r="N2" i="40" s="1"/>
  <c r="O1107" i="11"/>
  <c r="P1107" i="11" s="1"/>
  <c r="Q1107" i="11" s="1"/>
  <c r="R1107" i="11" s="1"/>
  <c r="S1107" i="11" s="1"/>
  <c r="T1107" i="11" s="1"/>
  <c r="U1107" i="11" s="1"/>
  <c r="V1107" i="11" s="1"/>
  <c r="F1103" i="11"/>
  <c r="F467" i="11"/>
  <c r="M446" i="11"/>
  <c r="N446" i="11"/>
  <c r="O446" i="11"/>
  <c r="P446" i="11"/>
  <c r="Q446" i="11"/>
  <c r="R446" i="11"/>
  <c r="S446" i="11"/>
  <c r="T446" i="11"/>
  <c r="U446" i="11"/>
  <c r="V446" i="11"/>
  <c r="L446" i="11"/>
  <c r="F67" i="14"/>
  <c r="L186" i="11"/>
  <c r="K186" i="11"/>
  <c r="J186" i="11"/>
  <c r="M183" i="11"/>
  <c r="K183" i="11"/>
  <c r="F16" i="50" s="1"/>
  <c r="J183" i="11"/>
  <c r="E16" i="50" s="1"/>
  <c r="H15" i="50"/>
  <c r="F182" i="11"/>
  <c r="R1100" i="11"/>
  <c r="S1100" i="11" s="1"/>
  <c r="T1100" i="11" s="1"/>
  <c r="U1100" i="11" s="1"/>
  <c r="V1100" i="11" s="1"/>
  <c r="H13" i="50"/>
  <c r="L178" i="11"/>
  <c r="K214" i="11"/>
  <c r="J214" i="11"/>
  <c r="V203" i="11"/>
  <c r="U203" i="11"/>
  <c r="T203" i="11"/>
  <c r="S203" i="11"/>
  <c r="R203" i="11"/>
  <c r="Q203" i="11"/>
  <c r="P203" i="11"/>
  <c r="O203" i="11"/>
  <c r="N203" i="11"/>
  <c r="M203" i="11"/>
  <c r="L203" i="11"/>
  <c r="K203" i="11"/>
  <c r="J203" i="11"/>
  <c r="J178" i="11"/>
  <c r="K175" i="11"/>
  <c r="F13" i="50" s="1"/>
  <c r="J175" i="11"/>
  <c r="E13" i="50" s="1"/>
  <c r="K178" i="11"/>
  <c r="F174" i="11"/>
  <c r="P440" i="6"/>
  <c r="Q440" i="6" s="1"/>
  <c r="R440" i="6" s="1"/>
  <c r="S440" i="6" s="1"/>
  <c r="T440" i="6" s="1"/>
  <c r="U440" i="6" s="1"/>
  <c r="V440" i="6" s="1"/>
  <c r="N440" i="6"/>
  <c r="O440" i="6"/>
  <c r="M440" i="6"/>
  <c r="L212" i="6"/>
  <c r="M212" i="6" s="1"/>
  <c r="E131" i="40" l="1"/>
  <c r="F208" i="11"/>
  <c r="W440" i="6"/>
  <c r="N183" i="11"/>
  <c r="H16" i="50"/>
  <c r="N213" i="6"/>
  <c r="N212" i="6"/>
  <c r="O212" i="6" s="1"/>
  <c r="P212" i="6" s="1"/>
  <c r="Q212" i="6" s="1"/>
  <c r="R212" i="6" s="1"/>
  <c r="S212" i="6" s="1"/>
  <c r="T212" i="6" s="1"/>
  <c r="U212" i="6" s="1"/>
  <c r="V212" i="6" s="1"/>
  <c r="W212" i="6" s="1"/>
  <c r="J153" i="43"/>
  <c r="K153" i="43"/>
  <c r="L153" i="43"/>
  <c r="M153" i="43"/>
  <c r="N153" i="43"/>
  <c r="O153" i="43"/>
  <c r="P153" i="43"/>
  <c r="Q153" i="43"/>
  <c r="R153" i="43"/>
  <c r="S153" i="43"/>
  <c r="T153" i="43"/>
  <c r="U153" i="43"/>
  <c r="V153" i="43"/>
  <c r="J158" i="43"/>
  <c r="K158" i="43"/>
  <c r="L158" i="43"/>
  <c r="M158" i="43"/>
  <c r="N158" i="43"/>
  <c r="O158" i="43"/>
  <c r="P158" i="43"/>
  <c r="Q158" i="43"/>
  <c r="R158" i="43"/>
  <c r="S158" i="43"/>
  <c r="T158" i="43"/>
  <c r="U158" i="43"/>
  <c r="V158" i="43"/>
  <c r="K383" i="43"/>
  <c r="J383" i="43"/>
  <c r="L383" i="43"/>
  <c r="M383" i="43"/>
  <c r="N383" i="43"/>
  <c r="O383" i="43"/>
  <c r="P383" i="43"/>
  <c r="Q383" i="43"/>
  <c r="R383" i="43"/>
  <c r="S383" i="43"/>
  <c r="T383" i="43"/>
  <c r="U383" i="43"/>
  <c r="V383" i="43"/>
  <c r="J388" i="43"/>
  <c r="K388" i="43"/>
  <c r="L388" i="43"/>
  <c r="M388" i="43"/>
  <c r="N388" i="43"/>
  <c r="O388" i="43"/>
  <c r="P388" i="43"/>
  <c r="Q388" i="43"/>
  <c r="R388" i="43"/>
  <c r="S388" i="43"/>
  <c r="T388" i="43"/>
  <c r="U388" i="43"/>
  <c r="V388" i="43"/>
  <c r="I13" i="50"/>
  <c r="G24" i="40"/>
  <c r="M186" i="11"/>
  <c r="H12" i="50"/>
  <c r="H24" i="40" l="1"/>
  <c r="I15" i="50"/>
  <c r="O183" i="11"/>
  <c r="I16" i="50"/>
  <c r="T380" i="43"/>
  <c r="S380" i="43"/>
  <c r="Q380" i="43"/>
  <c r="N380" i="43"/>
  <c r="U150" i="43"/>
  <c r="U151" i="43" s="1"/>
  <c r="R150" i="43"/>
  <c r="R151" i="43" s="1"/>
  <c r="Q150" i="43"/>
  <c r="Q151" i="43" s="1"/>
  <c r="O150" i="43"/>
  <c r="O151" i="43" s="1"/>
  <c r="L150" i="43"/>
  <c r="L151" i="43" s="1"/>
  <c r="K380" i="43"/>
  <c r="V150" i="43"/>
  <c r="V151" i="43" s="1"/>
  <c r="R380" i="43"/>
  <c r="P150" i="43"/>
  <c r="P151" i="43" s="1"/>
  <c r="P380" i="43"/>
  <c r="O380" i="43"/>
  <c r="M150" i="43"/>
  <c r="M151" i="43" s="1"/>
  <c r="V380" i="43"/>
  <c r="U380" i="43"/>
  <c r="N150" i="43"/>
  <c r="N151" i="43" s="1"/>
  <c r="K150" i="43"/>
  <c r="K151" i="43" s="1"/>
  <c r="T150" i="43"/>
  <c r="T151" i="43" s="1"/>
  <c r="S150" i="43"/>
  <c r="S151" i="43" s="1"/>
  <c r="I158" i="43"/>
  <c r="J380" i="43"/>
  <c r="I383" i="43"/>
  <c r="I388" i="43"/>
  <c r="M380" i="43"/>
  <c r="L380" i="43"/>
  <c r="J150" i="43"/>
  <c r="J151" i="43" s="1"/>
  <c r="I153" i="43"/>
  <c r="N186" i="11"/>
  <c r="J13" i="50"/>
  <c r="G23" i="40"/>
  <c r="M178" i="11"/>
  <c r="I24" i="40" l="1"/>
  <c r="J15" i="50"/>
  <c r="J12" i="50"/>
  <c r="I12" i="50"/>
  <c r="P183" i="11"/>
  <c r="J16" i="50"/>
  <c r="O186" i="11"/>
  <c r="J140" i="41"/>
  <c r="K13" i="50"/>
  <c r="O178" i="11"/>
  <c r="I23" i="40"/>
  <c r="N178" i="11"/>
  <c r="H23" i="40"/>
  <c r="J24" i="40" l="1"/>
  <c r="K15" i="50"/>
  <c r="Q183" i="11"/>
  <c r="K16" i="50"/>
  <c r="K12" i="50"/>
  <c r="P186" i="11"/>
  <c r="L13" i="50"/>
  <c r="J23" i="40"/>
  <c r="Q186" i="11"/>
  <c r="P178" i="11"/>
  <c r="K23" i="40" l="1"/>
  <c r="L12" i="50"/>
  <c r="K24" i="40"/>
  <c r="L15" i="50"/>
  <c r="R183" i="11"/>
  <c r="L16" i="50"/>
  <c r="L24" i="40"/>
  <c r="M15" i="50"/>
  <c r="M13" i="50"/>
  <c r="Q178" i="11"/>
  <c r="R186" i="11"/>
  <c r="M23" i="40" l="1"/>
  <c r="N12" i="50"/>
  <c r="M24" i="40"/>
  <c r="N15" i="50"/>
  <c r="S183" i="11"/>
  <c r="M16" i="50"/>
  <c r="L23" i="40"/>
  <c r="M12" i="50"/>
  <c r="N13" i="50"/>
  <c r="R178" i="11"/>
  <c r="S186" i="11"/>
  <c r="S178" i="11"/>
  <c r="N23" i="40" l="1"/>
  <c r="O12" i="50"/>
  <c r="N24" i="40"/>
  <c r="O15" i="50"/>
  <c r="T183" i="11"/>
  <c r="N16" i="50"/>
  <c r="O13" i="50"/>
  <c r="T186" i="11"/>
  <c r="T178" i="11"/>
  <c r="U183" i="11" l="1"/>
  <c r="V183" i="11" s="1"/>
  <c r="O16" i="50"/>
  <c r="U186" i="11"/>
  <c r="U178" i="11"/>
  <c r="V186" i="11" l="1"/>
  <c r="V178" i="11"/>
  <c r="J552" i="6" l="1"/>
  <c r="J1254" i="6"/>
  <c r="G1099" i="11"/>
  <c r="O496" i="6"/>
  <c r="P496" i="6"/>
  <c r="Q496" i="6"/>
  <c r="R496" i="6"/>
  <c r="S496" i="6"/>
  <c r="T496" i="6"/>
  <c r="N496" i="6"/>
  <c r="P494" i="6" s="1"/>
  <c r="Q494" i="6" s="1"/>
  <c r="R494" i="6" s="1"/>
  <c r="S494" i="6" s="1"/>
  <c r="T494" i="6" s="1"/>
  <c r="U494" i="6" s="1"/>
  <c r="U492" i="6" l="1"/>
  <c r="T414" i="43" s="1"/>
  <c r="V494" i="6"/>
  <c r="D112" i="39"/>
  <c r="E112" i="39"/>
  <c r="F112" i="39"/>
  <c r="G112" i="39"/>
  <c r="H112" i="39"/>
  <c r="I112" i="39"/>
  <c r="J112" i="39"/>
  <c r="K112" i="39"/>
  <c r="C112" i="39"/>
  <c r="P117" i="39"/>
  <c r="C117" i="39"/>
  <c r="C118" i="39" s="1"/>
  <c r="C119" i="39" s="1"/>
  <c r="C120" i="39" s="1"/>
  <c r="C121" i="39" s="1"/>
  <c r="C122" i="39" s="1"/>
  <c r="C123" i="39" s="1"/>
  <c r="C124" i="39" s="1"/>
  <c r="C125" i="39" s="1"/>
  <c r="C126" i="39" s="1"/>
  <c r="C127" i="39" s="1"/>
  <c r="C128" i="39" s="1"/>
  <c r="C129" i="39" s="1"/>
  <c r="R115" i="39"/>
  <c r="S115" i="39" s="1"/>
  <c r="T115" i="39" s="1"/>
  <c r="U115" i="39" s="1"/>
  <c r="V115" i="39" s="1"/>
  <c r="W115" i="39" s="1"/>
  <c r="X115" i="39" s="1"/>
  <c r="Y115" i="39" s="1"/>
  <c r="E115" i="39"/>
  <c r="F115" i="39" s="1"/>
  <c r="G115" i="39" s="1"/>
  <c r="H115" i="39" s="1"/>
  <c r="I115" i="39" s="1"/>
  <c r="J115" i="39" s="1"/>
  <c r="K115" i="39" s="1"/>
  <c r="Y109" i="39"/>
  <c r="X109" i="39"/>
  <c r="W109" i="39"/>
  <c r="V109" i="39"/>
  <c r="U109" i="39"/>
  <c r="T109" i="39"/>
  <c r="S109" i="39"/>
  <c r="R109" i="39"/>
  <c r="Q109" i="39"/>
  <c r="O109" i="39"/>
  <c r="K109" i="39"/>
  <c r="K129" i="39" s="1"/>
  <c r="J109" i="39"/>
  <c r="J129" i="39" s="1"/>
  <c r="I109" i="39"/>
  <c r="I129" i="39" s="1"/>
  <c r="H109" i="39"/>
  <c r="H129" i="39" s="1"/>
  <c r="G109" i="39"/>
  <c r="G129" i="39" s="1"/>
  <c r="F109" i="39"/>
  <c r="F129" i="39" s="1"/>
  <c r="E109" i="39"/>
  <c r="E129" i="39" s="1"/>
  <c r="D109" i="39"/>
  <c r="D129" i="39" s="1"/>
  <c r="Y108" i="39"/>
  <c r="Y129" i="39" s="1"/>
  <c r="X108" i="39"/>
  <c r="X129" i="39" s="1"/>
  <c r="W108" i="39"/>
  <c r="W129" i="39" s="1"/>
  <c r="V108" i="39"/>
  <c r="V129" i="39" s="1"/>
  <c r="U108" i="39"/>
  <c r="U129" i="39" s="1"/>
  <c r="T108" i="39"/>
  <c r="T129" i="39" s="1"/>
  <c r="S108" i="39"/>
  <c r="S129" i="39" s="1"/>
  <c r="R108" i="39"/>
  <c r="R129" i="39" s="1"/>
  <c r="Q108" i="39"/>
  <c r="Q129" i="39" s="1"/>
  <c r="O108" i="39"/>
  <c r="O129" i="39" s="1"/>
  <c r="K108" i="39"/>
  <c r="K128" i="39" s="1"/>
  <c r="J108" i="39"/>
  <c r="J128" i="39" s="1"/>
  <c r="I108" i="39"/>
  <c r="I128" i="39" s="1"/>
  <c r="H108" i="39"/>
  <c r="H128" i="39" s="1"/>
  <c r="G108" i="39"/>
  <c r="G128" i="39" s="1"/>
  <c r="F108" i="39"/>
  <c r="F128" i="39" s="1"/>
  <c r="E108" i="39"/>
  <c r="E128" i="39" s="1"/>
  <c r="D108" i="39"/>
  <c r="D128" i="39" s="1"/>
  <c r="Y107" i="39"/>
  <c r="Y128" i="39" s="1"/>
  <c r="X107" i="39"/>
  <c r="X128" i="39" s="1"/>
  <c r="W107" i="39"/>
  <c r="W128" i="39" s="1"/>
  <c r="V107" i="39"/>
  <c r="V128" i="39" s="1"/>
  <c r="U107" i="39"/>
  <c r="U128" i="39" s="1"/>
  <c r="T107" i="39"/>
  <c r="T128" i="39" s="1"/>
  <c r="S107" i="39"/>
  <c r="S128" i="39" s="1"/>
  <c r="R107" i="39"/>
  <c r="R128" i="39" s="1"/>
  <c r="Q107" i="39"/>
  <c r="Q128" i="39" s="1"/>
  <c r="O107" i="39"/>
  <c r="O128" i="39" s="1"/>
  <c r="K107" i="39"/>
  <c r="K127" i="39" s="1"/>
  <c r="J107" i="39"/>
  <c r="J127" i="39" s="1"/>
  <c r="I107" i="39"/>
  <c r="I127" i="39" s="1"/>
  <c r="H107" i="39"/>
  <c r="H127" i="39" s="1"/>
  <c r="G107" i="39"/>
  <c r="G127" i="39" s="1"/>
  <c r="F107" i="39"/>
  <c r="F127" i="39" s="1"/>
  <c r="E107" i="39"/>
  <c r="E127" i="39" s="1"/>
  <c r="D107" i="39"/>
  <c r="D127" i="39" s="1"/>
  <c r="Y106" i="39"/>
  <c r="Y127" i="39" s="1"/>
  <c r="X106" i="39"/>
  <c r="X127" i="39" s="1"/>
  <c r="W106" i="39"/>
  <c r="W127" i="39" s="1"/>
  <c r="V106" i="39"/>
  <c r="V127" i="39" s="1"/>
  <c r="U106" i="39"/>
  <c r="U127" i="39" s="1"/>
  <c r="T106" i="39"/>
  <c r="T127" i="39" s="1"/>
  <c r="S106" i="39"/>
  <c r="S127" i="39" s="1"/>
  <c r="R106" i="39"/>
  <c r="R127" i="39" s="1"/>
  <c r="Q106" i="39"/>
  <c r="Q127" i="39" s="1"/>
  <c r="O106" i="39"/>
  <c r="O127" i="39" s="1"/>
  <c r="K106" i="39"/>
  <c r="K126" i="39" s="1"/>
  <c r="J106" i="39"/>
  <c r="J126" i="39" s="1"/>
  <c r="I106" i="39"/>
  <c r="I126" i="39" s="1"/>
  <c r="H106" i="39"/>
  <c r="H126" i="39" s="1"/>
  <c r="G106" i="39"/>
  <c r="G126" i="39" s="1"/>
  <c r="F106" i="39"/>
  <c r="F126" i="39" s="1"/>
  <c r="E106" i="39"/>
  <c r="E126" i="39" s="1"/>
  <c r="D106" i="39"/>
  <c r="D126" i="39" s="1"/>
  <c r="Y105" i="39"/>
  <c r="Y126" i="39" s="1"/>
  <c r="X105" i="39"/>
  <c r="X126" i="39" s="1"/>
  <c r="W105" i="39"/>
  <c r="W126" i="39" s="1"/>
  <c r="V105" i="39"/>
  <c r="V126" i="39" s="1"/>
  <c r="U105" i="39"/>
  <c r="U126" i="39" s="1"/>
  <c r="T105" i="39"/>
  <c r="T126" i="39" s="1"/>
  <c r="S105" i="39"/>
  <c r="S126" i="39" s="1"/>
  <c r="R105" i="39"/>
  <c r="R126" i="39" s="1"/>
  <c r="Q105" i="39"/>
  <c r="Q126" i="39" s="1"/>
  <c r="O105" i="39"/>
  <c r="O126" i="39" s="1"/>
  <c r="K105" i="39"/>
  <c r="K125" i="39" s="1"/>
  <c r="J105" i="39"/>
  <c r="J125" i="39" s="1"/>
  <c r="I105" i="39"/>
  <c r="I125" i="39" s="1"/>
  <c r="H105" i="39"/>
  <c r="H125" i="39" s="1"/>
  <c r="G105" i="39"/>
  <c r="G125" i="39" s="1"/>
  <c r="F105" i="39"/>
  <c r="F125" i="39" s="1"/>
  <c r="E105" i="39"/>
  <c r="E125" i="39" s="1"/>
  <c r="D105" i="39"/>
  <c r="D125" i="39" s="1"/>
  <c r="Y104" i="39"/>
  <c r="Y125" i="39" s="1"/>
  <c r="X104" i="39"/>
  <c r="X125" i="39" s="1"/>
  <c r="W104" i="39"/>
  <c r="W125" i="39" s="1"/>
  <c r="V104" i="39"/>
  <c r="V125" i="39" s="1"/>
  <c r="U104" i="39"/>
  <c r="U125" i="39" s="1"/>
  <c r="T104" i="39"/>
  <c r="T125" i="39" s="1"/>
  <c r="S104" i="39"/>
  <c r="S125" i="39" s="1"/>
  <c r="R104" i="39"/>
  <c r="R125" i="39" s="1"/>
  <c r="Q104" i="39"/>
  <c r="Q125" i="39" s="1"/>
  <c r="O104" i="39"/>
  <c r="O125" i="39" s="1"/>
  <c r="K104" i="39"/>
  <c r="K124" i="39" s="1"/>
  <c r="J104" i="39"/>
  <c r="J124" i="39" s="1"/>
  <c r="I104" i="39"/>
  <c r="I124" i="39" s="1"/>
  <c r="H104" i="39"/>
  <c r="H124" i="39" s="1"/>
  <c r="G104" i="39"/>
  <c r="G124" i="39" s="1"/>
  <c r="F104" i="39"/>
  <c r="F124" i="39" s="1"/>
  <c r="E104" i="39"/>
  <c r="E124" i="39" s="1"/>
  <c r="D104" i="39"/>
  <c r="D124" i="39" s="1"/>
  <c r="Y103" i="39"/>
  <c r="Y124" i="39" s="1"/>
  <c r="X103" i="39"/>
  <c r="X124" i="39" s="1"/>
  <c r="W103" i="39"/>
  <c r="W124" i="39" s="1"/>
  <c r="V103" i="39"/>
  <c r="V124" i="39" s="1"/>
  <c r="U103" i="39"/>
  <c r="U124" i="39" s="1"/>
  <c r="T103" i="39"/>
  <c r="T124" i="39" s="1"/>
  <c r="S103" i="39"/>
  <c r="S124" i="39" s="1"/>
  <c r="R103" i="39"/>
  <c r="R124" i="39" s="1"/>
  <c r="Q103" i="39"/>
  <c r="Q124" i="39" s="1"/>
  <c r="O103" i="39"/>
  <c r="O124" i="39" s="1"/>
  <c r="K103" i="39"/>
  <c r="K123" i="39" s="1"/>
  <c r="J103" i="39"/>
  <c r="J123" i="39" s="1"/>
  <c r="I103" i="39"/>
  <c r="I123" i="39" s="1"/>
  <c r="H103" i="39"/>
  <c r="H123" i="39" s="1"/>
  <c r="G103" i="39"/>
  <c r="G123" i="39" s="1"/>
  <c r="F103" i="39"/>
  <c r="F123" i="39" s="1"/>
  <c r="E103" i="39"/>
  <c r="E123" i="39" s="1"/>
  <c r="D103" i="39"/>
  <c r="D123" i="39" s="1"/>
  <c r="Y102" i="39"/>
  <c r="Y123" i="39" s="1"/>
  <c r="X102" i="39"/>
  <c r="X123" i="39" s="1"/>
  <c r="W102" i="39"/>
  <c r="W123" i="39" s="1"/>
  <c r="V102" i="39"/>
  <c r="V123" i="39" s="1"/>
  <c r="U102" i="39"/>
  <c r="U123" i="39" s="1"/>
  <c r="T102" i="39"/>
  <c r="T123" i="39" s="1"/>
  <c r="S102" i="39"/>
  <c r="S123" i="39" s="1"/>
  <c r="R102" i="39"/>
  <c r="R123" i="39" s="1"/>
  <c r="Q102" i="39"/>
  <c r="Q123" i="39" s="1"/>
  <c r="O102" i="39"/>
  <c r="O123" i="39" s="1"/>
  <c r="K102" i="39"/>
  <c r="K122" i="39" s="1"/>
  <c r="J102" i="39"/>
  <c r="J122" i="39" s="1"/>
  <c r="I102" i="39"/>
  <c r="I122" i="39" s="1"/>
  <c r="H102" i="39"/>
  <c r="H122" i="39" s="1"/>
  <c r="G102" i="39"/>
  <c r="G122" i="39" s="1"/>
  <c r="F102" i="39"/>
  <c r="F122" i="39" s="1"/>
  <c r="E102" i="39"/>
  <c r="E122" i="39" s="1"/>
  <c r="D102" i="39"/>
  <c r="D122" i="39" s="1"/>
  <c r="Y101" i="39"/>
  <c r="Y122" i="39" s="1"/>
  <c r="X101" i="39"/>
  <c r="X122" i="39" s="1"/>
  <c r="W101" i="39"/>
  <c r="W122" i="39" s="1"/>
  <c r="V101" i="39"/>
  <c r="V122" i="39" s="1"/>
  <c r="U101" i="39"/>
  <c r="U122" i="39" s="1"/>
  <c r="T101" i="39"/>
  <c r="T122" i="39" s="1"/>
  <c r="S101" i="39"/>
  <c r="S122" i="39" s="1"/>
  <c r="R101" i="39"/>
  <c r="R122" i="39" s="1"/>
  <c r="Q101" i="39"/>
  <c r="Q122" i="39" s="1"/>
  <c r="O101" i="39"/>
  <c r="O122" i="39" s="1"/>
  <c r="K101" i="39"/>
  <c r="K121" i="39" s="1"/>
  <c r="J101" i="39"/>
  <c r="J121" i="39" s="1"/>
  <c r="I101" i="39"/>
  <c r="I121" i="39" s="1"/>
  <c r="H101" i="39"/>
  <c r="H121" i="39" s="1"/>
  <c r="G101" i="39"/>
  <c r="G121" i="39" s="1"/>
  <c r="F101" i="39"/>
  <c r="F121" i="39" s="1"/>
  <c r="E101" i="39"/>
  <c r="E121" i="39" s="1"/>
  <c r="D101" i="39"/>
  <c r="D121" i="39" s="1"/>
  <c r="Y100" i="39"/>
  <c r="Y121" i="39" s="1"/>
  <c r="X100" i="39"/>
  <c r="X121" i="39" s="1"/>
  <c r="W100" i="39"/>
  <c r="W121" i="39" s="1"/>
  <c r="V100" i="39"/>
  <c r="V121" i="39" s="1"/>
  <c r="U100" i="39"/>
  <c r="U121" i="39" s="1"/>
  <c r="T100" i="39"/>
  <c r="T121" i="39" s="1"/>
  <c r="S100" i="39"/>
  <c r="S121" i="39" s="1"/>
  <c r="R100" i="39"/>
  <c r="R121" i="39" s="1"/>
  <c r="Q100" i="39"/>
  <c r="Q121" i="39" s="1"/>
  <c r="O100" i="39"/>
  <c r="O121" i="39" s="1"/>
  <c r="K100" i="39"/>
  <c r="K120" i="39" s="1"/>
  <c r="J100" i="39"/>
  <c r="J120" i="39" s="1"/>
  <c r="I100" i="39"/>
  <c r="I120" i="39" s="1"/>
  <c r="H100" i="39"/>
  <c r="H120" i="39" s="1"/>
  <c r="G100" i="39"/>
  <c r="G120" i="39" s="1"/>
  <c r="F100" i="39"/>
  <c r="F120" i="39" s="1"/>
  <c r="E100" i="39"/>
  <c r="E120" i="39" s="1"/>
  <c r="D100" i="39"/>
  <c r="D120" i="39" s="1"/>
  <c r="Y99" i="39"/>
  <c r="Y120" i="39" s="1"/>
  <c r="X99" i="39"/>
  <c r="X120" i="39" s="1"/>
  <c r="W99" i="39"/>
  <c r="W120" i="39" s="1"/>
  <c r="V99" i="39"/>
  <c r="V120" i="39" s="1"/>
  <c r="U99" i="39"/>
  <c r="U120" i="39" s="1"/>
  <c r="T99" i="39"/>
  <c r="T120" i="39" s="1"/>
  <c r="S99" i="39"/>
  <c r="S120" i="39" s="1"/>
  <c r="R99" i="39"/>
  <c r="R120" i="39" s="1"/>
  <c r="Q99" i="39"/>
  <c r="Q120" i="39" s="1"/>
  <c r="O99" i="39"/>
  <c r="O120" i="39" s="1"/>
  <c r="K99" i="39"/>
  <c r="K119" i="39" s="1"/>
  <c r="J99" i="39"/>
  <c r="J119" i="39" s="1"/>
  <c r="I99" i="39"/>
  <c r="I119" i="39" s="1"/>
  <c r="H99" i="39"/>
  <c r="H119" i="39" s="1"/>
  <c r="G99" i="39"/>
  <c r="G119" i="39" s="1"/>
  <c r="F99" i="39"/>
  <c r="F119" i="39" s="1"/>
  <c r="E99" i="39"/>
  <c r="E119" i="39" s="1"/>
  <c r="D99" i="39"/>
  <c r="D119" i="39" s="1"/>
  <c r="Y98" i="39"/>
  <c r="Y118" i="39" s="1"/>
  <c r="X98" i="39"/>
  <c r="X118" i="39" s="1"/>
  <c r="W98" i="39"/>
  <c r="W118" i="39" s="1"/>
  <c r="V98" i="39"/>
  <c r="V119" i="39" s="1"/>
  <c r="U98" i="39"/>
  <c r="U119" i="39" s="1"/>
  <c r="T98" i="39"/>
  <c r="T119" i="39" s="1"/>
  <c r="S98" i="39"/>
  <c r="S119" i="39" s="1"/>
  <c r="R98" i="39"/>
  <c r="R118" i="39" s="1"/>
  <c r="Q98" i="39"/>
  <c r="Q118" i="39" s="1"/>
  <c r="O98" i="39"/>
  <c r="O118" i="39" s="1"/>
  <c r="K98" i="39"/>
  <c r="K118" i="39" s="1"/>
  <c r="J98" i="39"/>
  <c r="I98" i="39"/>
  <c r="H98" i="39"/>
  <c r="G98" i="39"/>
  <c r="G118" i="39" s="1"/>
  <c r="F98" i="39"/>
  <c r="F118" i="39" s="1"/>
  <c r="E98" i="39"/>
  <c r="E118" i="39" s="1"/>
  <c r="D98" i="39"/>
  <c r="D118" i="39" s="1"/>
  <c r="P97" i="39"/>
  <c r="C97" i="39"/>
  <c r="C98" i="39" s="1"/>
  <c r="C99" i="39" s="1"/>
  <c r="C100" i="39" s="1"/>
  <c r="C101" i="39" s="1"/>
  <c r="C102" i="39" s="1"/>
  <c r="C103" i="39" s="1"/>
  <c r="C104" i="39" s="1"/>
  <c r="C105" i="39" s="1"/>
  <c r="C106" i="39" s="1"/>
  <c r="C107" i="39" s="1"/>
  <c r="C108" i="39" s="1"/>
  <c r="C109" i="39" s="1"/>
  <c r="D44" i="39"/>
  <c r="E44" i="39"/>
  <c r="F44" i="39"/>
  <c r="G44" i="39"/>
  <c r="H44" i="39"/>
  <c r="D45" i="39"/>
  <c r="E45" i="39"/>
  <c r="F45" i="39"/>
  <c r="G45" i="39"/>
  <c r="H45" i="39"/>
  <c r="D46" i="39"/>
  <c r="E46" i="39"/>
  <c r="F46" i="39"/>
  <c r="G46" i="39"/>
  <c r="H46" i="39"/>
  <c r="D47" i="39"/>
  <c r="E47" i="39"/>
  <c r="F47" i="39"/>
  <c r="G47" i="39"/>
  <c r="H47" i="39"/>
  <c r="D48" i="39"/>
  <c r="E48" i="39"/>
  <c r="F48" i="39"/>
  <c r="G48" i="39"/>
  <c r="H48" i="39"/>
  <c r="D49" i="39"/>
  <c r="E49" i="39"/>
  <c r="F49" i="39"/>
  <c r="G49" i="39"/>
  <c r="H49" i="39"/>
  <c r="D50" i="39"/>
  <c r="E50" i="39"/>
  <c r="F50" i="39"/>
  <c r="G50" i="39"/>
  <c r="H50" i="39"/>
  <c r="D51" i="39"/>
  <c r="E51" i="39"/>
  <c r="F51" i="39"/>
  <c r="G51" i="39"/>
  <c r="H51" i="39"/>
  <c r="D52" i="39"/>
  <c r="E52" i="39"/>
  <c r="F52" i="39"/>
  <c r="G52" i="39"/>
  <c r="H52" i="39"/>
  <c r="D53" i="39"/>
  <c r="E53" i="39"/>
  <c r="F53" i="39"/>
  <c r="G53" i="39"/>
  <c r="H53" i="39"/>
  <c r="E43" i="39"/>
  <c r="F43" i="39"/>
  <c r="G43" i="39"/>
  <c r="H43" i="39"/>
  <c r="D43" i="39"/>
  <c r="P42" i="39"/>
  <c r="P43" i="39" s="1"/>
  <c r="P44" i="39" s="1"/>
  <c r="P45" i="39" s="1"/>
  <c r="P46" i="39" s="1"/>
  <c r="P47" i="39" s="1"/>
  <c r="P48" i="39" s="1"/>
  <c r="P49" i="39" s="1"/>
  <c r="P50" i="39" s="1"/>
  <c r="P51" i="39" s="1"/>
  <c r="P52" i="39" s="1"/>
  <c r="P53" i="39" s="1"/>
  <c r="C42" i="39"/>
  <c r="C43" i="39" s="1"/>
  <c r="C44" i="39" s="1"/>
  <c r="C45" i="39" s="1"/>
  <c r="C46" i="39" s="1"/>
  <c r="C47" i="39" s="1"/>
  <c r="C48" i="39" s="1"/>
  <c r="C49" i="39" s="1"/>
  <c r="C50" i="39" s="1"/>
  <c r="C51" i="39" s="1"/>
  <c r="C52" i="39" s="1"/>
  <c r="C53" i="39" s="1"/>
  <c r="R40" i="39"/>
  <c r="S40" i="39" s="1"/>
  <c r="T40" i="39" s="1"/>
  <c r="E40" i="39"/>
  <c r="F40" i="39" s="1"/>
  <c r="G40" i="39" s="1"/>
  <c r="H25" i="19"/>
  <c r="H24" i="19"/>
  <c r="Q131" i="39"/>
  <c r="P131" i="39"/>
  <c r="O131" i="39"/>
  <c r="J26" i="15"/>
  <c r="J90" i="19"/>
  <c r="K90" i="19" s="1"/>
  <c r="L90" i="19" s="1"/>
  <c r="M90" i="19" s="1"/>
  <c r="N90" i="19" s="1"/>
  <c r="O90" i="19" s="1"/>
  <c r="P90" i="19" s="1"/>
  <c r="Q90" i="19" s="1"/>
  <c r="R90" i="19" s="1"/>
  <c r="S90" i="19" s="1"/>
  <c r="T90" i="19" s="1"/>
  <c r="K89" i="19"/>
  <c r="L89" i="19" s="1"/>
  <c r="M89" i="19" s="1"/>
  <c r="N89" i="19" s="1"/>
  <c r="O89" i="19" s="1"/>
  <c r="P89" i="19" s="1"/>
  <c r="Q89" i="19" s="1"/>
  <c r="R89" i="19" s="1"/>
  <c r="S89" i="19" s="1"/>
  <c r="T89" i="19" s="1"/>
  <c r="G97" i="19"/>
  <c r="G98" i="19" s="1"/>
  <c r="G79" i="19"/>
  <c r="H76" i="19"/>
  <c r="K25" i="15"/>
  <c r="L25" i="15"/>
  <c r="M25" i="15" s="1"/>
  <c r="N25" i="15" s="1"/>
  <c r="O25" i="15" s="1"/>
  <c r="P25" i="15" s="1"/>
  <c r="Q25" i="15" s="1"/>
  <c r="R25" i="15" s="1"/>
  <c r="S25" i="15" s="1"/>
  <c r="K24" i="15"/>
  <c r="J16" i="15"/>
  <c r="K16" i="15"/>
  <c r="L16" i="15"/>
  <c r="M16" i="15"/>
  <c r="N16" i="15"/>
  <c r="O16" i="15"/>
  <c r="P16" i="15"/>
  <c r="Q16" i="15"/>
  <c r="R16" i="15"/>
  <c r="S16" i="15"/>
  <c r="J17" i="15"/>
  <c r="K17" i="15"/>
  <c r="L17" i="15"/>
  <c r="M17" i="15"/>
  <c r="N17" i="15"/>
  <c r="O17" i="15"/>
  <c r="P17" i="15"/>
  <c r="Q17" i="15"/>
  <c r="R17" i="15"/>
  <c r="S17" i="15"/>
  <c r="J18" i="15"/>
  <c r="K18" i="15"/>
  <c r="L18" i="15"/>
  <c r="M18" i="15"/>
  <c r="N18" i="15"/>
  <c r="O18" i="15"/>
  <c r="P18" i="15"/>
  <c r="Q18" i="15"/>
  <c r="R18" i="15"/>
  <c r="S18" i="15"/>
  <c r="J19" i="15"/>
  <c r="K19" i="15"/>
  <c r="L19" i="15"/>
  <c r="M19" i="15"/>
  <c r="N19" i="15"/>
  <c r="O19" i="15"/>
  <c r="P19" i="15"/>
  <c r="Q19" i="15"/>
  <c r="R19" i="15"/>
  <c r="S19" i="15"/>
  <c r="J20" i="15"/>
  <c r="K20" i="15"/>
  <c r="L20" i="15"/>
  <c r="M20" i="15"/>
  <c r="N20" i="15"/>
  <c r="O20" i="15"/>
  <c r="P20" i="15"/>
  <c r="Q20" i="15"/>
  <c r="R20" i="15"/>
  <c r="S20" i="15"/>
  <c r="J21" i="15"/>
  <c r="K21" i="15"/>
  <c r="L21" i="15"/>
  <c r="M21" i="15"/>
  <c r="N21" i="15"/>
  <c r="O21" i="15"/>
  <c r="P21" i="15"/>
  <c r="Q21" i="15"/>
  <c r="R21" i="15"/>
  <c r="S21" i="15"/>
  <c r="J22" i="15"/>
  <c r="K22" i="15"/>
  <c r="L22" i="15"/>
  <c r="M22" i="15"/>
  <c r="N22" i="15"/>
  <c r="O22" i="15"/>
  <c r="P22" i="15"/>
  <c r="Q22" i="15"/>
  <c r="R22" i="15"/>
  <c r="S22" i="15"/>
  <c r="K15" i="15"/>
  <c r="L15" i="15"/>
  <c r="M15" i="15"/>
  <c r="N15" i="15"/>
  <c r="O15" i="15"/>
  <c r="P15" i="15"/>
  <c r="Q15" i="15"/>
  <c r="R15" i="15"/>
  <c r="S15" i="15"/>
  <c r="J15" i="15"/>
  <c r="K41" i="15"/>
  <c r="L41" i="15"/>
  <c r="M41" i="15"/>
  <c r="N41" i="15"/>
  <c r="O41" i="15"/>
  <c r="P41" i="15"/>
  <c r="Q41" i="15"/>
  <c r="R41" i="15"/>
  <c r="S41" i="15"/>
  <c r="T41" i="15"/>
  <c r="J41" i="15"/>
  <c r="V492" i="6" l="1"/>
  <c r="W494" i="6"/>
  <c r="W492" i="6" s="1"/>
  <c r="L115" i="39"/>
  <c r="M115" i="39" s="1"/>
  <c r="N115" i="39"/>
  <c r="L24" i="15"/>
  <c r="M24" i="15" s="1"/>
  <c r="N24" i="15" s="1"/>
  <c r="O24" i="15" s="1"/>
  <c r="P24" i="15" s="1"/>
  <c r="Q24" i="15" s="1"/>
  <c r="R24" i="15" s="1"/>
  <c r="S24" i="15" s="1"/>
  <c r="K26" i="15"/>
  <c r="H78" i="19"/>
  <c r="H77" i="19"/>
  <c r="H79" i="19" s="1"/>
  <c r="O26" i="15"/>
  <c r="S26" i="15"/>
  <c r="N26" i="15"/>
  <c r="L26" i="15"/>
  <c r="M26" i="15"/>
  <c r="Q26" i="15"/>
  <c r="T118" i="39"/>
  <c r="X119" i="39"/>
  <c r="V118" i="39"/>
  <c r="U118" i="39"/>
  <c r="O119" i="39"/>
  <c r="W119" i="39"/>
  <c r="J118" i="39"/>
  <c r="Q119" i="39"/>
  <c r="Y119" i="39"/>
  <c r="S118" i="39"/>
  <c r="I118" i="39"/>
  <c r="R119" i="39"/>
  <c r="H118" i="39"/>
  <c r="J23" i="15"/>
  <c r="S23" i="15"/>
  <c r="K23" i="15"/>
  <c r="O23" i="15"/>
  <c r="L23" i="15"/>
  <c r="M23" i="15"/>
  <c r="Q23" i="15"/>
  <c r="R23" i="15"/>
  <c r="N23" i="15"/>
  <c r="P23" i="15"/>
  <c r="P26" i="15" l="1"/>
  <c r="R26" i="15"/>
  <c r="R152" i="39"/>
  <c r="H151" i="39"/>
  <c r="I151" i="39" s="1"/>
  <c r="J151" i="39" s="1"/>
  <c r="K151" i="39" s="1"/>
  <c r="N151" i="39" s="1"/>
  <c r="S133" i="39"/>
  <c r="T133" i="39"/>
  <c r="H133" i="39"/>
  <c r="G152" i="39"/>
  <c r="G154" i="39" s="1"/>
  <c r="G156" i="39" s="1"/>
  <c r="H152" i="39"/>
  <c r="I152" i="39"/>
  <c r="K152" i="39"/>
  <c r="O152" i="39"/>
  <c r="P152" i="39"/>
  <c r="Q152" i="39"/>
  <c r="O151" i="39" l="1"/>
  <c r="P151" i="39" s="1"/>
  <c r="Q151" i="39" s="1"/>
  <c r="R151" i="39" s="1"/>
  <c r="L151" i="39"/>
  <c r="M151" i="39" s="1"/>
  <c r="U133" i="39"/>
  <c r="I133" i="39"/>
  <c r="P135" i="39"/>
  <c r="P136" i="39" s="1"/>
  <c r="P137" i="39" s="1"/>
  <c r="P138" i="39" s="1"/>
  <c r="P139" i="39" s="1"/>
  <c r="P140" i="39" s="1"/>
  <c r="P141" i="39" s="1"/>
  <c r="P142" i="39" s="1"/>
  <c r="P143" i="39" s="1"/>
  <c r="P144" i="39" s="1"/>
  <c r="P145" i="39" s="1"/>
  <c r="P146" i="39" s="1"/>
  <c r="P147" i="39" s="1"/>
  <c r="C135" i="39"/>
  <c r="C136" i="39" s="1"/>
  <c r="C137" i="39" s="1"/>
  <c r="C138" i="39" s="1"/>
  <c r="C139" i="39" s="1"/>
  <c r="C140" i="39" s="1"/>
  <c r="C141" i="39" s="1"/>
  <c r="C142" i="39" s="1"/>
  <c r="C143" i="39" s="1"/>
  <c r="C144" i="39" s="1"/>
  <c r="C145" i="39" s="1"/>
  <c r="C146" i="39" s="1"/>
  <c r="C147" i="39" s="1"/>
  <c r="R132" i="39"/>
  <c r="S132" i="39" s="1"/>
  <c r="E132" i="39"/>
  <c r="F132" i="39" s="1"/>
  <c r="P79" i="39"/>
  <c r="P80" i="39" s="1"/>
  <c r="C79" i="39"/>
  <c r="C80" i="39" s="1"/>
  <c r="C81" i="39" s="1"/>
  <c r="C82" i="39" s="1"/>
  <c r="C83" i="39" s="1"/>
  <c r="C84" i="39" s="1"/>
  <c r="C85" i="39" s="1"/>
  <c r="C86" i="39" s="1"/>
  <c r="C87" i="39" s="1"/>
  <c r="C88" i="39" s="1"/>
  <c r="C89" i="39" s="1"/>
  <c r="C90" i="39" s="1"/>
  <c r="C91" i="39" s="1"/>
  <c r="R77" i="39"/>
  <c r="E77" i="39"/>
  <c r="P59" i="39"/>
  <c r="P60" i="39" s="1"/>
  <c r="P61" i="39" s="1"/>
  <c r="P62" i="39" s="1"/>
  <c r="P63" i="39" s="1"/>
  <c r="P64" i="39" s="1"/>
  <c r="P65" i="39" s="1"/>
  <c r="P66" i="39" s="1"/>
  <c r="P67" i="39" s="1"/>
  <c r="P68" i="39" s="1"/>
  <c r="P69" i="39" s="1"/>
  <c r="P70" i="39" s="1"/>
  <c r="C59" i="39"/>
  <c r="C60" i="39" s="1"/>
  <c r="C61" i="39" s="1"/>
  <c r="C62" i="39" s="1"/>
  <c r="C63" i="39" s="1"/>
  <c r="C64" i="39" s="1"/>
  <c r="C65" i="39" s="1"/>
  <c r="C66" i="39" s="1"/>
  <c r="C67" i="39" s="1"/>
  <c r="C68" i="39" s="1"/>
  <c r="C69" i="39" s="1"/>
  <c r="C70" i="39" s="1"/>
  <c r="R56" i="39"/>
  <c r="S56" i="39" s="1"/>
  <c r="T56" i="39" s="1"/>
  <c r="E56" i="39"/>
  <c r="F56" i="39" s="1"/>
  <c r="G56" i="39" s="1"/>
  <c r="H56" i="39" s="1"/>
  <c r="P26" i="39"/>
  <c r="P27" i="39" s="1"/>
  <c r="P28" i="39" s="1"/>
  <c r="P29" i="39" s="1"/>
  <c r="P30" i="39" s="1"/>
  <c r="P31" i="39" s="1"/>
  <c r="P32" i="39" s="1"/>
  <c r="P33" i="39" s="1"/>
  <c r="P34" i="39" s="1"/>
  <c r="P35" i="39" s="1"/>
  <c r="P36" i="39" s="1"/>
  <c r="P37" i="39" s="1"/>
  <c r="C26" i="39"/>
  <c r="C27" i="39" s="1"/>
  <c r="C28" i="39" s="1"/>
  <c r="C29" i="39" s="1"/>
  <c r="C30" i="39" s="1"/>
  <c r="C31" i="39" s="1"/>
  <c r="C32" i="39" s="1"/>
  <c r="C33" i="39" s="1"/>
  <c r="C34" i="39" s="1"/>
  <c r="C35" i="39" s="1"/>
  <c r="C36" i="39" s="1"/>
  <c r="C37" i="39" s="1"/>
  <c r="R24" i="39"/>
  <c r="S24" i="39" s="1"/>
  <c r="T24" i="39" s="1"/>
  <c r="E24" i="39"/>
  <c r="S77" i="39" l="1"/>
  <c r="R95" i="39"/>
  <c r="F77" i="39"/>
  <c r="E95" i="39"/>
  <c r="S229" i="39"/>
  <c r="S225" i="39"/>
  <c r="S223" i="39"/>
  <c r="S226" i="39"/>
  <c r="S233" i="39"/>
  <c r="S231" i="39"/>
  <c r="S222" i="39"/>
  <c r="S228" i="39"/>
  <c r="S224" i="39"/>
  <c r="S232" i="39"/>
  <c r="S230" i="39"/>
  <c r="S227" i="39"/>
  <c r="F147" i="39"/>
  <c r="F141" i="39"/>
  <c r="F145" i="39"/>
  <c r="F137" i="39"/>
  <c r="F142" i="39"/>
  <c r="F144" i="39"/>
  <c r="F146" i="39"/>
  <c r="F138" i="39"/>
  <c r="F136" i="39"/>
  <c r="F139" i="39"/>
  <c r="F140" i="39"/>
  <c r="F143" i="39"/>
  <c r="G132" i="39"/>
  <c r="S139" i="39"/>
  <c r="S142" i="39"/>
  <c r="S145" i="39"/>
  <c r="S140" i="39"/>
  <c r="S147" i="39"/>
  <c r="S143" i="39"/>
  <c r="T132" i="39"/>
  <c r="S137" i="39"/>
  <c r="S146" i="39"/>
  <c r="S144" i="39"/>
  <c r="S138" i="39"/>
  <c r="S136" i="39"/>
  <c r="S141" i="39"/>
  <c r="J133" i="39"/>
  <c r="V133" i="39"/>
  <c r="P81" i="39"/>
  <c r="P98" i="39"/>
  <c r="F24" i="39"/>
  <c r="G24" i="39" s="1"/>
  <c r="T77" i="39" l="1"/>
  <c r="S95" i="39"/>
  <c r="G77" i="39"/>
  <c r="F95" i="39"/>
  <c r="T232" i="39"/>
  <c r="T229" i="39"/>
  <c r="T227" i="39"/>
  <c r="T225" i="39"/>
  <c r="T223" i="39"/>
  <c r="T226" i="39"/>
  <c r="T233" i="39"/>
  <c r="T222" i="39"/>
  <c r="T228" i="39"/>
  <c r="T230" i="39"/>
  <c r="T231" i="39"/>
  <c r="T224" i="39"/>
  <c r="K133" i="39"/>
  <c r="W133" i="39"/>
  <c r="T147" i="39"/>
  <c r="T145" i="39"/>
  <c r="T139" i="39"/>
  <c r="T137" i="39"/>
  <c r="T141" i="39"/>
  <c r="T138" i="39"/>
  <c r="T140" i="39"/>
  <c r="T136" i="39"/>
  <c r="U132" i="39"/>
  <c r="T143" i="39"/>
  <c r="T144" i="39"/>
  <c r="T142" i="39"/>
  <c r="T146" i="39"/>
  <c r="G147" i="39"/>
  <c r="G142" i="39"/>
  <c r="G143" i="39"/>
  <c r="G145" i="39"/>
  <c r="G137" i="39"/>
  <c r="G146" i="39"/>
  <c r="G138" i="39"/>
  <c r="G141" i="39"/>
  <c r="G144" i="39"/>
  <c r="G139" i="39"/>
  <c r="G140" i="39"/>
  <c r="G136" i="39"/>
  <c r="H132" i="39"/>
  <c r="P119" i="39"/>
  <c r="P118" i="39"/>
  <c r="P82" i="39"/>
  <c r="P99" i="39"/>
  <c r="P120" i="39" s="1"/>
  <c r="I42" i="19"/>
  <c r="F37" i="19"/>
  <c r="F35" i="19" s="1"/>
  <c r="L133" i="39" l="1"/>
  <c r="N133" i="39"/>
  <c r="M133" i="39"/>
  <c r="U77" i="39"/>
  <c r="T95" i="39"/>
  <c r="H77" i="39"/>
  <c r="G95" i="39"/>
  <c r="U224" i="39"/>
  <c r="U232" i="39"/>
  <c r="U230" i="39"/>
  <c r="U227" i="39"/>
  <c r="U226" i="39"/>
  <c r="U225" i="39"/>
  <c r="U233" i="39"/>
  <c r="U229" i="39"/>
  <c r="U228" i="39"/>
  <c r="U223" i="39"/>
  <c r="U231" i="39"/>
  <c r="U222" i="39"/>
  <c r="I132" i="39"/>
  <c r="H137" i="39"/>
  <c r="H146" i="39"/>
  <c r="H138" i="39"/>
  <c r="H147" i="39"/>
  <c r="H140" i="39"/>
  <c r="H144" i="39"/>
  <c r="H143" i="39"/>
  <c r="H141" i="39"/>
  <c r="H142" i="39"/>
  <c r="H139" i="39"/>
  <c r="H145" i="39"/>
  <c r="H136" i="39"/>
  <c r="X133" i="39"/>
  <c r="V132" i="39"/>
  <c r="U147" i="39"/>
  <c r="U137" i="39"/>
  <c r="U140" i="39"/>
  <c r="U146" i="39"/>
  <c r="U138" i="39"/>
  <c r="U139" i="39"/>
  <c r="U143" i="39"/>
  <c r="U141" i="39"/>
  <c r="U142" i="39"/>
  <c r="U136" i="39"/>
  <c r="U144" i="39"/>
  <c r="U145" i="39"/>
  <c r="P83" i="39"/>
  <c r="P100" i="39"/>
  <c r="P121" i="39" s="1"/>
  <c r="K7" i="21"/>
  <c r="L7" i="21" s="1"/>
  <c r="M7" i="21" s="1"/>
  <c r="N7" i="21" s="1"/>
  <c r="O7" i="21" s="1"/>
  <c r="P7" i="21" s="1"/>
  <c r="Q7" i="21" s="1"/>
  <c r="R7" i="21" s="1"/>
  <c r="S7" i="21" s="1"/>
  <c r="BQ59" i="38"/>
  <c r="BQ60" i="38" s="1"/>
  <c r="BQ61" i="38" s="1"/>
  <c r="BQ62" i="38" s="1"/>
  <c r="BQ63" i="38" s="1"/>
  <c r="BQ64" i="38" s="1"/>
  <c r="BQ65" i="38" s="1"/>
  <c r="BQ66" i="38" s="1"/>
  <c r="BQ67" i="38" s="1"/>
  <c r="BQ68" i="38" s="1"/>
  <c r="BQ69" i="38" s="1"/>
  <c r="BQ70" i="38" s="1"/>
  <c r="BF59" i="38"/>
  <c r="BF60" i="38" s="1"/>
  <c r="BF61" i="38" s="1"/>
  <c r="BF62" i="38" s="1"/>
  <c r="BF63" i="38" s="1"/>
  <c r="BF64" i="38" s="1"/>
  <c r="BF65" i="38" s="1"/>
  <c r="BF66" i="38" s="1"/>
  <c r="BF67" i="38" s="1"/>
  <c r="BF68" i="38" s="1"/>
  <c r="BF69" i="38" s="1"/>
  <c r="BF70" i="38" s="1"/>
  <c r="BS56" i="38"/>
  <c r="BT56" i="38" s="1"/>
  <c r="BU56" i="38" s="1"/>
  <c r="BV56" i="38" s="1"/>
  <c r="BW56" i="38" s="1"/>
  <c r="BX56" i="38" s="1"/>
  <c r="BY56" i="38" s="1"/>
  <c r="BZ56" i="38" s="1"/>
  <c r="BH56" i="38"/>
  <c r="BI56" i="38" s="1"/>
  <c r="BJ56" i="38" s="1"/>
  <c r="BK56" i="38" s="1"/>
  <c r="BL56" i="38" s="1"/>
  <c r="BM56" i="38" s="1"/>
  <c r="BN56" i="38" s="1"/>
  <c r="BO56" i="38" s="1"/>
  <c r="BQ40" i="38"/>
  <c r="BQ41" i="38" s="1"/>
  <c r="BQ42" i="38" s="1"/>
  <c r="BQ43" i="38" s="1"/>
  <c r="BQ44" i="38" s="1"/>
  <c r="BQ45" i="38" s="1"/>
  <c r="BQ46" i="38" s="1"/>
  <c r="BQ47" i="38" s="1"/>
  <c r="BQ48" i="38" s="1"/>
  <c r="BQ49" i="38" s="1"/>
  <c r="BQ50" i="38" s="1"/>
  <c r="BQ51" i="38" s="1"/>
  <c r="BF40" i="38"/>
  <c r="BF41" i="38" s="1"/>
  <c r="BF42" i="38" s="1"/>
  <c r="BF43" i="38" s="1"/>
  <c r="BF44" i="38" s="1"/>
  <c r="BF45" i="38" s="1"/>
  <c r="BF46" i="38" s="1"/>
  <c r="BF47" i="38" s="1"/>
  <c r="BF48" i="38" s="1"/>
  <c r="BF49" i="38" s="1"/>
  <c r="BF50" i="38" s="1"/>
  <c r="BF51" i="38" s="1"/>
  <c r="BS38" i="38"/>
  <c r="BT38" i="38" s="1"/>
  <c r="BH38" i="38"/>
  <c r="BQ22" i="38"/>
  <c r="BQ23" i="38" s="1"/>
  <c r="BQ24" i="38" s="1"/>
  <c r="BQ25" i="38" s="1"/>
  <c r="BQ26" i="38" s="1"/>
  <c r="BQ27" i="38" s="1"/>
  <c r="BQ28" i="38" s="1"/>
  <c r="BQ29" i="38" s="1"/>
  <c r="BQ30" i="38" s="1"/>
  <c r="BQ31" i="38" s="1"/>
  <c r="BQ32" i="38" s="1"/>
  <c r="BQ33" i="38" s="1"/>
  <c r="BF22" i="38"/>
  <c r="BF23" i="38" s="1"/>
  <c r="BF24" i="38" s="1"/>
  <c r="BF25" i="38" s="1"/>
  <c r="BF26" i="38" s="1"/>
  <c r="BF27" i="38" s="1"/>
  <c r="BF28" i="38" s="1"/>
  <c r="BF29" i="38" s="1"/>
  <c r="BF30" i="38" s="1"/>
  <c r="BF31" i="38" s="1"/>
  <c r="BF32" i="38" s="1"/>
  <c r="BF33" i="38" s="1"/>
  <c r="BS20" i="38"/>
  <c r="BT20" i="38" s="1"/>
  <c r="BU20" i="38" s="1"/>
  <c r="BV20" i="38" s="1"/>
  <c r="BW20" i="38" s="1"/>
  <c r="BX20" i="38" s="1"/>
  <c r="BY20" i="38" s="1"/>
  <c r="BZ20" i="38" s="1"/>
  <c r="BH20" i="38"/>
  <c r="BI20" i="38" s="1"/>
  <c r="BJ20" i="38" s="1"/>
  <c r="BK20" i="38" s="1"/>
  <c r="BL20" i="38" s="1"/>
  <c r="BM20" i="38" s="1"/>
  <c r="BN20" i="38" s="1"/>
  <c r="BO20" i="38" s="1"/>
  <c r="BQ5" i="38"/>
  <c r="BQ6" i="38" s="1"/>
  <c r="BQ7" i="38" s="1"/>
  <c r="BQ8" i="38" s="1"/>
  <c r="BQ9" i="38" s="1"/>
  <c r="BQ10" i="38" s="1"/>
  <c r="BQ11" i="38" s="1"/>
  <c r="BQ12" i="38" s="1"/>
  <c r="BQ13" i="38" s="1"/>
  <c r="BQ14" i="38" s="1"/>
  <c r="BQ15" i="38" s="1"/>
  <c r="BQ16" i="38" s="1"/>
  <c r="BF5" i="38"/>
  <c r="BF6" i="38" s="1"/>
  <c r="BF7" i="38" s="1"/>
  <c r="BF8" i="38" s="1"/>
  <c r="BF9" i="38" s="1"/>
  <c r="BF10" i="38" s="1"/>
  <c r="BF11" i="38" s="1"/>
  <c r="BF12" i="38" s="1"/>
  <c r="BF13" i="38" s="1"/>
  <c r="BF14" i="38" s="1"/>
  <c r="BF15" i="38" s="1"/>
  <c r="BF16" i="38" s="1"/>
  <c r="BS3" i="38"/>
  <c r="BT3" i="38" s="1"/>
  <c r="BU3" i="38" s="1"/>
  <c r="BV3" i="38" s="1"/>
  <c r="BW3" i="38" s="1"/>
  <c r="BX3" i="38" s="1"/>
  <c r="BY3" i="38" s="1"/>
  <c r="BZ3" i="38" s="1"/>
  <c r="BH3" i="38"/>
  <c r="BI3" i="38" s="1"/>
  <c r="BJ3" i="38" s="1"/>
  <c r="BK3" i="38" s="1"/>
  <c r="BL3" i="38" s="1"/>
  <c r="BM3" i="38" s="1"/>
  <c r="BN3" i="38" s="1"/>
  <c r="BO3" i="38" s="1"/>
  <c r="M31" i="19"/>
  <c r="V77" i="39" l="1"/>
  <c r="U95" i="39"/>
  <c r="I77" i="39"/>
  <c r="H95" i="39"/>
  <c r="V231" i="39"/>
  <c r="V230" i="39"/>
  <c r="V228" i="39"/>
  <c r="V226" i="39"/>
  <c r="V223" i="39"/>
  <c r="V229" i="39"/>
  <c r="V225" i="39"/>
  <c r="V227" i="39"/>
  <c r="V233" i="39"/>
  <c r="V232" i="39"/>
  <c r="V222" i="39"/>
  <c r="V224" i="39"/>
  <c r="W132" i="39"/>
  <c r="V147" i="39"/>
  <c r="V141" i="39"/>
  <c r="V142" i="39"/>
  <c r="V139" i="39"/>
  <c r="V145" i="39"/>
  <c r="V143" i="39"/>
  <c r="V138" i="39"/>
  <c r="V137" i="39"/>
  <c r="V140" i="39"/>
  <c r="V144" i="39"/>
  <c r="V136" i="39"/>
  <c r="V146" i="39"/>
  <c r="Y133" i="39"/>
  <c r="J132" i="39"/>
  <c r="I137" i="39"/>
  <c r="I139" i="39"/>
  <c r="I147" i="39"/>
  <c r="I144" i="39"/>
  <c r="I142" i="39"/>
  <c r="I146" i="39"/>
  <c r="I140" i="39"/>
  <c r="I145" i="39"/>
  <c r="I141" i="39"/>
  <c r="I136" i="39"/>
  <c r="I143" i="39"/>
  <c r="I138" i="39"/>
  <c r="P84" i="39"/>
  <c r="P101" i="39"/>
  <c r="P122" i="39" s="1"/>
  <c r="BU38" i="38"/>
  <c r="BI38" i="38"/>
  <c r="L31" i="19"/>
  <c r="K31" i="19"/>
  <c r="J31" i="19"/>
  <c r="J32" i="19" s="1"/>
  <c r="K32" i="19" s="1"/>
  <c r="F29" i="19"/>
  <c r="F1494" i="11"/>
  <c r="V1494" i="11" l="1"/>
  <c r="V44" i="19" s="1"/>
  <c r="J1494" i="11"/>
  <c r="J44" i="19" s="1"/>
  <c r="K1494" i="11"/>
  <c r="K44" i="19" s="1"/>
  <c r="O1494" i="11"/>
  <c r="O44" i="19" s="1"/>
  <c r="P1494" i="11"/>
  <c r="P44" i="19" s="1"/>
  <c r="Q1494" i="11"/>
  <c r="Q44" i="19" s="1"/>
  <c r="R1494" i="11"/>
  <c r="R44" i="19" s="1"/>
  <c r="M8" i="39" s="1"/>
  <c r="M9" i="39" s="1"/>
  <c r="S1494" i="11"/>
  <c r="S44" i="19" s="1"/>
  <c r="T1494" i="11"/>
  <c r="T44" i="19" s="1"/>
  <c r="U1494" i="11"/>
  <c r="U44" i="19" s="1"/>
  <c r="W77" i="39"/>
  <c r="V95" i="39"/>
  <c r="J77" i="39"/>
  <c r="I95" i="39"/>
  <c r="J233" i="39"/>
  <c r="J232" i="39"/>
  <c r="J231" i="39"/>
  <c r="W230" i="39"/>
  <c r="W224" i="39"/>
  <c r="W222" i="39"/>
  <c r="W227" i="39"/>
  <c r="W233" i="39"/>
  <c r="W228" i="39"/>
  <c r="W226" i="39"/>
  <c r="W232" i="39"/>
  <c r="W229" i="39"/>
  <c r="W225" i="39"/>
  <c r="W223" i="39"/>
  <c r="W231" i="39"/>
  <c r="K132" i="39"/>
  <c r="J146" i="39"/>
  <c r="J138" i="39"/>
  <c r="J136" i="39"/>
  <c r="J141" i="39"/>
  <c r="J142" i="39"/>
  <c r="J145" i="39"/>
  <c r="J137" i="39"/>
  <c r="J144" i="39"/>
  <c r="J139" i="39"/>
  <c r="J147" i="39"/>
  <c r="J143" i="39"/>
  <c r="J140" i="39"/>
  <c r="X132" i="39"/>
  <c r="W147" i="39"/>
  <c r="W136" i="39"/>
  <c r="W142" i="39"/>
  <c r="W141" i="39"/>
  <c r="W143" i="39"/>
  <c r="W144" i="39"/>
  <c r="W145" i="39"/>
  <c r="W137" i="39"/>
  <c r="W146" i="39"/>
  <c r="W140" i="39"/>
  <c r="W138" i="39"/>
  <c r="W139" i="39"/>
  <c r="P85" i="39"/>
  <c r="P102" i="39"/>
  <c r="P123" i="39" s="1"/>
  <c r="BV38" i="38"/>
  <c r="BJ38" i="38"/>
  <c r="K33" i="19" l="1"/>
  <c r="M29" i="19"/>
  <c r="G116" i="40" s="1"/>
  <c r="Q29" i="19"/>
  <c r="K116" i="40" s="1"/>
  <c r="R29" i="19"/>
  <c r="L116" i="40" s="1"/>
  <c r="T29" i="19"/>
  <c r="N116" i="40" s="1"/>
  <c r="V29" i="19"/>
  <c r="V36" i="19" s="1"/>
  <c r="N29" i="19"/>
  <c r="H116" i="40" s="1"/>
  <c r="O29" i="19"/>
  <c r="I116" i="40" s="1"/>
  <c r="S29" i="19"/>
  <c r="M116" i="40" s="1"/>
  <c r="U29" i="19"/>
  <c r="U58" i="19" s="1"/>
  <c r="J33" i="19"/>
  <c r="P29" i="19"/>
  <c r="J116" i="40" s="1"/>
  <c r="N8" i="39"/>
  <c r="N9" i="39" s="1"/>
  <c r="L8" i="39"/>
  <c r="L9" i="39" s="1"/>
  <c r="L132" i="39"/>
  <c r="L139" i="39" s="1"/>
  <c r="N132" i="39"/>
  <c r="X77" i="39"/>
  <c r="W95" i="39"/>
  <c r="K77" i="39"/>
  <c r="J95" i="39"/>
  <c r="X231" i="39"/>
  <c r="X230" i="39"/>
  <c r="X228" i="39"/>
  <c r="X226" i="39"/>
  <c r="X229" i="39"/>
  <c r="X222" i="39"/>
  <c r="X223" i="39"/>
  <c r="X232" i="39"/>
  <c r="X224" i="39"/>
  <c r="X225" i="39"/>
  <c r="X227" i="39"/>
  <c r="X233" i="39"/>
  <c r="K233" i="39"/>
  <c r="K231" i="39"/>
  <c r="K232" i="39"/>
  <c r="F8" i="39"/>
  <c r="F9" i="39" s="1"/>
  <c r="J8" i="39"/>
  <c r="J9" i="39" s="1"/>
  <c r="K8" i="39"/>
  <c r="K9" i="39" s="1"/>
  <c r="Q8" i="39"/>
  <c r="Q9" i="39" s="1"/>
  <c r="P8" i="39"/>
  <c r="P9" i="39" s="1"/>
  <c r="O8" i="39"/>
  <c r="O9" i="39" s="1"/>
  <c r="R46" i="19"/>
  <c r="R45" i="19"/>
  <c r="Y132" i="39"/>
  <c r="X146" i="39"/>
  <c r="X141" i="39"/>
  <c r="X136" i="39"/>
  <c r="X139" i="39"/>
  <c r="X142" i="39"/>
  <c r="X145" i="39"/>
  <c r="X137" i="39"/>
  <c r="X138" i="39"/>
  <c r="X143" i="39"/>
  <c r="X147" i="39"/>
  <c r="X140" i="39"/>
  <c r="X144" i="39"/>
  <c r="K138" i="39"/>
  <c r="K140" i="39"/>
  <c r="K142" i="39"/>
  <c r="K141" i="39"/>
  <c r="K136" i="39"/>
  <c r="K144" i="39"/>
  <c r="K147" i="39"/>
  <c r="K145" i="39"/>
  <c r="K137" i="39"/>
  <c r="K143" i="39"/>
  <c r="K146" i="39"/>
  <c r="K139" i="39"/>
  <c r="P86" i="39"/>
  <c r="P103" i="39"/>
  <c r="P124" i="39" s="1"/>
  <c r="T45" i="19"/>
  <c r="Q14" i="39" s="1"/>
  <c r="T46" i="19"/>
  <c r="K45" i="19"/>
  <c r="F14" i="39" s="1"/>
  <c r="K46" i="19"/>
  <c r="Q46" i="19"/>
  <c r="Q45" i="19"/>
  <c r="O46" i="19"/>
  <c r="O45" i="19"/>
  <c r="J14" i="39" s="1"/>
  <c r="P46" i="19"/>
  <c r="P45" i="19"/>
  <c r="K14" i="39" s="1"/>
  <c r="V45" i="19"/>
  <c r="V46" i="19"/>
  <c r="U45" i="19"/>
  <c r="U46" i="19"/>
  <c r="S45" i="19"/>
  <c r="P14" i="39" s="1"/>
  <c r="S46" i="19"/>
  <c r="J46" i="19"/>
  <c r="J45" i="19"/>
  <c r="BK38" i="38"/>
  <c r="BW38" i="38"/>
  <c r="AI59" i="38"/>
  <c r="AI60" i="38" s="1"/>
  <c r="AI61" i="38" s="1"/>
  <c r="AI62" i="38" s="1"/>
  <c r="AI63" i="38" s="1"/>
  <c r="AI64" i="38" s="1"/>
  <c r="AI65" i="38" s="1"/>
  <c r="AI66" i="38" s="1"/>
  <c r="AI67" i="38" s="1"/>
  <c r="AI68" i="38" s="1"/>
  <c r="AI69" i="38" s="1"/>
  <c r="AI70" i="38" s="1"/>
  <c r="AK56" i="38"/>
  <c r="AL56" i="38" s="1"/>
  <c r="AM56" i="38" s="1"/>
  <c r="AN56" i="38" s="1"/>
  <c r="AO56" i="38" s="1"/>
  <c r="AP56" i="38" s="1"/>
  <c r="AQ56" i="38" s="1"/>
  <c r="AR56" i="38" s="1"/>
  <c r="AI40" i="38"/>
  <c r="AI41" i="38" s="1"/>
  <c r="AI42" i="38" s="1"/>
  <c r="AI43" i="38" s="1"/>
  <c r="AI44" i="38" s="1"/>
  <c r="AI45" i="38" s="1"/>
  <c r="AI46" i="38" s="1"/>
  <c r="AI47" i="38" s="1"/>
  <c r="AI48" i="38" s="1"/>
  <c r="AI49" i="38" s="1"/>
  <c r="AI50" i="38" s="1"/>
  <c r="AI51" i="38" s="1"/>
  <c r="AK38" i="38"/>
  <c r="AL38" i="38" s="1"/>
  <c r="AM38" i="38" s="1"/>
  <c r="AN38" i="38" s="1"/>
  <c r="AO38" i="38" s="1"/>
  <c r="AP38" i="38" s="1"/>
  <c r="AQ38" i="38" s="1"/>
  <c r="AR38" i="38" s="1"/>
  <c r="AI22" i="38"/>
  <c r="AI23" i="38" s="1"/>
  <c r="AI24" i="38" s="1"/>
  <c r="AI25" i="38" s="1"/>
  <c r="AI26" i="38" s="1"/>
  <c r="AI27" i="38" s="1"/>
  <c r="AI28" i="38" s="1"/>
  <c r="AI29" i="38" s="1"/>
  <c r="AI30" i="38" s="1"/>
  <c r="AI31" i="38" s="1"/>
  <c r="AI32" i="38" s="1"/>
  <c r="AI33" i="38" s="1"/>
  <c r="AK20" i="38"/>
  <c r="AL20" i="38" s="1"/>
  <c r="AM20" i="38" s="1"/>
  <c r="AN20" i="38" s="1"/>
  <c r="AO20" i="38" s="1"/>
  <c r="AP20" i="38" s="1"/>
  <c r="AQ20" i="38" s="1"/>
  <c r="AR20" i="38" s="1"/>
  <c r="AI5" i="38"/>
  <c r="AI6" i="38" s="1"/>
  <c r="AI7" i="38" s="1"/>
  <c r="AI8" i="38" s="1"/>
  <c r="AI9" i="38" s="1"/>
  <c r="AI10" i="38" s="1"/>
  <c r="AI11" i="38" s="1"/>
  <c r="AI12" i="38" s="1"/>
  <c r="AI13" i="38" s="1"/>
  <c r="AI14" i="38" s="1"/>
  <c r="AI15" i="38" s="1"/>
  <c r="AI16" i="38" s="1"/>
  <c r="AK3" i="38"/>
  <c r="AL3" i="38" s="1"/>
  <c r="AM3" i="38" s="1"/>
  <c r="AN3" i="38" s="1"/>
  <c r="AO3" i="38" s="1"/>
  <c r="AP3" i="38" s="1"/>
  <c r="AQ3" i="38" s="1"/>
  <c r="AR3" i="38" s="1"/>
  <c r="X59" i="38"/>
  <c r="X60" i="38" s="1"/>
  <c r="X61" i="38" s="1"/>
  <c r="X62" i="38" s="1"/>
  <c r="X63" i="38" s="1"/>
  <c r="X64" i="38" s="1"/>
  <c r="X65" i="38" s="1"/>
  <c r="X66" i="38" s="1"/>
  <c r="X67" i="38" s="1"/>
  <c r="X68" i="38" s="1"/>
  <c r="X69" i="38" s="1"/>
  <c r="X70" i="38" s="1"/>
  <c r="Z56" i="38"/>
  <c r="AA56" i="38" s="1"/>
  <c r="AB56" i="38" s="1"/>
  <c r="AC56" i="38" s="1"/>
  <c r="AD56" i="38" s="1"/>
  <c r="AE56" i="38" s="1"/>
  <c r="AF56" i="38" s="1"/>
  <c r="AG56" i="38" s="1"/>
  <c r="X40" i="38"/>
  <c r="X41" i="38" s="1"/>
  <c r="X42" i="38" s="1"/>
  <c r="X43" i="38" s="1"/>
  <c r="X44" i="38" s="1"/>
  <c r="X45" i="38" s="1"/>
  <c r="X46" i="38" s="1"/>
  <c r="X47" i="38" s="1"/>
  <c r="X48" i="38" s="1"/>
  <c r="X49" i="38" s="1"/>
  <c r="X50" i="38" s="1"/>
  <c r="X51" i="38" s="1"/>
  <c r="Z38" i="38"/>
  <c r="AA38" i="38" s="1"/>
  <c r="AB38" i="38" s="1"/>
  <c r="AC38" i="38" s="1"/>
  <c r="AD38" i="38" s="1"/>
  <c r="AE38" i="38" s="1"/>
  <c r="AF38" i="38" s="1"/>
  <c r="AG38" i="38" s="1"/>
  <c r="X22" i="38"/>
  <c r="X23" i="38" s="1"/>
  <c r="X24" i="38" s="1"/>
  <c r="X25" i="38" s="1"/>
  <c r="X26" i="38" s="1"/>
  <c r="X27" i="38" s="1"/>
  <c r="X28" i="38" s="1"/>
  <c r="X29" i="38" s="1"/>
  <c r="X30" i="38" s="1"/>
  <c r="X31" i="38" s="1"/>
  <c r="X32" i="38" s="1"/>
  <c r="X33" i="38" s="1"/>
  <c r="Z20" i="38"/>
  <c r="AA20" i="38" s="1"/>
  <c r="AB20" i="38" s="1"/>
  <c r="AC20" i="38" s="1"/>
  <c r="AD20" i="38" s="1"/>
  <c r="AE20" i="38" s="1"/>
  <c r="AF20" i="38" s="1"/>
  <c r="AG20" i="38" s="1"/>
  <c r="X5" i="38"/>
  <c r="X6" i="38" s="1"/>
  <c r="X7" i="38" s="1"/>
  <c r="X8" i="38" s="1"/>
  <c r="X9" i="38" s="1"/>
  <c r="X10" i="38" s="1"/>
  <c r="X11" i="38" s="1"/>
  <c r="X12" i="38" s="1"/>
  <c r="X13" i="38" s="1"/>
  <c r="X14" i="38" s="1"/>
  <c r="X15" i="38" s="1"/>
  <c r="X16" i="38" s="1"/>
  <c r="Z3" i="38"/>
  <c r="AA3" i="38" s="1"/>
  <c r="AB3" i="38" s="1"/>
  <c r="AC3" i="38" s="1"/>
  <c r="AD3" i="38" s="1"/>
  <c r="AE3" i="38" s="1"/>
  <c r="AF3" i="38" s="1"/>
  <c r="AG3" i="38" s="1"/>
  <c r="O36" i="19" l="1"/>
  <c r="Q58" i="19"/>
  <c r="I180" i="39" s="1"/>
  <c r="O58" i="19"/>
  <c r="G180" i="39" s="1"/>
  <c r="Q36" i="19"/>
  <c r="Q37" i="19"/>
  <c r="R36" i="19"/>
  <c r="L146" i="39"/>
  <c r="L233" i="39"/>
  <c r="L147" i="39"/>
  <c r="L138" i="39"/>
  <c r="L136" i="39"/>
  <c r="L142" i="39"/>
  <c r="L144" i="39"/>
  <c r="L141" i="39"/>
  <c r="L232" i="39"/>
  <c r="M132" i="39"/>
  <c r="M231" i="39" s="1"/>
  <c r="L231" i="39"/>
  <c r="L145" i="39"/>
  <c r="L137" i="39"/>
  <c r="L143" i="39"/>
  <c r="R58" i="19"/>
  <c r="J180" i="39" s="1"/>
  <c r="T36" i="19"/>
  <c r="T37" i="19"/>
  <c r="M36" i="19"/>
  <c r="T58" i="19"/>
  <c r="L180" i="39" s="1"/>
  <c r="O37" i="19"/>
  <c r="M58" i="19"/>
  <c r="E180" i="39" s="1"/>
  <c r="M37" i="19"/>
  <c r="N37" i="19"/>
  <c r="V37" i="19"/>
  <c r="P58" i="19"/>
  <c r="H180" i="39" s="1"/>
  <c r="N36" i="19"/>
  <c r="R37" i="19"/>
  <c r="V58" i="19"/>
  <c r="P180" i="39" s="1"/>
  <c r="U37" i="19"/>
  <c r="S37" i="19"/>
  <c r="U36" i="19"/>
  <c r="P36" i="19"/>
  <c r="N58" i="19"/>
  <c r="F180" i="39" s="1"/>
  <c r="S36" i="19"/>
  <c r="S58" i="19"/>
  <c r="K180" i="39" s="1"/>
  <c r="P37" i="19"/>
  <c r="L140" i="39"/>
  <c r="N180" i="39"/>
  <c r="M180" i="39"/>
  <c r="O180" i="39"/>
  <c r="O14" i="39"/>
  <c r="M14" i="39"/>
  <c r="O15" i="39"/>
  <c r="M15" i="39"/>
  <c r="N14" i="39"/>
  <c r="L14" i="39"/>
  <c r="N15" i="39"/>
  <c r="L15" i="39"/>
  <c r="N140" i="39"/>
  <c r="N139" i="39"/>
  <c r="N142" i="39"/>
  <c r="N143" i="39"/>
  <c r="N145" i="39"/>
  <c r="N146" i="39"/>
  <c r="N231" i="39"/>
  <c r="N138" i="39"/>
  <c r="N141" i="39"/>
  <c r="N144" i="39"/>
  <c r="N147" i="39"/>
  <c r="N233" i="39"/>
  <c r="N136" i="39"/>
  <c r="N137" i="39"/>
  <c r="N232" i="39"/>
  <c r="L77" i="39"/>
  <c r="M77" i="39" s="1"/>
  <c r="M95" i="39" s="1"/>
  <c r="N77" i="39"/>
  <c r="N95" i="39" s="1"/>
  <c r="Y77" i="39"/>
  <c r="Y95" i="39" s="1"/>
  <c r="X95" i="39"/>
  <c r="M137" i="39"/>
  <c r="M146" i="39"/>
  <c r="M142" i="39"/>
  <c r="M141" i="39"/>
  <c r="M136" i="39"/>
  <c r="M147" i="39"/>
  <c r="K95" i="39"/>
  <c r="F15" i="39"/>
  <c r="K15" i="39"/>
  <c r="J15" i="39"/>
  <c r="Y137" i="39"/>
  <c r="Y146" i="39"/>
  <c r="Y141" i="39"/>
  <c r="Y136" i="39"/>
  <c r="Y143" i="39"/>
  <c r="Y138" i="39"/>
  <c r="Y139" i="39"/>
  <c r="Y147" i="39"/>
  <c r="Y140" i="39"/>
  <c r="Y142" i="39"/>
  <c r="Y144" i="39"/>
  <c r="Y145" i="39"/>
  <c r="P87" i="39"/>
  <c r="P104" i="39"/>
  <c r="P125" i="39" s="1"/>
  <c r="Q15" i="39"/>
  <c r="P15" i="39"/>
  <c r="BX38" i="38"/>
  <c r="BL38" i="38"/>
  <c r="M59" i="38"/>
  <c r="M60" i="38" s="1"/>
  <c r="M61" i="38" s="1"/>
  <c r="M62" i="38" s="1"/>
  <c r="M63" i="38" s="1"/>
  <c r="M64" i="38" s="1"/>
  <c r="M65" i="38" s="1"/>
  <c r="M66" i="38" s="1"/>
  <c r="M67" i="38" s="1"/>
  <c r="M68" i="38" s="1"/>
  <c r="M69" i="38" s="1"/>
  <c r="M70" i="38" s="1"/>
  <c r="O56" i="38"/>
  <c r="P56" i="38" s="1"/>
  <c r="Q56" i="38" s="1"/>
  <c r="R56" i="38" s="1"/>
  <c r="S56" i="38" s="1"/>
  <c r="T56" i="38" s="1"/>
  <c r="U56" i="38" s="1"/>
  <c r="V56" i="38" s="1"/>
  <c r="M40" i="38"/>
  <c r="M41" i="38" s="1"/>
  <c r="M42" i="38" s="1"/>
  <c r="M43" i="38" s="1"/>
  <c r="M44" i="38" s="1"/>
  <c r="M45" i="38" s="1"/>
  <c r="M46" i="38" s="1"/>
  <c r="M47" i="38" s="1"/>
  <c r="M48" i="38" s="1"/>
  <c r="M49" i="38" s="1"/>
  <c r="M50" i="38" s="1"/>
  <c r="M51" i="38" s="1"/>
  <c r="O38" i="38"/>
  <c r="M22" i="38"/>
  <c r="M23" i="38" s="1"/>
  <c r="M24" i="38" s="1"/>
  <c r="M25" i="38" s="1"/>
  <c r="M26" i="38" s="1"/>
  <c r="M27" i="38" s="1"/>
  <c r="M28" i="38" s="1"/>
  <c r="M29" i="38" s="1"/>
  <c r="M30" i="38" s="1"/>
  <c r="M31" i="38" s="1"/>
  <c r="M32" i="38" s="1"/>
  <c r="M33" i="38" s="1"/>
  <c r="O20" i="38"/>
  <c r="P20" i="38" s="1"/>
  <c r="Q20" i="38" s="1"/>
  <c r="R20" i="38" s="1"/>
  <c r="S20" i="38" s="1"/>
  <c r="T20" i="38" s="1"/>
  <c r="U20" i="38" s="1"/>
  <c r="V20" i="38" s="1"/>
  <c r="M5" i="38"/>
  <c r="M6" i="38" s="1"/>
  <c r="M7" i="38" s="1"/>
  <c r="M8" i="38" s="1"/>
  <c r="M9" i="38" s="1"/>
  <c r="M10" i="38" s="1"/>
  <c r="M11" i="38" s="1"/>
  <c r="M12" i="38" s="1"/>
  <c r="M13" i="38" s="1"/>
  <c r="M14" i="38" s="1"/>
  <c r="M15" i="38" s="1"/>
  <c r="M16" i="38" s="1"/>
  <c r="O3" i="38"/>
  <c r="P3" i="38" s="1"/>
  <c r="Q3" i="38" s="1"/>
  <c r="R3" i="38" s="1"/>
  <c r="S3" i="38" s="1"/>
  <c r="T3" i="38" s="1"/>
  <c r="U3" i="38" s="1"/>
  <c r="V3" i="38" s="1"/>
  <c r="M138" i="39" l="1"/>
  <c r="M232" i="39"/>
  <c r="M139" i="39"/>
  <c r="M144" i="39"/>
  <c r="M145" i="39"/>
  <c r="M140" i="39"/>
  <c r="M233" i="39"/>
  <c r="M143" i="39"/>
  <c r="L95" i="39"/>
  <c r="P88" i="39"/>
  <c r="P105" i="39"/>
  <c r="P126" i="39" s="1"/>
  <c r="P38" i="38"/>
  <c r="BM38" i="38"/>
  <c r="BY38" i="38"/>
  <c r="I15" i="19"/>
  <c r="P89" i="39" l="1"/>
  <c r="P106" i="39"/>
  <c r="P127" i="39" s="1"/>
  <c r="Q38" i="38"/>
  <c r="BZ38" i="38"/>
  <c r="BN38" i="38"/>
  <c r="AU59" i="38"/>
  <c r="AU60" i="38" s="1"/>
  <c r="AU61" i="38" s="1"/>
  <c r="AU62" i="38" s="1"/>
  <c r="AU63" i="38" s="1"/>
  <c r="AU64" i="38" s="1"/>
  <c r="AU65" i="38" s="1"/>
  <c r="AU66" i="38" s="1"/>
  <c r="AU67" i="38" s="1"/>
  <c r="AU68" i="38" s="1"/>
  <c r="AU69" i="38" s="1"/>
  <c r="AU70" i="38" s="1"/>
  <c r="AW56" i="38"/>
  <c r="AX56" i="38" s="1"/>
  <c r="AY56" i="38" s="1"/>
  <c r="AZ56" i="38" s="1"/>
  <c r="BA56" i="38" s="1"/>
  <c r="BB56" i="38" s="1"/>
  <c r="BC56" i="38" s="1"/>
  <c r="BD56" i="38" s="1"/>
  <c r="AU40" i="38"/>
  <c r="AU41" i="38" s="1"/>
  <c r="AU42" i="38" s="1"/>
  <c r="AU43" i="38" s="1"/>
  <c r="AU44" i="38" s="1"/>
  <c r="AU45" i="38" s="1"/>
  <c r="AU46" i="38" s="1"/>
  <c r="AU47" i="38" s="1"/>
  <c r="AU48" i="38" s="1"/>
  <c r="AU49" i="38" s="1"/>
  <c r="AU50" i="38" s="1"/>
  <c r="AU51" i="38" s="1"/>
  <c r="AW38" i="38"/>
  <c r="AX38" i="38" s="1"/>
  <c r="AY38" i="38" s="1"/>
  <c r="AZ38" i="38" s="1"/>
  <c r="BA38" i="38" s="1"/>
  <c r="BB38" i="38" s="1"/>
  <c r="BC38" i="38" s="1"/>
  <c r="BD38" i="38" s="1"/>
  <c r="P90" i="39" l="1"/>
  <c r="P107" i="39"/>
  <c r="P128" i="39" s="1"/>
  <c r="R38" i="38"/>
  <c r="BO38" i="38"/>
  <c r="B59" i="38"/>
  <c r="B60" i="38" s="1"/>
  <c r="B61" i="38" s="1"/>
  <c r="B62" i="38" s="1"/>
  <c r="B63" i="38" s="1"/>
  <c r="B64" i="38" s="1"/>
  <c r="B65" i="38" s="1"/>
  <c r="B66" i="38" s="1"/>
  <c r="B67" i="38" s="1"/>
  <c r="B68" i="38" s="1"/>
  <c r="B69" i="38" s="1"/>
  <c r="B70" i="38" s="1"/>
  <c r="D56" i="38"/>
  <c r="E56" i="38" s="1"/>
  <c r="F56" i="38" s="1"/>
  <c r="G56" i="38" s="1"/>
  <c r="H56" i="38" s="1"/>
  <c r="I56" i="38" s="1"/>
  <c r="J56" i="38" s="1"/>
  <c r="K56" i="38" s="1"/>
  <c r="B40" i="38"/>
  <c r="B41" i="38" s="1"/>
  <c r="B42" i="38" s="1"/>
  <c r="B43" i="38" s="1"/>
  <c r="B44" i="38" s="1"/>
  <c r="B45" i="38" s="1"/>
  <c r="B46" i="38" s="1"/>
  <c r="B47" i="38" s="1"/>
  <c r="B48" i="38" s="1"/>
  <c r="B49" i="38" s="1"/>
  <c r="B50" i="38" s="1"/>
  <c r="B51" i="38" s="1"/>
  <c r="D38" i="38"/>
  <c r="B22" i="38"/>
  <c r="B23" i="38" s="1"/>
  <c r="B24" i="38" s="1"/>
  <c r="B25" i="38" s="1"/>
  <c r="B26" i="38" s="1"/>
  <c r="B27" i="38" s="1"/>
  <c r="B28" i="38" s="1"/>
  <c r="B29" i="38" s="1"/>
  <c r="B30" i="38" s="1"/>
  <c r="B31" i="38" s="1"/>
  <c r="B32" i="38" s="1"/>
  <c r="B33" i="38" s="1"/>
  <c r="D20" i="38"/>
  <c r="E20" i="38" s="1"/>
  <c r="F20" i="38" s="1"/>
  <c r="G20" i="38" s="1"/>
  <c r="H20" i="38" s="1"/>
  <c r="I20" i="38" s="1"/>
  <c r="J20" i="38" s="1"/>
  <c r="K20" i="38" s="1"/>
  <c r="B5" i="38"/>
  <c r="B6" i="38" s="1"/>
  <c r="B7" i="38" s="1"/>
  <c r="B8" i="38" s="1"/>
  <c r="B9" i="38" s="1"/>
  <c r="B10" i="38" s="1"/>
  <c r="B11" i="38" s="1"/>
  <c r="B12" i="38" s="1"/>
  <c r="B13" i="38" s="1"/>
  <c r="B14" i="38" s="1"/>
  <c r="B15" i="38" s="1"/>
  <c r="B16" i="38" s="1"/>
  <c r="D3" i="38"/>
  <c r="E3" i="38" s="1"/>
  <c r="F3" i="38" s="1"/>
  <c r="G3" i="38" s="1"/>
  <c r="H3" i="38" s="1"/>
  <c r="I3" i="38" s="1"/>
  <c r="J3" i="38" s="1"/>
  <c r="K3" i="38" s="1"/>
  <c r="P91" i="39" l="1"/>
  <c r="P109" i="39" s="1"/>
  <c r="P108" i="39"/>
  <c r="P129" i="39" s="1"/>
  <c r="E38" i="38"/>
  <c r="S38" i="38"/>
  <c r="F38" i="38"/>
  <c r="B144" i="37"/>
  <c r="B145" i="37" s="1"/>
  <c r="B146" i="37" s="1"/>
  <c r="B147" i="37" s="1"/>
  <c r="B148" i="37" s="1"/>
  <c r="B149" i="37" s="1"/>
  <c r="B150" i="37" s="1"/>
  <c r="B151" i="37" s="1"/>
  <c r="B152" i="37" s="1"/>
  <c r="B153" i="37" s="1"/>
  <c r="B154" i="37" s="1"/>
  <c r="B155" i="37" s="1"/>
  <c r="D142" i="37"/>
  <c r="E142" i="37" s="1"/>
  <c r="F142" i="37" s="1"/>
  <c r="G142" i="37" s="1"/>
  <c r="H142" i="37" s="1"/>
  <c r="I142" i="37" s="1"/>
  <c r="J142" i="37" s="1"/>
  <c r="K142" i="37" s="1"/>
  <c r="B127" i="37"/>
  <c r="B128" i="37" s="1"/>
  <c r="B129" i="37" s="1"/>
  <c r="B130" i="37" s="1"/>
  <c r="B131" i="37" s="1"/>
  <c r="B132" i="37" s="1"/>
  <c r="B133" i="37" s="1"/>
  <c r="B134" i="37" s="1"/>
  <c r="B135" i="37" s="1"/>
  <c r="B136" i="37" s="1"/>
  <c r="B137" i="37" s="1"/>
  <c r="B138" i="37" s="1"/>
  <c r="D125" i="37"/>
  <c r="E125" i="37" s="1"/>
  <c r="F125" i="37" s="1"/>
  <c r="G125" i="37" s="1"/>
  <c r="H125" i="37" s="1"/>
  <c r="I125" i="37" s="1"/>
  <c r="J125" i="37" s="1"/>
  <c r="K125" i="37" s="1"/>
  <c r="B110" i="37"/>
  <c r="B111" i="37" s="1"/>
  <c r="B112" i="37" s="1"/>
  <c r="B113" i="37" s="1"/>
  <c r="B114" i="37" s="1"/>
  <c r="B115" i="37" s="1"/>
  <c r="B116" i="37" s="1"/>
  <c r="B117" i="37" s="1"/>
  <c r="B118" i="37" s="1"/>
  <c r="B119" i="37" s="1"/>
  <c r="B120" i="37" s="1"/>
  <c r="B121" i="37" s="1"/>
  <c r="D108" i="37"/>
  <c r="E108" i="37" s="1"/>
  <c r="F108" i="37" s="1"/>
  <c r="G108" i="37" s="1"/>
  <c r="H108" i="37" s="1"/>
  <c r="I108" i="37" s="1"/>
  <c r="J108" i="37" s="1"/>
  <c r="K108" i="37" s="1"/>
  <c r="B93" i="37"/>
  <c r="B94" i="37" s="1"/>
  <c r="B95" i="37" s="1"/>
  <c r="B96" i="37" s="1"/>
  <c r="B97" i="37" s="1"/>
  <c r="B98" i="37" s="1"/>
  <c r="B99" i="37" s="1"/>
  <c r="B100" i="37" s="1"/>
  <c r="B101" i="37" s="1"/>
  <c r="B102" i="37" s="1"/>
  <c r="B103" i="37" s="1"/>
  <c r="B104" i="37" s="1"/>
  <c r="D91" i="37"/>
  <c r="E91" i="37" s="1"/>
  <c r="F91" i="37" s="1"/>
  <c r="G91" i="37" s="1"/>
  <c r="H91" i="37" s="1"/>
  <c r="I91" i="37" s="1"/>
  <c r="J91" i="37" s="1"/>
  <c r="K91" i="37" s="1"/>
  <c r="B57" i="37"/>
  <c r="B58" i="37" s="1"/>
  <c r="B59" i="37" s="1"/>
  <c r="B60" i="37" s="1"/>
  <c r="B61" i="37" s="1"/>
  <c r="B62" i="37" s="1"/>
  <c r="B63" i="37" s="1"/>
  <c r="B64" i="37" s="1"/>
  <c r="B65" i="37" s="1"/>
  <c r="B66" i="37" s="1"/>
  <c r="B67" i="37" s="1"/>
  <c r="B68" i="37" s="1"/>
  <c r="D55" i="37"/>
  <c r="E55" i="37" s="1"/>
  <c r="F55" i="37" s="1"/>
  <c r="G55" i="37" s="1"/>
  <c r="H55" i="37" s="1"/>
  <c r="I55" i="37" s="1"/>
  <c r="J55" i="37" s="1"/>
  <c r="K55" i="37" s="1"/>
  <c r="B162" i="37"/>
  <c r="B163" i="37" s="1"/>
  <c r="B164" i="37" s="1"/>
  <c r="B165" i="37" s="1"/>
  <c r="B166" i="37" s="1"/>
  <c r="B167" i="37" s="1"/>
  <c r="B168" i="37" s="1"/>
  <c r="B169" i="37" s="1"/>
  <c r="B170" i="37" s="1"/>
  <c r="B171" i="37" s="1"/>
  <c r="B172" i="37" s="1"/>
  <c r="B173" i="37" s="1"/>
  <c r="D160" i="37"/>
  <c r="E160" i="37" s="1"/>
  <c r="F160" i="37" s="1"/>
  <c r="G160" i="37" s="1"/>
  <c r="H160" i="37" s="1"/>
  <c r="I160" i="37" s="1"/>
  <c r="J160" i="37" s="1"/>
  <c r="K160" i="37" s="1"/>
  <c r="C87" i="37"/>
  <c r="C86" i="37"/>
  <c r="C85" i="37"/>
  <c r="C84" i="37"/>
  <c r="C83" i="37"/>
  <c r="C82" i="37"/>
  <c r="C81" i="37"/>
  <c r="C80" i="37"/>
  <c r="C79" i="37"/>
  <c r="C78" i="37"/>
  <c r="C77" i="37"/>
  <c r="C76" i="37"/>
  <c r="B76" i="37"/>
  <c r="B77" i="37" s="1"/>
  <c r="B78" i="37" s="1"/>
  <c r="B79" i="37" s="1"/>
  <c r="B80" i="37" s="1"/>
  <c r="B81" i="37" s="1"/>
  <c r="B82" i="37" s="1"/>
  <c r="B83" i="37" s="1"/>
  <c r="B84" i="37" s="1"/>
  <c r="B85" i="37" s="1"/>
  <c r="B86" i="37" s="1"/>
  <c r="B87" i="37" s="1"/>
  <c r="C75" i="37"/>
  <c r="D73" i="37"/>
  <c r="E73" i="37" s="1"/>
  <c r="F73" i="37" s="1"/>
  <c r="G73" i="37" s="1"/>
  <c r="H73" i="37" s="1"/>
  <c r="I73" i="37" s="1"/>
  <c r="J73" i="37" s="1"/>
  <c r="K73" i="37" s="1"/>
  <c r="B40" i="37"/>
  <c r="B41" i="37" s="1"/>
  <c r="B42" i="37" s="1"/>
  <c r="B43" i="37" s="1"/>
  <c r="B44" i="37" s="1"/>
  <c r="B45" i="37" s="1"/>
  <c r="B46" i="37" s="1"/>
  <c r="B47" i="37" s="1"/>
  <c r="B48" i="37" s="1"/>
  <c r="B49" i="37" s="1"/>
  <c r="B50" i="37" s="1"/>
  <c r="B51" i="37" s="1"/>
  <c r="D38" i="37"/>
  <c r="D86" i="37" s="1"/>
  <c r="B22" i="37"/>
  <c r="B23" i="37" s="1"/>
  <c r="B24" i="37" s="1"/>
  <c r="B25" i="37" s="1"/>
  <c r="B26" i="37" s="1"/>
  <c r="B27" i="37" s="1"/>
  <c r="B28" i="37" s="1"/>
  <c r="B29" i="37" s="1"/>
  <c r="B30" i="37" s="1"/>
  <c r="B31" i="37" s="1"/>
  <c r="B32" i="37" s="1"/>
  <c r="B33" i="37" s="1"/>
  <c r="D20" i="37"/>
  <c r="E20" i="37" s="1"/>
  <c r="F20" i="37" s="1"/>
  <c r="G20" i="37" s="1"/>
  <c r="H20" i="37" s="1"/>
  <c r="I20" i="37" s="1"/>
  <c r="J20" i="37" s="1"/>
  <c r="K20" i="37" s="1"/>
  <c r="B5" i="37"/>
  <c r="B6" i="37" s="1"/>
  <c r="B7" i="37" s="1"/>
  <c r="B8" i="37" s="1"/>
  <c r="B9" i="37" s="1"/>
  <c r="B10" i="37" s="1"/>
  <c r="B11" i="37" s="1"/>
  <c r="B12" i="37" s="1"/>
  <c r="B13" i="37" s="1"/>
  <c r="B14" i="37" s="1"/>
  <c r="B15" i="37" s="1"/>
  <c r="B16" i="37" s="1"/>
  <c r="D3" i="37"/>
  <c r="E3" i="37" s="1"/>
  <c r="F3" i="37" s="1"/>
  <c r="G3" i="37" s="1"/>
  <c r="H3" i="37" s="1"/>
  <c r="I3" i="37" s="1"/>
  <c r="J3" i="37" s="1"/>
  <c r="K3" i="37" s="1"/>
  <c r="T38" i="38" l="1"/>
  <c r="G38" i="38"/>
  <c r="E38" i="37"/>
  <c r="D75" i="37"/>
  <c r="D79" i="37"/>
  <c r="D83" i="37"/>
  <c r="D87" i="37"/>
  <c r="D76" i="37"/>
  <c r="D80" i="37"/>
  <c r="D84" i="37"/>
  <c r="D77" i="37"/>
  <c r="D81" i="37"/>
  <c r="D85" i="37"/>
  <c r="D78" i="37"/>
  <c r="D82" i="37"/>
  <c r="F25" i="36"/>
  <c r="U38" i="38" l="1"/>
  <c r="H38" i="38"/>
  <c r="E86" i="37"/>
  <c r="E82" i="37"/>
  <c r="E78" i="37"/>
  <c r="E76" i="37"/>
  <c r="E85" i="37"/>
  <c r="E81" i="37"/>
  <c r="E77" i="37"/>
  <c r="F38" i="37"/>
  <c r="E84" i="37"/>
  <c r="E79" i="37"/>
  <c r="E75" i="37"/>
  <c r="E80" i="37"/>
  <c r="E87" i="37"/>
  <c r="E83" i="37"/>
  <c r="B93" i="29"/>
  <c r="B94" i="29" s="1"/>
  <c r="B95" i="29" s="1"/>
  <c r="B96" i="29" s="1"/>
  <c r="B97" i="29" s="1"/>
  <c r="B98" i="29" s="1"/>
  <c r="B99" i="29" s="1"/>
  <c r="B100" i="29" s="1"/>
  <c r="B101" i="29" s="1"/>
  <c r="B102" i="29" s="1"/>
  <c r="B103" i="29" s="1"/>
  <c r="B104" i="29" s="1"/>
  <c r="D91" i="29"/>
  <c r="E91" i="29" s="1"/>
  <c r="F91" i="29" s="1"/>
  <c r="G91" i="29" s="1"/>
  <c r="H91" i="29" s="1"/>
  <c r="I91" i="29" s="1"/>
  <c r="J91" i="29" s="1"/>
  <c r="K91" i="29" s="1"/>
  <c r="K73" i="35"/>
  <c r="F26" i="36"/>
  <c r="V38" i="38" l="1"/>
  <c r="I38" i="38"/>
  <c r="F85" i="37"/>
  <c r="F81" i="37"/>
  <c r="F77" i="37"/>
  <c r="G38" i="37"/>
  <c r="F84" i="37"/>
  <c r="F80" i="37"/>
  <c r="F76" i="37"/>
  <c r="F87" i="37"/>
  <c r="F83" i="37"/>
  <c r="F79" i="37"/>
  <c r="F75" i="37"/>
  <c r="F86" i="37"/>
  <c r="F82" i="37"/>
  <c r="F78" i="37"/>
  <c r="J38" i="38" l="1"/>
  <c r="G85" i="37"/>
  <c r="G81" i="37"/>
  <c r="G77" i="37"/>
  <c r="H38" i="37"/>
  <c r="G75" i="37"/>
  <c r="G83" i="37"/>
  <c r="G84" i="37"/>
  <c r="G80" i="37"/>
  <c r="G76" i="37"/>
  <c r="G87" i="37"/>
  <c r="G79" i="37"/>
  <c r="G86" i="37"/>
  <c r="G82" i="37"/>
  <c r="G78" i="37"/>
  <c r="K38" i="38" l="1"/>
  <c r="H76" i="37"/>
  <c r="H84" i="37"/>
  <c r="H80" i="37"/>
  <c r="H87" i="37"/>
  <c r="H83" i="37"/>
  <c r="H79" i="37"/>
  <c r="H75" i="37"/>
  <c r="H86" i="37"/>
  <c r="H82" i="37"/>
  <c r="H78" i="37"/>
  <c r="H85" i="37"/>
  <c r="H81" i="37"/>
  <c r="H77" i="37"/>
  <c r="I38" i="37"/>
  <c r="K35" i="36"/>
  <c r="K36" i="36" s="1"/>
  <c r="K37" i="36" s="1"/>
  <c r="K38" i="36" s="1"/>
  <c r="K39" i="36" s="1"/>
  <c r="K40" i="36" s="1"/>
  <c r="K41" i="36" s="1"/>
  <c r="K42" i="36" s="1"/>
  <c r="K43" i="36" s="1"/>
  <c r="K44" i="36" s="1"/>
  <c r="K45" i="36" s="1"/>
  <c r="K46" i="36" s="1"/>
  <c r="M33" i="36"/>
  <c r="N33" i="36" s="1"/>
  <c r="O33" i="36" s="1"/>
  <c r="P33" i="36" s="1"/>
  <c r="Q33" i="36" s="1"/>
  <c r="R33" i="36" s="1"/>
  <c r="S33" i="36" s="1"/>
  <c r="T33" i="36" s="1"/>
  <c r="F28" i="36"/>
  <c r="F30" i="36" s="1"/>
  <c r="G30" i="36" s="1"/>
  <c r="G27" i="36"/>
  <c r="G26" i="36"/>
  <c r="I84" i="37" l="1"/>
  <c r="I80" i="37"/>
  <c r="I76" i="37"/>
  <c r="I82" i="37"/>
  <c r="I87" i="37"/>
  <c r="I83" i="37"/>
  <c r="I79" i="37"/>
  <c r="I75" i="37"/>
  <c r="I86" i="37"/>
  <c r="I85" i="37"/>
  <c r="I81" i="37"/>
  <c r="I77" i="37"/>
  <c r="J38" i="37"/>
  <c r="I78" i="37"/>
  <c r="G28" i="36"/>
  <c r="K17" i="23"/>
  <c r="J22" i="36"/>
  <c r="J20" i="36"/>
  <c r="K18" i="36"/>
  <c r="K20" i="36" s="1"/>
  <c r="L16" i="36"/>
  <c r="M16" i="36" s="1"/>
  <c r="N16" i="36" s="1"/>
  <c r="O16" i="36" s="1"/>
  <c r="P16" i="36" s="1"/>
  <c r="Q16" i="36" s="1"/>
  <c r="R16" i="36" s="1"/>
  <c r="S16" i="36" s="1"/>
  <c r="T16" i="36" s="1"/>
  <c r="J64" i="35"/>
  <c r="I54" i="35"/>
  <c r="K44" i="35"/>
  <c r="L44" i="35"/>
  <c r="M44" i="35"/>
  <c r="N44" i="35"/>
  <c r="O44" i="35"/>
  <c r="P44" i="35"/>
  <c r="Q44" i="35"/>
  <c r="R44" i="35"/>
  <c r="S44" i="35"/>
  <c r="T44" i="35"/>
  <c r="U44" i="35"/>
  <c r="V44" i="35"/>
  <c r="J44" i="35"/>
  <c r="I48" i="35"/>
  <c r="J42" i="35"/>
  <c r="J47" i="35" s="1"/>
  <c r="F28" i="35"/>
  <c r="J22" i="35"/>
  <c r="J69" i="35" s="1"/>
  <c r="J20" i="35"/>
  <c r="K18" i="35"/>
  <c r="L16" i="35"/>
  <c r="M16" i="35" s="1"/>
  <c r="N16" i="35" s="1"/>
  <c r="O16" i="35" s="1"/>
  <c r="P16" i="35" s="1"/>
  <c r="Q16" i="35" s="1"/>
  <c r="R16" i="35" s="1"/>
  <c r="S16" i="35" s="1"/>
  <c r="T16" i="35" s="1"/>
  <c r="I1242" i="6"/>
  <c r="J1243" i="6"/>
  <c r="J1241" i="6"/>
  <c r="J1238" i="6"/>
  <c r="J1239" i="6"/>
  <c r="J1240" i="6"/>
  <c r="F26" i="35" l="1"/>
  <c r="F52" i="35" s="1"/>
  <c r="J87" i="37"/>
  <c r="J83" i="37"/>
  <c r="J79" i="37"/>
  <c r="J75" i="37"/>
  <c r="J86" i="37"/>
  <c r="J82" i="37"/>
  <c r="J78" i="37"/>
  <c r="J85" i="37"/>
  <c r="J81" i="37"/>
  <c r="J77" i="37"/>
  <c r="K38" i="37"/>
  <c r="J84" i="37"/>
  <c r="J80" i="37"/>
  <c r="J76" i="37"/>
  <c r="J57" i="35"/>
  <c r="L18" i="36"/>
  <c r="M18" i="36" s="1"/>
  <c r="M20" i="36" s="1"/>
  <c r="J34" i="35"/>
  <c r="J26" i="35"/>
  <c r="L18" i="35"/>
  <c r="K20" i="35"/>
  <c r="L16" i="19"/>
  <c r="M16" i="19" s="1"/>
  <c r="N16" i="19" s="1"/>
  <c r="O16" i="19" s="1"/>
  <c r="P16" i="19" s="1"/>
  <c r="Q16" i="19" s="1"/>
  <c r="R16" i="19" s="1"/>
  <c r="S16" i="19" s="1"/>
  <c r="T16" i="19" s="1"/>
  <c r="K87" i="37" l="1"/>
  <c r="K83" i="37"/>
  <c r="K79" i="37"/>
  <c r="K75" i="37"/>
  <c r="K86" i="37"/>
  <c r="K82" i="37"/>
  <c r="K78" i="37"/>
  <c r="K81" i="37"/>
  <c r="K85" i="37"/>
  <c r="K77" i="37"/>
  <c r="K80" i="37"/>
  <c r="K76" i="37"/>
  <c r="K84" i="37"/>
  <c r="N18" i="36"/>
  <c r="N20" i="36" s="1"/>
  <c r="L20" i="36"/>
  <c r="J28" i="35"/>
  <c r="J33" i="35" s="1"/>
  <c r="J27" i="35"/>
  <c r="J52" i="35" s="1"/>
  <c r="J65" i="35" s="1"/>
  <c r="K26" i="35"/>
  <c r="M18" i="35"/>
  <c r="L20" i="35"/>
  <c r="B76" i="29"/>
  <c r="B77" i="29" s="1"/>
  <c r="B78" i="29" s="1"/>
  <c r="B79" i="29" s="1"/>
  <c r="B80" i="29" s="1"/>
  <c r="B81" i="29" s="1"/>
  <c r="B82" i="29" s="1"/>
  <c r="B83" i="29" s="1"/>
  <c r="B84" i="29" s="1"/>
  <c r="B85" i="29" s="1"/>
  <c r="B86" i="29" s="1"/>
  <c r="B87" i="29" s="1"/>
  <c r="D74" i="29"/>
  <c r="E74" i="29" s="1"/>
  <c r="F74" i="29" s="1"/>
  <c r="G74" i="29" s="1"/>
  <c r="H74" i="29" s="1"/>
  <c r="I74" i="29" s="1"/>
  <c r="J74" i="29" s="1"/>
  <c r="K74" i="29" s="1"/>
  <c r="B59" i="29"/>
  <c r="B60" i="29" s="1"/>
  <c r="B61" i="29" s="1"/>
  <c r="B62" i="29" s="1"/>
  <c r="B63" i="29" s="1"/>
  <c r="B64" i="29" s="1"/>
  <c r="B65" i="29" s="1"/>
  <c r="B66" i="29" s="1"/>
  <c r="B67" i="29" s="1"/>
  <c r="B68" i="29" s="1"/>
  <c r="B69" i="29" s="1"/>
  <c r="B70" i="29" s="1"/>
  <c r="D56" i="29"/>
  <c r="E56" i="29" s="1"/>
  <c r="F56" i="29" s="1"/>
  <c r="G56" i="29" s="1"/>
  <c r="H56" i="29" s="1"/>
  <c r="I56" i="29" s="1"/>
  <c r="J56" i="29" s="1"/>
  <c r="K56" i="29" s="1"/>
  <c r="B40" i="29"/>
  <c r="B41" i="29" s="1"/>
  <c r="B42" i="29" s="1"/>
  <c r="B43" i="29" s="1"/>
  <c r="B44" i="29" s="1"/>
  <c r="B45" i="29" s="1"/>
  <c r="B46" i="29" s="1"/>
  <c r="B47" i="29" s="1"/>
  <c r="B48" i="29" s="1"/>
  <c r="B49" i="29" s="1"/>
  <c r="B50" i="29" s="1"/>
  <c r="B51" i="29" s="1"/>
  <c r="D38" i="29"/>
  <c r="E38" i="29" s="1"/>
  <c r="F38" i="29" s="1"/>
  <c r="G38" i="29" s="1"/>
  <c r="H38" i="29" s="1"/>
  <c r="I38" i="29" s="1"/>
  <c r="J38" i="29" s="1"/>
  <c r="K38" i="29" s="1"/>
  <c r="O18" i="36" l="1"/>
  <c r="O20" i="36" s="1"/>
  <c r="P18" i="36"/>
  <c r="J43" i="35"/>
  <c r="J45" i="35" s="1"/>
  <c r="K42" i="35" s="1"/>
  <c r="K47" i="35" s="1"/>
  <c r="J29" i="35"/>
  <c r="J55" i="35"/>
  <c r="K27" i="35"/>
  <c r="K52" i="35" s="1"/>
  <c r="K65" i="35" s="1"/>
  <c r="L26" i="35"/>
  <c r="K28" i="35"/>
  <c r="K33" i="35" s="1"/>
  <c r="N18" i="35"/>
  <c r="M20" i="35"/>
  <c r="B22" i="29"/>
  <c r="B23" i="29" s="1"/>
  <c r="B24" i="29" s="1"/>
  <c r="B25" i="29" s="1"/>
  <c r="B26" i="29" s="1"/>
  <c r="B27" i="29" s="1"/>
  <c r="B28" i="29" s="1"/>
  <c r="B29" i="29" s="1"/>
  <c r="B30" i="29" s="1"/>
  <c r="B31" i="29" s="1"/>
  <c r="B32" i="29" s="1"/>
  <c r="B33" i="29" s="1"/>
  <c r="D20" i="29"/>
  <c r="E20" i="29" s="1"/>
  <c r="F20" i="29" s="1"/>
  <c r="G20" i="29" s="1"/>
  <c r="H20" i="29" s="1"/>
  <c r="I20" i="29" s="1"/>
  <c r="J20" i="29" s="1"/>
  <c r="K20" i="29" s="1"/>
  <c r="B5" i="29"/>
  <c r="B6" i="29" s="1"/>
  <c r="B7" i="29" s="1"/>
  <c r="B8" i="29" s="1"/>
  <c r="B9" i="29" s="1"/>
  <c r="B10" i="29" s="1"/>
  <c r="B11" i="29" s="1"/>
  <c r="B12" i="29" s="1"/>
  <c r="B13" i="29" s="1"/>
  <c r="B14" i="29" s="1"/>
  <c r="B15" i="29" s="1"/>
  <c r="B16" i="29" s="1"/>
  <c r="D3" i="29"/>
  <c r="E3" i="29" s="1"/>
  <c r="F3" i="29" s="1"/>
  <c r="G3" i="29" s="1"/>
  <c r="H3" i="29" s="1"/>
  <c r="I3" i="29" s="1"/>
  <c r="J3" i="29" s="1"/>
  <c r="K3" i="29" s="1"/>
  <c r="K55" i="35" l="1"/>
  <c r="P20" i="36"/>
  <c r="Q18" i="36"/>
  <c r="K43" i="35"/>
  <c r="K45" i="35" s="1"/>
  <c r="L27" i="35"/>
  <c r="L52" i="35" s="1"/>
  <c r="L28" i="35"/>
  <c r="L33" i="35" s="1"/>
  <c r="K29" i="35"/>
  <c r="M26" i="35"/>
  <c r="O18" i="35"/>
  <c r="N20" i="35"/>
  <c r="I84" i="25"/>
  <c r="I84" i="24"/>
  <c r="U53" i="28"/>
  <c r="T53" i="28"/>
  <c r="R53" i="28"/>
  <c r="P53" i="28"/>
  <c r="O53" i="28"/>
  <c r="M53" i="28"/>
  <c r="J53" i="28"/>
  <c r="V61" i="23"/>
  <c r="U61" i="23"/>
  <c r="T61" i="23"/>
  <c r="S61" i="23"/>
  <c r="R61" i="23"/>
  <c r="Q61" i="23"/>
  <c r="P61" i="23"/>
  <c r="O61" i="23"/>
  <c r="N61" i="23"/>
  <c r="M61" i="23"/>
  <c r="L61" i="23"/>
  <c r="K61" i="23"/>
  <c r="J61" i="23"/>
  <c r="I45" i="23"/>
  <c r="J94" i="23"/>
  <c r="K94" i="23" s="1"/>
  <c r="L94" i="23" s="1"/>
  <c r="M94" i="23" s="1"/>
  <c r="N94" i="23" s="1"/>
  <c r="O94" i="23" s="1"/>
  <c r="P94" i="23" s="1"/>
  <c r="Q94" i="23" s="1"/>
  <c r="R94" i="23" s="1"/>
  <c r="S94" i="23" s="1"/>
  <c r="T94" i="23" s="1"/>
  <c r="U94" i="23" s="1"/>
  <c r="V94" i="23" s="1"/>
  <c r="J95" i="23"/>
  <c r="K95" i="23" s="1"/>
  <c r="L95" i="23" s="1"/>
  <c r="M95" i="23" s="1"/>
  <c r="N95" i="23" s="1"/>
  <c r="O95" i="23" s="1"/>
  <c r="P95" i="23" s="1"/>
  <c r="Q95" i="23" s="1"/>
  <c r="R95" i="23" s="1"/>
  <c r="S95" i="23" s="1"/>
  <c r="T95" i="23" s="1"/>
  <c r="U95" i="23" s="1"/>
  <c r="V95" i="23" s="1"/>
  <c r="V84" i="24" s="1"/>
  <c r="V84" i="25" s="1"/>
  <c r="I89" i="23"/>
  <c r="K67" i="23"/>
  <c r="L67" i="23"/>
  <c r="M67" i="23"/>
  <c r="N67" i="23"/>
  <c r="O67" i="23"/>
  <c r="J89" i="23"/>
  <c r="P86" i="28"/>
  <c r="P67" i="23" s="1"/>
  <c r="I83" i="23"/>
  <c r="K61" i="28"/>
  <c r="L61" i="28"/>
  <c r="M61" i="28"/>
  <c r="N61" i="28"/>
  <c r="O61" i="28"/>
  <c r="P61" i="28"/>
  <c r="Q61" i="28"/>
  <c r="R61" i="28"/>
  <c r="S61" i="28"/>
  <c r="T61" i="28"/>
  <c r="U61" i="28"/>
  <c r="V61" i="28"/>
  <c r="J61" i="28"/>
  <c r="K53" i="28"/>
  <c r="L53" i="28"/>
  <c r="N53" i="28"/>
  <c r="Q53" i="28"/>
  <c r="S53" i="28"/>
  <c r="V53" i="28"/>
  <c r="V123" i="28"/>
  <c r="U123" i="28"/>
  <c r="T123" i="28"/>
  <c r="S123" i="28"/>
  <c r="R123" i="28"/>
  <c r="Q123" i="28"/>
  <c r="P123" i="28"/>
  <c r="O123" i="28"/>
  <c r="N123" i="28"/>
  <c r="M123" i="28"/>
  <c r="L123" i="28"/>
  <c r="K123" i="28"/>
  <c r="J123" i="28"/>
  <c r="V122" i="28"/>
  <c r="V125" i="28" s="1"/>
  <c r="U122" i="28"/>
  <c r="U125" i="28" s="1"/>
  <c r="T122" i="28"/>
  <c r="T125" i="28" s="1"/>
  <c r="S122" i="28"/>
  <c r="S125" i="28" s="1"/>
  <c r="R122" i="28"/>
  <c r="R125" i="28" s="1"/>
  <c r="Q122" i="28"/>
  <c r="Q125" i="28" s="1"/>
  <c r="P122" i="28"/>
  <c r="P125" i="28" s="1"/>
  <c r="O122" i="28"/>
  <c r="O125" i="28" s="1"/>
  <c r="N122" i="28"/>
  <c r="N125" i="28" s="1"/>
  <c r="M122" i="28"/>
  <c r="M125" i="28" s="1"/>
  <c r="L122" i="28"/>
  <c r="L125" i="28" s="1"/>
  <c r="K122" i="28"/>
  <c r="K125" i="28" s="1"/>
  <c r="J122" i="28"/>
  <c r="J125" i="28" s="1"/>
  <c r="V117" i="28"/>
  <c r="V118" i="28" s="1"/>
  <c r="V124" i="28" s="1"/>
  <c r="U117" i="28"/>
  <c r="U118" i="28" s="1"/>
  <c r="U124" i="28" s="1"/>
  <c r="T117" i="28"/>
  <c r="T118" i="28" s="1"/>
  <c r="T124" i="28" s="1"/>
  <c r="S117" i="28"/>
  <c r="S118" i="28" s="1"/>
  <c r="S124" i="28" s="1"/>
  <c r="R117" i="28"/>
  <c r="R118" i="28" s="1"/>
  <c r="R124" i="28" s="1"/>
  <c r="Q117" i="28"/>
  <c r="Q118" i="28" s="1"/>
  <c r="Q124" i="28" s="1"/>
  <c r="P117" i="28"/>
  <c r="P118" i="28" s="1"/>
  <c r="P124" i="28" s="1"/>
  <c r="O117" i="28"/>
  <c r="O118" i="28" s="1"/>
  <c r="O124" i="28" s="1"/>
  <c r="N117" i="28"/>
  <c r="N118" i="28" s="1"/>
  <c r="N124" i="28" s="1"/>
  <c r="M117" i="28"/>
  <c r="M118" i="28" s="1"/>
  <c r="M124" i="28" s="1"/>
  <c r="L117" i="28"/>
  <c r="L118" i="28" s="1"/>
  <c r="L124" i="28" s="1"/>
  <c r="K117" i="28"/>
  <c r="K118" i="28" s="1"/>
  <c r="K124" i="28" s="1"/>
  <c r="J117" i="28"/>
  <c r="J118" i="28" s="1"/>
  <c r="I118" i="28" s="1"/>
  <c r="V113" i="28"/>
  <c r="U113" i="28"/>
  <c r="T113" i="28"/>
  <c r="S113" i="28"/>
  <c r="R113" i="28"/>
  <c r="Q113" i="28"/>
  <c r="P113" i="28"/>
  <c r="O113" i="28"/>
  <c r="N113" i="28"/>
  <c r="M113" i="28"/>
  <c r="L113" i="28"/>
  <c r="K113" i="28"/>
  <c r="J113" i="28"/>
  <c r="V112" i="28"/>
  <c r="V115" i="28" s="1"/>
  <c r="U112" i="28"/>
  <c r="U115" i="28" s="1"/>
  <c r="T112" i="28"/>
  <c r="T115" i="28" s="1"/>
  <c r="S112" i="28"/>
  <c r="S115" i="28" s="1"/>
  <c r="R112" i="28"/>
  <c r="R115" i="28" s="1"/>
  <c r="Q112" i="28"/>
  <c r="Q115" i="28" s="1"/>
  <c r="P112" i="28"/>
  <c r="P115" i="28" s="1"/>
  <c r="O112" i="28"/>
  <c r="O115" i="28" s="1"/>
  <c r="N112" i="28"/>
  <c r="N115" i="28" s="1"/>
  <c r="M112" i="28"/>
  <c r="M115" i="28" s="1"/>
  <c r="L112" i="28"/>
  <c r="L115" i="28" s="1"/>
  <c r="K112" i="28"/>
  <c r="K115" i="28" s="1"/>
  <c r="J112" i="28"/>
  <c r="J115" i="28" s="1"/>
  <c r="V110" i="28"/>
  <c r="V114" i="28" s="1"/>
  <c r="U110" i="28"/>
  <c r="U114" i="28" s="1"/>
  <c r="T110" i="28"/>
  <c r="T114" i="28" s="1"/>
  <c r="S110" i="28"/>
  <c r="S114" i="28" s="1"/>
  <c r="R110" i="28"/>
  <c r="R114" i="28" s="1"/>
  <c r="Q110" i="28"/>
  <c r="Q114" i="28" s="1"/>
  <c r="P110" i="28"/>
  <c r="P114" i="28" s="1"/>
  <c r="O110" i="28"/>
  <c r="O114" i="28" s="1"/>
  <c r="N110" i="28"/>
  <c r="N114" i="28" s="1"/>
  <c r="M110" i="28"/>
  <c r="M114" i="28" s="1"/>
  <c r="L110" i="28"/>
  <c r="L114" i="28" s="1"/>
  <c r="K110" i="28"/>
  <c r="K114" i="28" s="1"/>
  <c r="J110" i="28"/>
  <c r="J114" i="28" s="1"/>
  <c r="F109" i="28"/>
  <c r="V102" i="28"/>
  <c r="U102" i="28"/>
  <c r="T102" i="28"/>
  <c r="S102" i="28"/>
  <c r="R102" i="28"/>
  <c r="Q102" i="28"/>
  <c r="P102" i="28"/>
  <c r="O102" i="28"/>
  <c r="N102" i="28"/>
  <c r="M102" i="28"/>
  <c r="L102" i="28"/>
  <c r="K102" i="28"/>
  <c r="J102" i="28"/>
  <c r="V101" i="28"/>
  <c r="V104" i="28" s="1"/>
  <c r="U101" i="28"/>
  <c r="U104" i="28" s="1"/>
  <c r="T101" i="28"/>
  <c r="T104" i="28" s="1"/>
  <c r="S101" i="28"/>
  <c r="S104" i="28" s="1"/>
  <c r="R101" i="28"/>
  <c r="R104" i="28" s="1"/>
  <c r="Q101" i="28"/>
  <c r="Q104" i="28" s="1"/>
  <c r="P101" i="28"/>
  <c r="P104" i="28" s="1"/>
  <c r="O101" i="28"/>
  <c r="O104" i="28" s="1"/>
  <c r="N101" i="28"/>
  <c r="N104" i="28" s="1"/>
  <c r="M101" i="28"/>
  <c r="M104" i="28" s="1"/>
  <c r="L101" i="28"/>
  <c r="L104" i="28" s="1"/>
  <c r="K101" i="28"/>
  <c r="K104" i="28" s="1"/>
  <c r="J101" i="28"/>
  <c r="J104" i="28" s="1"/>
  <c r="F96" i="28"/>
  <c r="J85" i="28"/>
  <c r="J86" i="28" s="1"/>
  <c r="J67" i="23" s="1"/>
  <c r="V83" i="28"/>
  <c r="V86" i="28" s="1"/>
  <c r="V67" i="23" s="1"/>
  <c r="U83" i="28"/>
  <c r="U86" i="28" s="1"/>
  <c r="U67" i="23" s="1"/>
  <c r="T83" i="28"/>
  <c r="T86" i="28" s="1"/>
  <c r="T67" i="23" s="1"/>
  <c r="S83" i="28"/>
  <c r="S86" i="28" s="1"/>
  <c r="S67" i="23" s="1"/>
  <c r="R83" i="28"/>
  <c r="R86" i="28" s="1"/>
  <c r="R67" i="23" s="1"/>
  <c r="Q83" i="28"/>
  <c r="P83" i="28"/>
  <c r="O83" i="28"/>
  <c r="N83" i="28"/>
  <c r="M83" i="28"/>
  <c r="L83" i="28"/>
  <c r="K83" i="28"/>
  <c r="J83" i="28"/>
  <c r="I77" i="28"/>
  <c r="J75" i="28" s="1"/>
  <c r="J77" i="28" s="1"/>
  <c r="K75" i="28" s="1"/>
  <c r="K77" i="28" s="1"/>
  <c r="L75" i="28" s="1"/>
  <c r="L77" i="28" s="1"/>
  <c r="M75" i="28" s="1"/>
  <c r="M77" i="28" s="1"/>
  <c r="N75" i="28" s="1"/>
  <c r="N77" i="28" s="1"/>
  <c r="O75" i="28" s="1"/>
  <c r="O77" i="28" s="1"/>
  <c r="P75" i="28" s="1"/>
  <c r="P77" i="28" s="1"/>
  <c r="Q75" i="28" s="1"/>
  <c r="Q77" i="28" s="1"/>
  <c r="R75" i="28" s="1"/>
  <c r="R77" i="28" s="1"/>
  <c r="S75" i="28" s="1"/>
  <c r="S77" i="28" s="1"/>
  <c r="T75" i="28" s="1"/>
  <c r="T77" i="28" s="1"/>
  <c r="U75" i="28" s="1"/>
  <c r="U77" i="28" s="1"/>
  <c r="V75" i="28" s="1"/>
  <c r="V77" i="28" s="1"/>
  <c r="V70" i="28"/>
  <c r="V76" i="28" s="1"/>
  <c r="U70" i="28"/>
  <c r="U76" i="28" s="1"/>
  <c r="T70" i="28"/>
  <c r="T76" i="28" s="1"/>
  <c r="S70" i="28"/>
  <c r="S76" i="28" s="1"/>
  <c r="R70" i="28"/>
  <c r="R76" i="28" s="1"/>
  <c r="Q70" i="28"/>
  <c r="Q76" i="28" s="1"/>
  <c r="P70" i="28"/>
  <c r="P76" i="28" s="1"/>
  <c r="O70" i="28"/>
  <c r="O76" i="28" s="1"/>
  <c r="N70" i="28"/>
  <c r="N76" i="28" s="1"/>
  <c r="M70" i="28"/>
  <c r="M76" i="28" s="1"/>
  <c r="L70" i="28"/>
  <c r="L76" i="28" s="1"/>
  <c r="K70" i="28"/>
  <c r="K76" i="28" s="1"/>
  <c r="J70" i="28"/>
  <c r="J76" i="28" s="1"/>
  <c r="J59" i="28"/>
  <c r="V54" i="28"/>
  <c r="U54" i="28"/>
  <c r="T54" i="28"/>
  <c r="S54" i="28"/>
  <c r="R54" i="28"/>
  <c r="Q54" i="28"/>
  <c r="P54" i="28"/>
  <c r="O54" i="28"/>
  <c r="N54" i="28"/>
  <c r="M54" i="28"/>
  <c r="L54" i="28"/>
  <c r="K54" i="28"/>
  <c r="J54" i="28"/>
  <c r="I54" i="28"/>
  <c r="I55" i="28" s="1"/>
  <c r="T82" i="23"/>
  <c r="U82" i="23"/>
  <c r="V82" i="23"/>
  <c r="K43" i="28"/>
  <c r="L43" i="28"/>
  <c r="M43" i="28"/>
  <c r="N43" i="28"/>
  <c r="O43" i="28"/>
  <c r="P43" i="28"/>
  <c r="Q43" i="28"/>
  <c r="R43" i="28"/>
  <c r="S43" i="28"/>
  <c r="T43" i="28"/>
  <c r="U43" i="28"/>
  <c r="V43" i="28"/>
  <c r="J43" i="28"/>
  <c r="K33" i="28"/>
  <c r="L33" i="28"/>
  <c r="M33" i="28"/>
  <c r="N33" i="28"/>
  <c r="O33" i="28"/>
  <c r="P33" i="28"/>
  <c r="Q33" i="28"/>
  <c r="R33" i="28"/>
  <c r="S33" i="28"/>
  <c r="T33" i="28"/>
  <c r="U33" i="28"/>
  <c r="V33" i="28"/>
  <c r="J33" i="28"/>
  <c r="W152" i="28"/>
  <c r="W153" i="28" s="1"/>
  <c r="V136" i="28"/>
  <c r="U136" i="28"/>
  <c r="T136" i="28"/>
  <c r="T146" i="28" s="1"/>
  <c r="T147" i="28" s="1"/>
  <c r="S136" i="28"/>
  <c r="S146" i="28" s="1"/>
  <c r="S147" i="28" s="1"/>
  <c r="R136" i="28"/>
  <c r="Q136" i="28"/>
  <c r="Q142" i="28" s="1"/>
  <c r="Q152" i="28" s="1"/>
  <c r="P136" i="28"/>
  <c r="P142" i="28" s="1"/>
  <c r="P152" i="28" s="1"/>
  <c r="O136" i="28"/>
  <c r="N136" i="28"/>
  <c r="M136" i="28"/>
  <c r="M146" i="28" s="1"/>
  <c r="M147" i="28" s="1"/>
  <c r="M148" i="28" s="1"/>
  <c r="L136" i="28"/>
  <c r="L146" i="28" s="1"/>
  <c r="L147" i="28" s="1"/>
  <c r="L148" i="28" s="1"/>
  <c r="K136" i="28"/>
  <c r="K146" i="28" s="1"/>
  <c r="K147" i="28" s="1"/>
  <c r="J136" i="28"/>
  <c r="J146" i="28" s="1"/>
  <c r="J147" i="28" s="1"/>
  <c r="I136" i="28"/>
  <c r="I146" i="28" s="1"/>
  <c r="I147" i="28" s="1"/>
  <c r="I148" i="28" s="1"/>
  <c r="I80" i="23"/>
  <c r="L65" i="35" l="1"/>
  <c r="L55" i="35"/>
  <c r="Q20" i="36"/>
  <c r="R18" i="36"/>
  <c r="M27" i="35"/>
  <c r="M52" i="35" s="1"/>
  <c r="L42" i="35"/>
  <c r="L43" i="35"/>
  <c r="M28" i="35"/>
  <c r="M33" i="35" s="1"/>
  <c r="L29" i="35"/>
  <c r="N26" i="35"/>
  <c r="O20" i="35"/>
  <c r="P18" i="35"/>
  <c r="K84" i="24"/>
  <c r="K84" i="25" s="1"/>
  <c r="L84" i="24"/>
  <c r="L84" i="25" s="1"/>
  <c r="O84" i="24"/>
  <c r="O84" i="25" s="1"/>
  <c r="P84" i="24"/>
  <c r="P84" i="25" s="1"/>
  <c r="S84" i="24"/>
  <c r="S84" i="25" s="1"/>
  <c r="T84" i="24"/>
  <c r="T84" i="25" s="1"/>
  <c r="M84" i="24"/>
  <c r="M84" i="25" s="1"/>
  <c r="U84" i="24"/>
  <c r="U84" i="25" s="1"/>
  <c r="N84" i="24"/>
  <c r="N84" i="25" s="1"/>
  <c r="Q84" i="24"/>
  <c r="Q84" i="25" s="1"/>
  <c r="J84" i="24"/>
  <c r="J84" i="25" s="1"/>
  <c r="R84" i="24"/>
  <c r="R84" i="25" s="1"/>
  <c r="V55" i="28"/>
  <c r="V57" i="28" s="1"/>
  <c r="V93" i="28" s="1"/>
  <c r="L55" i="28"/>
  <c r="L57" i="28" s="1"/>
  <c r="L93" i="28" s="1"/>
  <c r="T55" i="28"/>
  <c r="T57" i="28" s="1"/>
  <c r="T93" i="28" s="1"/>
  <c r="U55" i="28"/>
  <c r="U57" i="28" s="1"/>
  <c r="U60" i="28" s="1"/>
  <c r="M55" i="28"/>
  <c r="M57" i="28" s="1"/>
  <c r="M93" i="28" s="1"/>
  <c r="N55" i="28"/>
  <c r="N57" i="28" s="1"/>
  <c r="N93" i="28" s="1"/>
  <c r="K55" i="28"/>
  <c r="K57" i="28" s="1"/>
  <c r="K93" i="28" s="1"/>
  <c r="S55" i="28"/>
  <c r="S57" i="28" s="1"/>
  <c r="S93" i="28" s="1"/>
  <c r="O55" i="28"/>
  <c r="J55" i="28"/>
  <c r="J57" i="28" s="1"/>
  <c r="J60" i="28" s="1"/>
  <c r="J62" i="28" s="1"/>
  <c r="Q55" i="28"/>
  <c r="P55" i="28"/>
  <c r="P57" i="28" s="1"/>
  <c r="P60" i="28" s="1"/>
  <c r="R55" i="28"/>
  <c r="I57" i="28"/>
  <c r="K85" i="28"/>
  <c r="K87" i="28" s="1"/>
  <c r="J124" i="28"/>
  <c r="T128" i="28" s="1"/>
  <c r="I125" i="28"/>
  <c r="R140" i="28"/>
  <c r="M140" i="28"/>
  <c r="Q140" i="28"/>
  <c r="S142" i="28"/>
  <c r="S152" i="28" s="1"/>
  <c r="S153" i="28" s="1"/>
  <c r="T142" i="28"/>
  <c r="T152" i="28" s="1"/>
  <c r="T153" i="28" s="1"/>
  <c r="Q146" i="28"/>
  <c r="Q147" i="28" s="1"/>
  <c r="Q148" i="28" s="1"/>
  <c r="R146" i="28"/>
  <c r="R147" i="28" s="1"/>
  <c r="R148" i="28" s="1"/>
  <c r="J140" i="28"/>
  <c r="U146" i="28"/>
  <c r="U147" i="28" s="1"/>
  <c r="U148" i="28" s="1"/>
  <c r="U140" i="28"/>
  <c r="U142" i="28"/>
  <c r="T148" i="28"/>
  <c r="K142" i="28"/>
  <c r="K152" i="28" s="1"/>
  <c r="L142" i="28"/>
  <c r="L152" i="28" s="1"/>
  <c r="L153" i="28" s="1"/>
  <c r="M142" i="28"/>
  <c r="M152" i="28" s="1"/>
  <c r="M153" i="28" s="1"/>
  <c r="P146" i="28"/>
  <c r="P147" i="28" s="1"/>
  <c r="P148" i="28" s="1"/>
  <c r="N142" i="28"/>
  <c r="N146" i="28"/>
  <c r="N147" i="28" s="1"/>
  <c r="N148" i="28" s="1"/>
  <c r="N140" i="28"/>
  <c r="V142" i="28"/>
  <c r="V146" i="28"/>
  <c r="V147" i="28" s="1"/>
  <c r="V148" i="28" s="1"/>
  <c r="V140" i="28"/>
  <c r="Q153" i="28"/>
  <c r="O142" i="28"/>
  <c r="O146" i="28"/>
  <c r="O147" i="28" s="1"/>
  <c r="O148" i="28" s="1"/>
  <c r="O140" i="28"/>
  <c r="P140" i="28"/>
  <c r="Q143" i="28"/>
  <c r="J142" i="28"/>
  <c r="J143" i="28" s="1"/>
  <c r="J148" i="28"/>
  <c r="R142" i="28"/>
  <c r="K148" i="28"/>
  <c r="S148" i="28"/>
  <c r="K140" i="28"/>
  <c r="S140" i="28"/>
  <c r="L140" i="28"/>
  <c r="T140" i="28"/>
  <c r="M55" i="35" l="1"/>
  <c r="M65" i="35"/>
  <c r="S18" i="36"/>
  <c r="R20" i="36"/>
  <c r="N27" i="35"/>
  <c r="N52" i="35" s="1"/>
  <c r="L45" i="35"/>
  <c r="M42" i="35" s="1"/>
  <c r="M47" i="35" s="1"/>
  <c r="L47" i="35"/>
  <c r="M43" i="35"/>
  <c r="M29" i="35"/>
  <c r="N28" i="35"/>
  <c r="N33" i="35" s="1"/>
  <c r="O26" i="35"/>
  <c r="P20" i="35"/>
  <c r="Q18" i="35"/>
  <c r="L85" i="28"/>
  <c r="L87" i="28" s="1"/>
  <c r="K89" i="23"/>
  <c r="U93" i="28"/>
  <c r="U95" i="28" s="1"/>
  <c r="V60" i="28"/>
  <c r="K59" i="28"/>
  <c r="J83" i="23"/>
  <c r="N60" i="28"/>
  <c r="L60" i="28"/>
  <c r="T60" i="28"/>
  <c r="S60" i="28"/>
  <c r="K60" i="28"/>
  <c r="M60" i="28"/>
  <c r="J93" i="28"/>
  <c r="J96" i="28" s="1"/>
  <c r="R57" i="28"/>
  <c r="R93" i="28" s="1"/>
  <c r="P93" i="28"/>
  <c r="P96" i="28" s="1"/>
  <c r="O57" i="28"/>
  <c r="O93" i="28" s="1"/>
  <c r="O95" i="28" s="1"/>
  <c r="Q57" i="28"/>
  <c r="Q93" i="28" s="1"/>
  <c r="Q95" i="28" s="1"/>
  <c r="H55" i="28"/>
  <c r="L128" i="28"/>
  <c r="Q128" i="28"/>
  <c r="J128" i="28"/>
  <c r="M128" i="28"/>
  <c r="N95" i="28"/>
  <c r="N96" i="28"/>
  <c r="I124" i="28"/>
  <c r="P128" i="28"/>
  <c r="O128" i="28"/>
  <c r="S95" i="28"/>
  <c r="S96" i="28"/>
  <c r="L95" i="28"/>
  <c r="L96" i="28"/>
  <c r="T95" i="28"/>
  <c r="T96" i="28"/>
  <c r="S128" i="28"/>
  <c r="V95" i="28"/>
  <c r="V96" i="28"/>
  <c r="N128" i="28"/>
  <c r="K128" i="28"/>
  <c r="K96" i="28"/>
  <c r="K95" i="28"/>
  <c r="M95" i="28"/>
  <c r="M96" i="28"/>
  <c r="U128" i="28"/>
  <c r="R128" i="28"/>
  <c r="V128" i="28"/>
  <c r="T143" i="28"/>
  <c r="M143" i="28"/>
  <c r="U143" i="28"/>
  <c r="U152" i="28"/>
  <c r="U153" i="28" s="1"/>
  <c r="L143" i="28"/>
  <c r="K153" i="28"/>
  <c r="O152" i="28"/>
  <c r="O153" i="28" s="1"/>
  <c r="O143" i="28"/>
  <c r="K143" i="28"/>
  <c r="P143" i="28"/>
  <c r="P153" i="28"/>
  <c r="V152" i="28"/>
  <c r="V143" i="28"/>
  <c r="R143" i="28"/>
  <c r="R152" i="28"/>
  <c r="R153" i="28" s="1"/>
  <c r="S143" i="28"/>
  <c r="N152" i="28"/>
  <c r="N153" i="28" s="1"/>
  <c r="N143" i="28"/>
  <c r="N65" i="35" l="1"/>
  <c r="N55" i="35"/>
  <c r="S20" i="36"/>
  <c r="T18" i="36"/>
  <c r="O27" i="35"/>
  <c r="O52" i="35" s="1"/>
  <c r="M45" i="35"/>
  <c r="N43" i="35"/>
  <c r="N29" i="35"/>
  <c r="O28" i="35"/>
  <c r="O33" i="35" s="1"/>
  <c r="P26" i="35"/>
  <c r="Q20" i="35"/>
  <c r="R18" i="35"/>
  <c r="M85" i="28"/>
  <c r="M87" i="28" s="1"/>
  <c r="L89" i="23"/>
  <c r="U96" i="28"/>
  <c r="U97" i="28" s="1"/>
  <c r="K62" i="28"/>
  <c r="L59" i="28" s="1"/>
  <c r="L62" i="28" s="1"/>
  <c r="J95" i="28"/>
  <c r="J97" i="28" s="1"/>
  <c r="P95" i="28"/>
  <c r="P97" i="28" s="1"/>
  <c r="Q60" i="28"/>
  <c r="R60" i="28"/>
  <c r="R96" i="28"/>
  <c r="R95" i="28"/>
  <c r="O60" i="28"/>
  <c r="Q96" i="28"/>
  <c r="Q97" i="28" s="1"/>
  <c r="O96" i="28"/>
  <c r="O97" i="28" s="1"/>
  <c r="K97" i="28"/>
  <c r="M97" i="28"/>
  <c r="V97" i="28"/>
  <c r="S97" i="28"/>
  <c r="N97" i="28"/>
  <c r="L97" i="28"/>
  <c r="T97" i="28"/>
  <c r="V153" i="28"/>
  <c r="O55" i="35" l="1"/>
  <c r="O65" i="35"/>
  <c r="U18" i="36"/>
  <c r="T20" i="36"/>
  <c r="P27" i="35"/>
  <c r="P52" i="35" s="1"/>
  <c r="N42" i="35"/>
  <c r="O43" i="35"/>
  <c r="P28" i="35"/>
  <c r="P33" i="35" s="1"/>
  <c r="O29" i="35"/>
  <c r="Q26" i="35"/>
  <c r="R20" i="35"/>
  <c r="S18" i="35"/>
  <c r="N85" i="28"/>
  <c r="N87" i="28" s="1"/>
  <c r="M89" i="23"/>
  <c r="K83" i="23"/>
  <c r="R97" i="28"/>
  <c r="M59" i="28"/>
  <c r="M62" i="28" s="1"/>
  <c r="L83" i="23"/>
  <c r="P65" i="35" l="1"/>
  <c r="P55" i="35"/>
  <c r="U20" i="36"/>
  <c r="V18" i="36"/>
  <c r="Q27" i="35"/>
  <c r="Q52" i="35" s="1"/>
  <c r="P29" i="35"/>
  <c r="N45" i="35"/>
  <c r="O42" i="35" s="1"/>
  <c r="N47" i="35"/>
  <c r="P43" i="35"/>
  <c r="Q28" i="35"/>
  <c r="Q33" i="35" s="1"/>
  <c r="R26" i="35"/>
  <c r="T18" i="35"/>
  <c r="S20" i="35"/>
  <c r="O85" i="28"/>
  <c r="O87" i="28" s="1"/>
  <c r="N89" i="23"/>
  <c r="N59" i="28"/>
  <c r="N62" i="28" s="1"/>
  <c r="M83" i="23"/>
  <c r="Q65" i="35" l="1"/>
  <c r="Q55" i="35"/>
  <c r="V20" i="36"/>
  <c r="R27" i="35"/>
  <c r="R52" i="35" s="1"/>
  <c r="O45" i="35"/>
  <c r="P42" i="35" s="1"/>
  <c r="O47" i="35"/>
  <c r="Q43" i="35"/>
  <c r="R28" i="35"/>
  <c r="Q29" i="35"/>
  <c r="S26" i="35"/>
  <c r="U18" i="35"/>
  <c r="T20" i="35"/>
  <c r="P85" i="28"/>
  <c r="P87" i="28" s="1"/>
  <c r="O89" i="23"/>
  <c r="O59" i="28"/>
  <c r="O62" i="28" s="1"/>
  <c r="N83" i="23"/>
  <c r="R65" i="35" l="1"/>
  <c r="R55" i="35"/>
  <c r="S27" i="35"/>
  <c r="S52" i="35" s="1"/>
  <c r="R29" i="35"/>
  <c r="R33" i="35"/>
  <c r="S28" i="35"/>
  <c r="P45" i="35"/>
  <c r="Q42" i="35" s="1"/>
  <c r="P47" i="35"/>
  <c r="R43" i="35"/>
  <c r="T26" i="35"/>
  <c r="V18" i="35"/>
  <c r="U20" i="35"/>
  <c r="Q85" i="28"/>
  <c r="Q86" i="28" s="1"/>
  <c r="P89" i="23"/>
  <c r="P59" i="28"/>
  <c r="P62" i="28" s="1"/>
  <c r="O83" i="23"/>
  <c r="S65" i="35" l="1"/>
  <c r="S55" i="35"/>
  <c r="T27" i="35"/>
  <c r="T52" i="35" s="1"/>
  <c r="S29" i="35"/>
  <c r="S33" i="35"/>
  <c r="S43" i="35"/>
  <c r="Q45" i="35"/>
  <c r="R42" i="35" s="1"/>
  <c r="Q47" i="35"/>
  <c r="U26" i="35"/>
  <c r="T28" i="35"/>
  <c r="T33" i="35" s="1"/>
  <c r="V20" i="35"/>
  <c r="Q87" i="28"/>
  <c r="R85" i="28" s="1"/>
  <c r="R87" i="28" s="1"/>
  <c r="Q67" i="23"/>
  <c r="Q59" i="28"/>
  <c r="Q62" i="28" s="1"/>
  <c r="P83" i="23"/>
  <c r="T65" i="35" l="1"/>
  <c r="T55" i="35"/>
  <c r="U28" i="35"/>
  <c r="U33" i="35" s="1"/>
  <c r="R45" i="35"/>
  <c r="S42" i="35" s="1"/>
  <c r="R47" i="35"/>
  <c r="T43" i="35"/>
  <c r="U27" i="35"/>
  <c r="U52" i="35" s="1"/>
  <c r="T29" i="35"/>
  <c r="V26" i="35"/>
  <c r="Q89" i="23"/>
  <c r="S85" i="28"/>
  <c r="S87" i="28" s="1"/>
  <c r="R89" i="23"/>
  <c r="R59" i="28"/>
  <c r="R62" i="28" s="1"/>
  <c r="Q83" i="23"/>
  <c r="U65" i="35" l="1"/>
  <c r="U55" i="35"/>
  <c r="U43" i="35"/>
  <c r="I26" i="35"/>
  <c r="U29" i="35"/>
  <c r="S45" i="35"/>
  <c r="T42" i="35" s="1"/>
  <c r="S47" i="35"/>
  <c r="V28" i="35"/>
  <c r="V33" i="35" s="1"/>
  <c r="V27" i="35"/>
  <c r="V52" i="35" s="1"/>
  <c r="T85" i="28"/>
  <c r="T87" i="28" s="1"/>
  <c r="S89" i="23"/>
  <c r="S59" i="28"/>
  <c r="S62" i="28" s="1"/>
  <c r="R83" i="23"/>
  <c r="V65" i="35" l="1"/>
  <c r="V55" i="35"/>
  <c r="T45" i="35"/>
  <c r="U42" i="35" s="1"/>
  <c r="T47" i="35"/>
  <c r="V43" i="35"/>
  <c r="I28" i="35"/>
  <c r="V29" i="35"/>
  <c r="I29" i="35" s="1"/>
  <c r="I27" i="35"/>
  <c r="U85" i="28"/>
  <c r="U87" i="28" s="1"/>
  <c r="T89" i="23"/>
  <c r="T59" i="28"/>
  <c r="T62" i="28" s="1"/>
  <c r="S83" i="23"/>
  <c r="U45" i="35" l="1"/>
  <c r="V42" i="35" s="1"/>
  <c r="U47" i="35"/>
  <c r="V85" i="28"/>
  <c r="V87" i="28" s="1"/>
  <c r="V89" i="23" s="1"/>
  <c r="U89" i="23"/>
  <c r="U59" i="28"/>
  <c r="U62" i="28" s="1"/>
  <c r="T83" i="23"/>
  <c r="V45" i="35" l="1"/>
  <c r="V47" i="35"/>
  <c r="V59" i="28"/>
  <c r="V62" i="28" s="1"/>
  <c r="V83" i="23" s="1"/>
  <c r="U83" i="23"/>
  <c r="I47" i="35" l="1"/>
  <c r="I49" i="35" s="1"/>
  <c r="V34" i="27"/>
  <c r="V29" i="27"/>
  <c r="V27" i="27"/>
  <c r="V24" i="27"/>
  <c r="V17" i="27"/>
  <c r="V32" i="27"/>
  <c r="V26" i="27"/>
  <c r="V10" i="27"/>
  <c r="V9" i="27"/>
  <c r="V7" i="27"/>
  <c r="I88" i="15" s="1"/>
  <c r="I95" i="15" s="1"/>
  <c r="I55" i="35" l="1"/>
  <c r="I69" i="24"/>
  <c r="I69" i="25"/>
  <c r="I98" i="15"/>
  <c r="I109" i="15"/>
  <c r="I1455" i="11"/>
  <c r="I1465" i="11"/>
  <c r="I104" i="15"/>
  <c r="I96" i="15"/>
  <c r="V33" i="27"/>
  <c r="V28" i="27"/>
  <c r="I105" i="15" s="1"/>
  <c r="V18" i="27"/>
  <c r="V23" i="27" s="1"/>
  <c r="I78" i="25" l="1"/>
  <c r="I1302" i="43"/>
  <c r="J1300" i="43" s="1"/>
  <c r="I70" i="25"/>
  <c r="I1247" i="43"/>
  <c r="I83" i="25"/>
  <c r="I1292" i="43"/>
  <c r="J1290" i="43" s="1"/>
  <c r="I72" i="25"/>
  <c r="I1275" i="43"/>
  <c r="J1272" i="43" s="1"/>
  <c r="N56" i="35"/>
  <c r="V56" i="35"/>
  <c r="J56" i="35"/>
  <c r="S56" i="35"/>
  <c r="U56" i="35"/>
  <c r="O56" i="35"/>
  <c r="P56" i="35"/>
  <c r="T56" i="35"/>
  <c r="M56" i="35"/>
  <c r="Q56" i="35"/>
  <c r="R56" i="35"/>
  <c r="K56" i="35"/>
  <c r="L56" i="35"/>
  <c r="I1489" i="11"/>
  <c r="J1486" i="11" s="1"/>
  <c r="I72" i="24"/>
  <c r="I1460" i="11"/>
  <c r="I70" i="24"/>
  <c r="I1517" i="11"/>
  <c r="J1515" i="11" s="1"/>
  <c r="I78" i="24"/>
  <c r="I1507" i="11"/>
  <c r="J1505" i="11" s="1"/>
  <c r="I83" i="24"/>
  <c r="I111" i="15"/>
  <c r="I85" i="25" s="1"/>
  <c r="I97" i="23"/>
  <c r="I106" i="15"/>
  <c r="I99" i="15"/>
  <c r="I100" i="15" s="1"/>
  <c r="I86" i="25" l="1"/>
  <c r="J1301" i="43"/>
  <c r="J1302" i="43" s="1"/>
  <c r="K1300" i="43" s="1"/>
  <c r="K1302" i="43" s="1"/>
  <c r="L1300" i="43" s="1"/>
  <c r="L1302" i="43" s="1"/>
  <c r="M1300" i="43" s="1"/>
  <c r="M1302" i="43" s="1"/>
  <c r="N1300" i="43" s="1"/>
  <c r="N1302" i="43" s="1"/>
  <c r="O1300" i="43" s="1"/>
  <c r="O1302" i="43" s="1"/>
  <c r="P1300" i="43" s="1"/>
  <c r="P1302" i="43" s="1"/>
  <c r="Q1300" i="43" s="1"/>
  <c r="Q1302" i="43" s="1"/>
  <c r="R1300" i="43" s="1"/>
  <c r="R1302" i="43" s="1"/>
  <c r="S1300" i="43" s="1"/>
  <c r="S1302" i="43" s="1"/>
  <c r="T1300" i="43" s="1"/>
  <c r="T1302" i="43" s="1"/>
  <c r="U1300" i="43" s="1"/>
  <c r="U1302" i="43" s="1"/>
  <c r="V1300" i="43" s="1"/>
  <c r="V1302" i="43" s="1"/>
  <c r="I1254" i="43"/>
  <c r="K1247" i="43"/>
  <c r="J1247" i="43"/>
  <c r="L1247" i="43"/>
  <c r="M1247" i="43"/>
  <c r="N1247" i="43"/>
  <c r="O1247" i="43"/>
  <c r="P1247" i="43"/>
  <c r="Q1247" i="43"/>
  <c r="R1247" i="43"/>
  <c r="S1247" i="43"/>
  <c r="P66" i="35"/>
  <c r="K66" i="35"/>
  <c r="T66" i="35"/>
  <c r="O66" i="35"/>
  <c r="L66" i="35"/>
  <c r="U66" i="35"/>
  <c r="S66" i="35"/>
  <c r="R66" i="35"/>
  <c r="J61" i="35"/>
  <c r="J66" i="35"/>
  <c r="J67" i="35" s="1"/>
  <c r="K64" i="35" s="1"/>
  <c r="J58" i="35"/>
  <c r="Q66" i="35"/>
  <c r="V66" i="35"/>
  <c r="M66" i="35"/>
  <c r="N66" i="35"/>
  <c r="I60" i="15"/>
  <c r="I85" i="24"/>
  <c r="I86" i="24" s="1"/>
  <c r="J105" i="15"/>
  <c r="J99" i="15"/>
  <c r="J1326" i="43" l="1"/>
  <c r="J1335" i="43"/>
  <c r="K67" i="35"/>
  <c r="L64" i="35" s="1"/>
  <c r="K105" i="15"/>
  <c r="L105" i="15" s="1"/>
  <c r="K99" i="15"/>
  <c r="I1338" i="43" l="1"/>
  <c r="L67" i="35"/>
  <c r="M64" i="35" s="1"/>
  <c r="M105" i="15"/>
  <c r="L99" i="15"/>
  <c r="M67" i="35" l="1"/>
  <c r="N64" i="35" s="1"/>
  <c r="N105" i="15"/>
  <c r="M99" i="15"/>
  <c r="N67" i="35" l="1"/>
  <c r="O64" i="35" s="1"/>
  <c r="O105" i="15"/>
  <c r="N99" i="15"/>
  <c r="O67" i="35" l="1"/>
  <c r="P64" i="35" s="1"/>
  <c r="P105" i="15"/>
  <c r="O99" i="15"/>
  <c r="P67" i="35" l="1"/>
  <c r="Q64" i="35" s="1"/>
  <c r="Q105" i="15"/>
  <c r="P99" i="15"/>
  <c r="Q67" i="35" l="1"/>
  <c r="R64" i="35" s="1"/>
  <c r="R105" i="15"/>
  <c r="Q99" i="15"/>
  <c r="R67" i="35" l="1"/>
  <c r="S64" i="35" s="1"/>
  <c r="S105" i="15"/>
  <c r="R99" i="15"/>
  <c r="S67" i="35" l="1"/>
  <c r="T64" i="35" s="1"/>
  <c r="T105" i="15"/>
  <c r="S99" i="15"/>
  <c r="T67" i="35" l="1"/>
  <c r="U64" i="35" s="1"/>
  <c r="U105" i="15"/>
  <c r="T99" i="15"/>
  <c r="U67" i="35" l="1"/>
  <c r="V64" i="35" s="1"/>
  <c r="V105" i="15"/>
  <c r="U99" i="15"/>
  <c r="V67" i="35" l="1"/>
  <c r="V99" i="15"/>
  <c r="K1481" i="11" l="1"/>
  <c r="J315" i="41" s="1"/>
  <c r="L1481" i="11"/>
  <c r="K315" i="41" s="1"/>
  <c r="M1481" i="11"/>
  <c r="L315" i="41" s="1"/>
  <c r="N1481" i="11"/>
  <c r="M315" i="41" s="1"/>
  <c r="O1481" i="11"/>
  <c r="N315" i="41" s="1"/>
  <c r="P1481" i="11"/>
  <c r="O315" i="41" s="1"/>
  <c r="Q1481" i="11"/>
  <c r="P315" i="41" s="1"/>
  <c r="R1481" i="11"/>
  <c r="Q315" i="41" s="1"/>
  <c r="S1481" i="11"/>
  <c r="R315" i="41" s="1"/>
  <c r="T1481" i="11"/>
  <c r="S315" i="41" s="1"/>
  <c r="U1481" i="11"/>
  <c r="T315" i="41" s="1"/>
  <c r="V1481" i="11"/>
  <c r="U315" i="41" s="1"/>
  <c r="J1481" i="11"/>
  <c r="I315" i="41" s="1"/>
  <c r="I112" i="15" l="1"/>
  <c r="J25" i="19" l="1"/>
  <c r="I76" i="19"/>
  <c r="I77" i="19"/>
  <c r="K66" i="23" l="1"/>
  <c r="K76" i="15"/>
  <c r="K50" i="24" s="1"/>
  <c r="L76" i="15"/>
  <c r="M76" i="15"/>
  <c r="N76" i="15"/>
  <c r="O76" i="15"/>
  <c r="P76" i="15"/>
  <c r="Q76" i="15"/>
  <c r="R76" i="15"/>
  <c r="S76" i="15"/>
  <c r="T76" i="15"/>
  <c r="U76" i="15"/>
  <c r="V76" i="15"/>
  <c r="J76" i="15"/>
  <c r="J61" i="25"/>
  <c r="P50" i="24" l="1"/>
  <c r="P50" i="25" s="1"/>
  <c r="R50" i="24"/>
  <c r="R50" i="25" s="1"/>
  <c r="Q50" i="24"/>
  <c r="Q50" i="25" s="1"/>
  <c r="O50" i="24"/>
  <c r="O50" i="25" s="1"/>
  <c r="V50" i="24"/>
  <c r="V50" i="25" s="1"/>
  <c r="N50" i="24"/>
  <c r="N50" i="25" s="1"/>
  <c r="U50" i="24"/>
  <c r="U50" i="25" s="1"/>
  <c r="M50" i="24"/>
  <c r="M50" i="25" s="1"/>
  <c r="T50" i="24"/>
  <c r="T50" i="25" s="1"/>
  <c r="L50" i="24"/>
  <c r="L50" i="25" s="1"/>
  <c r="S50" i="24"/>
  <c r="S50" i="25" s="1"/>
  <c r="J50" i="24"/>
  <c r="J50" i="25" s="1"/>
  <c r="K50" i="25"/>
  <c r="F103" i="24" l="1"/>
  <c r="W146" i="23"/>
  <c r="W147" i="23" s="1"/>
  <c r="V130" i="23"/>
  <c r="V136" i="23" s="1"/>
  <c r="V146" i="23" s="1"/>
  <c r="U130" i="23"/>
  <c r="U136" i="23" s="1"/>
  <c r="T130" i="23"/>
  <c r="T140" i="23" s="1"/>
  <c r="T141" i="23" s="1"/>
  <c r="S130" i="23"/>
  <c r="S140" i="23" s="1"/>
  <c r="S141" i="23" s="1"/>
  <c r="R130" i="23"/>
  <c r="R136" i="23" s="1"/>
  <c r="Q130" i="23"/>
  <c r="P130" i="23"/>
  <c r="O130" i="23"/>
  <c r="N130" i="23"/>
  <c r="N140" i="23" s="1"/>
  <c r="N141" i="23" s="1"/>
  <c r="M130" i="23"/>
  <c r="M136" i="23" s="1"/>
  <c r="M146" i="23" s="1"/>
  <c r="L130" i="23"/>
  <c r="L140" i="23" s="1"/>
  <c r="L141" i="23" s="1"/>
  <c r="K130" i="23"/>
  <c r="K140" i="23" s="1"/>
  <c r="K141" i="23" s="1"/>
  <c r="J130" i="23"/>
  <c r="I130" i="23"/>
  <c r="I140" i="23" s="1"/>
  <c r="I141" i="23" s="1"/>
  <c r="I142" i="23" s="1"/>
  <c r="F112" i="23"/>
  <c r="V109" i="23"/>
  <c r="U109" i="23"/>
  <c r="T109" i="23"/>
  <c r="S109" i="23"/>
  <c r="R109" i="23"/>
  <c r="Q109" i="23"/>
  <c r="P109" i="23"/>
  <c r="O109" i="23"/>
  <c r="N109" i="23"/>
  <c r="M109" i="23"/>
  <c r="L109" i="23"/>
  <c r="K109" i="23"/>
  <c r="J109" i="23"/>
  <c r="V108" i="23"/>
  <c r="U108" i="23"/>
  <c r="T108" i="23"/>
  <c r="S108" i="23"/>
  <c r="R108" i="23"/>
  <c r="Q108" i="23"/>
  <c r="P108" i="23"/>
  <c r="O108" i="23"/>
  <c r="N108" i="23"/>
  <c r="M108" i="23"/>
  <c r="L108" i="23"/>
  <c r="K108" i="23"/>
  <c r="J108" i="23"/>
  <c r="V107" i="23"/>
  <c r="U107" i="23"/>
  <c r="T107" i="23"/>
  <c r="S107" i="23"/>
  <c r="R107" i="23"/>
  <c r="Q107" i="23"/>
  <c r="P107" i="23"/>
  <c r="O107" i="23"/>
  <c r="N107" i="23"/>
  <c r="M107" i="23"/>
  <c r="L107" i="23"/>
  <c r="K107" i="23"/>
  <c r="J107" i="23"/>
  <c r="J72" i="23"/>
  <c r="V63" i="23"/>
  <c r="U63" i="23"/>
  <c r="T63" i="23"/>
  <c r="S63" i="23"/>
  <c r="R63" i="23"/>
  <c r="Q63" i="23"/>
  <c r="P63" i="23"/>
  <c r="O63" i="23"/>
  <c r="N63" i="23"/>
  <c r="M63" i="23"/>
  <c r="L63" i="23"/>
  <c r="K63" i="23"/>
  <c r="J63" i="23"/>
  <c r="V56" i="23"/>
  <c r="U56" i="23"/>
  <c r="T56" i="23"/>
  <c r="S56" i="23"/>
  <c r="R56" i="23"/>
  <c r="Q56" i="23"/>
  <c r="P56" i="23"/>
  <c r="O56" i="23"/>
  <c r="N56" i="23"/>
  <c r="M56" i="23"/>
  <c r="L56" i="23"/>
  <c r="K56" i="23"/>
  <c r="J56" i="23"/>
  <c r="I42" i="23"/>
  <c r="I39" i="23"/>
  <c r="I36" i="23"/>
  <c r="I33" i="23"/>
  <c r="V31" i="23"/>
  <c r="V48" i="23" s="1"/>
  <c r="U31" i="23"/>
  <c r="U48" i="23" s="1"/>
  <c r="T31" i="23"/>
  <c r="T34" i="23" s="1"/>
  <c r="S31" i="23"/>
  <c r="S48" i="23" s="1"/>
  <c r="R31" i="23"/>
  <c r="R48" i="23" s="1"/>
  <c r="Q31" i="23"/>
  <c r="Q34" i="23" s="1"/>
  <c r="P31" i="23"/>
  <c r="P34" i="23" s="1"/>
  <c r="O31" i="23"/>
  <c r="O48" i="23" s="1"/>
  <c r="N31" i="23"/>
  <c r="N48" i="23" s="1"/>
  <c r="M31" i="23"/>
  <c r="L31" i="23"/>
  <c r="L34" i="23" s="1"/>
  <c r="K31" i="23"/>
  <c r="K48" i="23" s="1"/>
  <c r="J31" i="23"/>
  <c r="J48" i="23" s="1"/>
  <c r="I30" i="23"/>
  <c r="I29" i="23"/>
  <c r="I19" i="21"/>
  <c r="F27" i="19" s="1"/>
  <c r="I18" i="21"/>
  <c r="F67" i="19" s="1"/>
  <c r="I11" i="21"/>
  <c r="K8" i="21"/>
  <c r="L8" i="21" s="1"/>
  <c r="M8" i="21" s="1"/>
  <c r="N8" i="21" s="1"/>
  <c r="O8" i="21" s="1"/>
  <c r="P8" i="21" s="1"/>
  <c r="Q8" i="21" s="1"/>
  <c r="R8" i="21" s="1"/>
  <c r="S8" i="21" s="1"/>
  <c r="J87" i="15"/>
  <c r="I494" i="14"/>
  <c r="F483" i="14"/>
  <c r="V471" i="14"/>
  <c r="U471" i="14"/>
  <c r="T471" i="14"/>
  <c r="S471" i="14"/>
  <c r="R471" i="14"/>
  <c r="Q471" i="14"/>
  <c r="P471" i="14"/>
  <c r="O471" i="14"/>
  <c r="N471" i="14"/>
  <c r="M471" i="14"/>
  <c r="L471" i="14"/>
  <c r="K471" i="14"/>
  <c r="J471" i="14"/>
  <c r="I448" i="14"/>
  <c r="F437" i="14"/>
  <c r="I425" i="14"/>
  <c r="F414" i="14"/>
  <c r="I402" i="14"/>
  <c r="F391" i="14"/>
  <c r="I379" i="14"/>
  <c r="F368" i="14"/>
  <c r="I333" i="14"/>
  <c r="F322" i="14"/>
  <c r="I287" i="14"/>
  <c r="F276" i="14"/>
  <c r="W281" i="14" s="1"/>
  <c r="I166" i="14"/>
  <c r="F161" i="14"/>
  <c r="I143" i="14"/>
  <c r="F138" i="14"/>
  <c r="F114" i="14"/>
  <c r="I30" i="14"/>
  <c r="F19" i="14"/>
  <c r="I7" i="14"/>
  <c r="J1554" i="11"/>
  <c r="I1557" i="11" s="1"/>
  <c r="J1541" i="11"/>
  <c r="F1537" i="11"/>
  <c r="F1524" i="11"/>
  <c r="V1513" i="11"/>
  <c r="U1513" i="11"/>
  <c r="T1513" i="11"/>
  <c r="S1513" i="11"/>
  <c r="S1516" i="11" s="1"/>
  <c r="S82" i="15" s="1"/>
  <c r="S56" i="24" s="1"/>
  <c r="R1513" i="11"/>
  <c r="R1516" i="11" s="1"/>
  <c r="R82" i="15" s="1"/>
  <c r="R56" i="24" s="1"/>
  <c r="Q1513" i="11"/>
  <c r="Q1516" i="11" s="1"/>
  <c r="Q82" i="15" s="1"/>
  <c r="Q56" i="24" s="1"/>
  <c r="P1513" i="11"/>
  <c r="P1516" i="11" s="1"/>
  <c r="P82" i="15" s="1"/>
  <c r="P56" i="24" s="1"/>
  <c r="O1513" i="11"/>
  <c r="O1516" i="11" s="1"/>
  <c r="O82" i="15" s="1"/>
  <c r="O56" i="24" s="1"/>
  <c r="N1513" i="11"/>
  <c r="N1516" i="11" s="1"/>
  <c r="N82" i="15" s="1"/>
  <c r="N56" i="24" s="1"/>
  <c r="M1513" i="11"/>
  <c r="M1516" i="11" s="1"/>
  <c r="M82" i="15" s="1"/>
  <c r="M56" i="24" s="1"/>
  <c r="L1513" i="11"/>
  <c r="L1516" i="11" s="1"/>
  <c r="L82" i="15" s="1"/>
  <c r="L56" i="24" s="1"/>
  <c r="K1513" i="11"/>
  <c r="J1516" i="11" s="1"/>
  <c r="J1513" i="11"/>
  <c r="I1481" i="11"/>
  <c r="I1480" i="11"/>
  <c r="I1479" i="11"/>
  <c r="I1476" i="11"/>
  <c r="I1475" i="11"/>
  <c r="F1158" i="11"/>
  <c r="F1114" i="11"/>
  <c r="F1110" i="11"/>
  <c r="V1055" i="11"/>
  <c r="U1055" i="11"/>
  <c r="T1055" i="11"/>
  <c r="S1055" i="11"/>
  <c r="R1055" i="11"/>
  <c r="Q1055" i="11"/>
  <c r="P1055" i="11"/>
  <c r="O1055" i="11"/>
  <c r="N1055" i="11"/>
  <c r="M1055" i="11"/>
  <c r="L1055" i="11"/>
  <c r="K1055" i="11"/>
  <c r="J1055" i="11"/>
  <c r="V1049" i="11"/>
  <c r="U1049" i="11"/>
  <c r="T1049" i="11"/>
  <c r="S1049" i="11"/>
  <c r="R1049" i="11"/>
  <c r="Q1049" i="11"/>
  <c r="P1049" i="11"/>
  <c r="O1049" i="11"/>
  <c r="N1049" i="11"/>
  <c r="M1049" i="11"/>
  <c r="L1049" i="11"/>
  <c r="K1049" i="11"/>
  <c r="J1049" i="11"/>
  <c r="V1038" i="11"/>
  <c r="U1038" i="11"/>
  <c r="T1038" i="11"/>
  <c r="S1038" i="11"/>
  <c r="R1038" i="11"/>
  <c r="Q1038" i="11"/>
  <c r="P1038" i="11"/>
  <c r="O1038" i="11"/>
  <c r="N1038" i="11"/>
  <c r="M1038" i="11"/>
  <c r="L1038" i="11"/>
  <c r="K1038" i="11"/>
  <c r="J1038" i="11"/>
  <c r="F1032" i="11"/>
  <c r="F1022" i="11"/>
  <c r="F1017" i="11"/>
  <c r="F1012" i="11"/>
  <c r="F1007" i="11"/>
  <c r="F966" i="11"/>
  <c r="V967" i="11" s="1"/>
  <c r="V950" i="11"/>
  <c r="U950" i="11"/>
  <c r="T950" i="11"/>
  <c r="S950" i="11"/>
  <c r="R950" i="11"/>
  <c r="Q950" i="11"/>
  <c r="P950" i="11"/>
  <c r="O950" i="11"/>
  <c r="N950" i="11"/>
  <c r="M950" i="11"/>
  <c r="L950" i="11"/>
  <c r="K950" i="11"/>
  <c r="J950" i="11"/>
  <c r="F944" i="11"/>
  <c r="F888" i="11"/>
  <c r="R889" i="11" s="1"/>
  <c r="V872" i="11"/>
  <c r="U872" i="11"/>
  <c r="T872" i="11"/>
  <c r="S872" i="11"/>
  <c r="R872" i="11"/>
  <c r="Q872" i="11"/>
  <c r="P872" i="11"/>
  <c r="O872" i="11"/>
  <c r="N872" i="11"/>
  <c r="M872" i="11"/>
  <c r="L872" i="11"/>
  <c r="K872" i="11"/>
  <c r="J872" i="11"/>
  <c r="F871" i="11"/>
  <c r="F866" i="11"/>
  <c r="V853" i="11"/>
  <c r="U853" i="11"/>
  <c r="T853" i="11"/>
  <c r="S853" i="11"/>
  <c r="R853" i="11"/>
  <c r="Q853" i="11"/>
  <c r="P853" i="11"/>
  <c r="O853" i="11"/>
  <c r="N853" i="11"/>
  <c r="M853" i="11"/>
  <c r="L853" i="11"/>
  <c r="K853" i="11"/>
  <c r="J853" i="11"/>
  <c r="V799" i="11"/>
  <c r="U799" i="11"/>
  <c r="T799" i="11"/>
  <c r="S799" i="11"/>
  <c r="R799" i="11"/>
  <c r="Q799" i="11"/>
  <c r="P799" i="11"/>
  <c r="O799" i="11"/>
  <c r="N799" i="11"/>
  <c r="M799" i="11"/>
  <c r="L799" i="11"/>
  <c r="K799" i="11"/>
  <c r="J799" i="11"/>
  <c r="V794" i="11"/>
  <c r="U794" i="11"/>
  <c r="T794" i="11"/>
  <c r="S794" i="11"/>
  <c r="R794" i="11"/>
  <c r="Q794" i="11"/>
  <c r="P794" i="11"/>
  <c r="O794" i="11"/>
  <c r="N794" i="11"/>
  <c r="M794" i="11"/>
  <c r="L794" i="11"/>
  <c r="K794" i="11"/>
  <c r="J794" i="11"/>
  <c r="V789" i="11"/>
  <c r="U789" i="11"/>
  <c r="T789" i="11"/>
  <c r="S789" i="11"/>
  <c r="R789" i="11"/>
  <c r="Q789" i="11"/>
  <c r="P789" i="11"/>
  <c r="O789" i="11"/>
  <c r="N789" i="11"/>
  <c r="M789" i="11"/>
  <c r="L789" i="11"/>
  <c r="K789" i="11"/>
  <c r="J789" i="11"/>
  <c r="V784" i="11"/>
  <c r="U784" i="11"/>
  <c r="T784" i="11"/>
  <c r="S784" i="11"/>
  <c r="R784" i="11"/>
  <c r="Q784" i="11"/>
  <c r="P784" i="11"/>
  <c r="O784" i="11"/>
  <c r="N784" i="11"/>
  <c r="M784" i="11"/>
  <c r="L784" i="11"/>
  <c r="K784" i="11"/>
  <c r="J784" i="11"/>
  <c r="V779" i="11"/>
  <c r="U779" i="11"/>
  <c r="T779" i="11"/>
  <c r="S779" i="11"/>
  <c r="R779" i="11"/>
  <c r="Q779" i="11"/>
  <c r="P779" i="11"/>
  <c r="O779" i="11"/>
  <c r="N779" i="11"/>
  <c r="M779" i="11"/>
  <c r="L779" i="11"/>
  <c r="K779" i="11"/>
  <c r="J779" i="11"/>
  <c r="V773" i="11"/>
  <c r="U773" i="11"/>
  <c r="T773" i="11"/>
  <c r="S773" i="11"/>
  <c r="R773" i="11"/>
  <c r="Q773" i="11"/>
  <c r="P773" i="11"/>
  <c r="O773" i="11"/>
  <c r="N773" i="11"/>
  <c r="M773" i="11"/>
  <c r="L773" i="11"/>
  <c r="K773" i="11"/>
  <c r="J773" i="11"/>
  <c r="F772" i="11"/>
  <c r="F766" i="11"/>
  <c r="F665" i="11"/>
  <c r="V596" i="11"/>
  <c r="U596" i="11"/>
  <c r="T596" i="11"/>
  <c r="S596" i="11"/>
  <c r="R596" i="11"/>
  <c r="Q596" i="11"/>
  <c r="P596" i="11"/>
  <c r="O596" i="11"/>
  <c r="N596" i="11"/>
  <c r="M596" i="11"/>
  <c r="L596" i="11"/>
  <c r="K596" i="11"/>
  <c r="J596" i="11"/>
  <c r="F595" i="11"/>
  <c r="F404" i="11"/>
  <c r="F317" i="11"/>
  <c r="F311" i="11"/>
  <c r="F305" i="11"/>
  <c r="F299" i="11"/>
  <c r="F288" i="11"/>
  <c r="F277" i="11"/>
  <c r="F93" i="11"/>
  <c r="F87" i="11"/>
  <c r="F75" i="11"/>
  <c r="E11" i="11"/>
  <c r="I8" i="11"/>
  <c r="I1473" i="11" s="1"/>
  <c r="J6" i="11"/>
  <c r="E12" i="11" s="1"/>
  <c r="F12" i="11" s="1"/>
  <c r="F13" i="11" s="1"/>
  <c r="J1237" i="6"/>
  <c r="J1232" i="6"/>
  <c r="J1229" i="6"/>
  <c r="J1226" i="6"/>
  <c r="J1225" i="6"/>
  <c r="J1224" i="6"/>
  <c r="G1215" i="6"/>
  <c r="G1207" i="6"/>
  <c r="G1202" i="6"/>
  <c r="G1199" i="6"/>
  <c r="J1199" i="6" s="1"/>
  <c r="G1198" i="6"/>
  <c r="J1198" i="6" s="1"/>
  <c r="G1197" i="6"/>
  <c r="J1197" i="6" s="1"/>
  <c r="G1195" i="6"/>
  <c r="J1195" i="6" s="1"/>
  <c r="F1137" i="11" s="1"/>
  <c r="G1194" i="6"/>
  <c r="J1194" i="6" s="1"/>
  <c r="F1132" i="11" s="1"/>
  <c r="G1193" i="6"/>
  <c r="J1193" i="6" s="1"/>
  <c r="F1127" i="11" s="1"/>
  <c r="G1186" i="6"/>
  <c r="G1177" i="6"/>
  <c r="G1172" i="6"/>
  <c r="G1166" i="6"/>
  <c r="G1164" i="6"/>
  <c r="G1159" i="6"/>
  <c r="G1153" i="6"/>
  <c r="G1151" i="6"/>
  <c r="G1146" i="6"/>
  <c r="G1140" i="6"/>
  <c r="G1138" i="6"/>
  <c r="G1133" i="6"/>
  <c r="G1126" i="6"/>
  <c r="J1126" i="6" s="1"/>
  <c r="G1121" i="6"/>
  <c r="G1119" i="6"/>
  <c r="J1119" i="6" s="1"/>
  <c r="G1114" i="6"/>
  <c r="G1112" i="6"/>
  <c r="J1112" i="6" s="1"/>
  <c r="G1107" i="6"/>
  <c r="G1105" i="6"/>
  <c r="J1105" i="6" s="1"/>
  <c r="G1100" i="6"/>
  <c r="G1098" i="6"/>
  <c r="J1098" i="6" s="1"/>
  <c r="G1093" i="6"/>
  <c r="G1091" i="6"/>
  <c r="J1091" i="6" s="1"/>
  <c r="G1086" i="6"/>
  <c r="G1082" i="6"/>
  <c r="J1082" i="6" s="1"/>
  <c r="G1077" i="6"/>
  <c r="J1070" i="6"/>
  <c r="G1062" i="6"/>
  <c r="G1060" i="6"/>
  <c r="G1055" i="6"/>
  <c r="G1049" i="6"/>
  <c r="G1047" i="6"/>
  <c r="G1042" i="6"/>
  <c r="G1036" i="6"/>
  <c r="G1034" i="6"/>
  <c r="G1029" i="6"/>
  <c r="G1023" i="6"/>
  <c r="G1021" i="6"/>
  <c r="G1016" i="6"/>
  <c r="G1009" i="6"/>
  <c r="J1009" i="6" s="1"/>
  <c r="G1004" i="6"/>
  <c r="G1002" i="6"/>
  <c r="J1002" i="6" s="1"/>
  <c r="G997" i="6"/>
  <c r="G995" i="6"/>
  <c r="J995" i="6" s="1"/>
  <c r="G990" i="6"/>
  <c r="G988" i="6"/>
  <c r="J988" i="6" s="1"/>
  <c r="G983" i="6"/>
  <c r="G979" i="6"/>
  <c r="J979" i="6" s="1"/>
  <c r="G974" i="6"/>
  <c r="G955" i="6"/>
  <c r="G953" i="6"/>
  <c r="J953" i="6" s="1"/>
  <c r="G948" i="6"/>
  <c r="G942" i="6"/>
  <c r="G940" i="6"/>
  <c r="J940" i="6" s="1"/>
  <c r="G935" i="6"/>
  <c r="G928" i="6"/>
  <c r="J928" i="6" s="1"/>
  <c r="G923" i="6"/>
  <c r="G921" i="6"/>
  <c r="J921" i="6" s="1"/>
  <c r="G916" i="6"/>
  <c r="G914" i="6"/>
  <c r="J914" i="6" s="1"/>
  <c r="G909" i="6"/>
  <c r="G907" i="6"/>
  <c r="J907" i="6" s="1"/>
  <c r="G902" i="6"/>
  <c r="G900" i="6"/>
  <c r="J900" i="6" s="1"/>
  <c r="G895" i="6"/>
  <c r="G893" i="6"/>
  <c r="J893" i="6" s="1"/>
  <c r="G888" i="6"/>
  <c r="G884" i="6"/>
  <c r="J884" i="6" s="1"/>
  <c r="G879" i="6"/>
  <c r="J872" i="6"/>
  <c r="G864" i="6"/>
  <c r="G862" i="6"/>
  <c r="J862" i="6" s="1"/>
  <c r="G857" i="6"/>
  <c r="G851" i="6"/>
  <c r="G849" i="6"/>
  <c r="J849" i="6" s="1"/>
  <c r="G844" i="6"/>
  <c r="G837" i="6"/>
  <c r="J837" i="6" s="1"/>
  <c r="G832" i="6"/>
  <c r="G830" i="6"/>
  <c r="J830" i="6" s="1"/>
  <c r="G825" i="6"/>
  <c r="G823" i="6"/>
  <c r="J823" i="6" s="1"/>
  <c r="G818" i="6"/>
  <c r="G816" i="6"/>
  <c r="J816" i="6" s="1"/>
  <c r="G811" i="6"/>
  <c r="G809" i="6"/>
  <c r="J809" i="6" s="1"/>
  <c r="G804" i="6"/>
  <c r="G801" i="6"/>
  <c r="J801" i="6" s="1"/>
  <c r="G796" i="6"/>
  <c r="G794" i="6"/>
  <c r="J794" i="6" s="1"/>
  <c r="G789" i="6"/>
  <c r="G787" i="6"/>
  <c r="J787" i="6" s="1"/>
  <c r="G782" i="6"/>
  <c r="G777" i="6"/>
  <c r="J766" i="6"/>
  <c r="G758" i="6"/>
  <c r="G756" i="6"/>
  <c r="J756" i="6" s="1"/>
  <c r="G751" i="6"/>
  <c r="G745" i="6"/>
  <c r="G743" i="6"/>
  <c r="J743" i="6" s="1"/>
  <c r="G738" i="6"/>
  <c r="G732" i="6"/>
  <c r="G730" i="6"/>
  <c r="J730" i="6" s="1"/>
  <c r="G725" i="6"/>
  <c r="G719" i="6"/>
  <c r="G717" i="6"/>
  <c r="J717" i="6" s="1"/>
  <c r="G712" i="6"/>
  <c r="G706" i="6"/>
  <c r="G704" i="6"/>
  <c r="J704" i="6" s="1"/>
  <c r="G699" i="6"/>
  <c r="G690" i="6"/>
  <c r="G685" i="6"/>
  <c r="G680" i="6"/>
  <c r="G675" i="6"/>
  <c r="G670" i="6"/>
  <c r="G665" i="6"/>
  <c r="G659" i="6"/>
  <c r="G654" i="6"/>
  <c r="G649" i="6"/>
  <c r="G645" i="6"/>
  <c r="J645" i="6" s="1"/>
  <c r="G644" i="6"/>
  <c r="J644" i="6" s="1"/>
  <c r="G643" i="6"/>
  <c r="J643" i="6" s="1"/>
  <c r="G642" i="6"/>
  <c r="J642" i="6" s="1"/>
  <c r="G641" i="6"/>
  <c r="J641" i="6" s="1"/>
  <c r="G640" i="6"/>
  <c r="J640" i="6" s="1"/>
  <c r="G639" i="6"/>
  <c r="J639" i="6" s="1"/>
  <c r="G638" i="6"/>
  <c r="J638" i="6" s="1"/>
  <c r="G637" i="6"/>
  <c r="J637" i="6" s="1"/>
  <c r="G631" i="6"/>
  <c r="J631" i="6" s="1"/>
  <c r="G626" i="6"/>
  <c r="G624" i="6"/>
  <c r="J624" i="6" s="1"/>
  <c r="G619" i="6"/>
  <c r="G617" i="6"/>
  <c r="J617" i="6" s="1"/>
  <c r="G612" i="6"/>
  <c r="G610" i="6"/>
  <c r="J610" i="6" s="1"/>
  <c r="G605" i="6"/>
  <c r="G603" i="6"/>
  <c r="J603" i="6" s="1"/>
  <c r="G598" i="6"/>
  <c r="G596" i="6"/>
  <c r="J596" i="6" s="1"/>
  <c r="G591" i="6"/>
  <c r="G589" i="6"/>
  <c r="J589" i="6" s="1"/>
  <c r="G584" i="6"/>
  <c r="G582" i="6"/>
  <c r="J582" i="6" s="1"/>
  <c r="G577" i="6"/>
  <c r="G575" i="6"/>
  <c r="J575" i="6" s="1"/>
  <c r="G570" i="6"/>
  <c r="G568" i="6"/>
  <c r="J568" i="6" s="1"/>
  <c r="G563" i="6"/>
  <c r="G560" i="6"/>
  <c r="J560" i="6" s="1"/>
  <c r="G559" i="6"/>
  <c r="J559" i="6" s="1"/>
  <c r="K557" i="6"/>
  <c r="G557" i="6"/>
  <c r="G556" i="6"/>
  <c r="J556" i="6" s="1"/>
  <c r="G551" i="6"/>
  <c r="G546" i="6"/>
  <c r="G539" i="6"/>
  <c r="G537" i="6"/>
  <c r="J537" i="6" s="1"/>
  <c r="G532" i="6"/>
  <c r="G524" i="6"/>
  <c r="G522" i="6"/>
  <c r="J522" i="6" s="1"/>
  <c r="G517" i="6"/>
  <c r="G511" i="6"/>
  <c r="G508" i="6"/>
  <c r="J508" i="6" s="1"/>
  <c r="G507" i="6"/>
  <c r="J507" i="6" s="1"/>
  <c r="G505" i="6"/>
  <c r="J505" i="6" s="1"/>
  <c r="G504" i="6"/>
  <c r="J504" i="6" s="1"/>
  <c r="G499" i="6"/>
  <c r="L492" i="6"/>
  <c r="G490" i="6"/>
  <c r="J490" i="6" s="1"/>
  <c r="F514" i="11" s="1"/>
  <c r="G485" i="6"/>
  <c r="G477" i="6"/>
  <c r="G475" i="6"/>
  <c r="J475" i="6" s="1"/>
  <c r="G470" i="6"/>
  <c r="G464" i="6"/>
  <c r="G461" i="6"/>
  <c r="J461" i="6" s="1"/>
  <c r="G460" i="6"/>
  <c r="J460" i="6" s="1"/>
  <c r="G458" i="6"/>
  <c r="J458" i="6" s="1"/>
  <c r="G457" i="6"/>
  <c r="J457" i="6" s="1"/>
  <c r="G452" i="6"/>
  <c r="G445" i="6"/>
  <c r="G439" i="6"/>
  <c r="L433" i="6"/>
  <c r="G431" i="6"/>
  <c r="J431" i="6" s="1"/>
  <c r="G429" i="6"/>
  <c r="J429" i="6" s="1"/>
  <c r="G428" i="6"/>
  <c r="J428" i="6" s="1"/>
  <c r="G426" i="6"/>
  <c r="J426" i="6" s="1"/>
  <c r="G425" i="6"/>
  <c r="J425" i="6" s="1"/>
  <c r="G420" i="6"/>
  <c r="G414" i="6"/>
  <c r="G407" i="6"/>
  <c r="G405" i="6"/>
  <c r="J405" i="6" s="1"/>
  <c r="G400" i="6"/>
  <c r="G388" i="6"/>
  <c r="G383" i="6"/>
  <c r="G378" i="6"/>
  <c r="G373" i="6"/>
  <c r="G368" i="6"/>
  <c r="G363" i="6"/>
  <c r="G358" i="6"/>
  <c r="G353" i="6"/>
  <c r="G348" i="6"/>
  <c r="G342" i="6"/>
  <c r="G337" i="6"/>
  <c r="G332" i="6"/>
  <c r="G328" i="6"/>
  <c r="J328" i="6" s="1"/>
  <c r="G327" i="6"/>
  <c r="J327" i="6" s="1"/>
  <c r="G326" i="6"/>
  <c r="J326" i="6" s="1"/>
  <c r="G325" i="6"/>
  <c r="J325" i="6" s="1"/>
  <c r="G324" i="6"/>
  <c r="J324" i="6" s="1"/>
  <c r="G323" i="6"/>
  <c r="J323" i="6" s="1"/>
  <c r="G322" i="6"/>
  <c r="J322" i="6" s="1"/>
  <c r="G321" i="6"/>
  <c r="J321" i="6" s="1"/>
  <c r="G320" i="6"/>
  <c r="J320" i="6" s="1"/>
  <c r="G319" i="6"/>
  <c r="J319" i="6" s="1"/>
  <c r="G318" i="6"/>
  <c r="J318" i="6" s="1"/>
  <c r="G311" i="6"/>
  <c r="J311" i="6" s="1"/>
  <c r="G306" i="6"/>
  <c r="G303" i="6"/>
  <c r="J303" i="6" s="1"/>
  <c r="G298" i="6"/>
  <c r="G296" i="6"/>
  <c r="J296" i="6" s="1"/>
  <c r="G291" i="6"/>
  <c r="G288" i="6"/>
  <c r="J288" i="6" s="1"/>
  <c r="G283" i="6"/>
  <c r="G281" i="6"/>
  <c r="J281" i="6" s="1"/>
  <c r="G279" i="6"/>
  <c r="J279" i="6" s="1"/>
  <c r="G274" i="6"/>
  <c r="G271" i="6"/>
  <c r="J271" i="6" s="1"/>
  <c r="G266" i="6"/>
  <c r="G263" i="6"/>
  <c r="J263" i="6" s="1"/>
  <c r="G258" i="6"/>
  <c r="G255" i="6"/>
  <c r="J255" i="6" s="1"/>
  <c r="G250" i="6"/>
  <c r="G247" i="6"/>
  <c r="J247" i="6" s="1"/>
  <c r="G242" i="6"/>
  <c r="G239" i="6"/>
  <c r="J239" i="6" s="1"/>
  <c r="G234" i="6"/>
  <c r="G231" i="6"/>
  <c r="J231" i="6" s="1"/>
  <c r="G226" i="6"/>
  <c r="G223" i="6"/>
  <c r="J223" i="6" s="1"/>
  <c r="G218" i="6"/>
  <c r="G211" i="6"/>
  <c r="G209" i="6"/>
  <c r="J209" i="6" s="1"/>
  <c r="F256" i="11" s="1"/>
  <c r="G204" i="6"/>
  <c r="G190" i="6"/>
  <c r="G185" i="6"/>
  <c r="G180" i="6"/>
  <c r="G175" i="6"/>
  <c r="G170" i="6"/>
  <c r="G165" i="6"/>
  <c r="G160" i="6"/>
  <c r="G155" i="6"/>
  <c r="G150" i="6"/>
  <c r="G144" i="6"/>
  <c r="G139" i="6"/>
  <c r="G134" i="6"/>
  <c r="G130" i="6"/>
  <c r="J130" i="6" s="1"/>
  <c r="G129" i="6"/>
  <c r="J129" i="6" s="1"/>
  <c r="G128" i="6"/>
  <c r="J128" i="6" s="1"/>
  <c r="G127" i="6"/>
  <c r="J127" i="6" s="1"/>
  <c r="G126" i="6"/>
  <c r="J126" i="6" s="1"/>
  <c r="G125" i="6"/>
  <c r="J125" i="6" s="1"/>
  <c r="G124" i="6"/>
  <c r="J124" i="6" s="1"/>
  <c r="G123" i="6"/>
  <c r="J123" i="6" s="1"/>
  <c r="G122" i="6"/>
  <c r="J122" i="6" s="1"/>
  <c r="G121" i="6"/>
  <c r="J121" i="6" s="1"/>
  <c r="G120" i="6"/>
  <c r="J120" i="6" s="1"/>
  <c r="G119" i="6"/>
  <c r="J119" i="6" s="1"/>
  <c r="G110" i="6"/>
  <c r="G105" i="6"/>
  <c r="G100" i="6"/>
  <c r="G95" i="6"/>
  <c r="G90" i="6"/>
  <c r="G85" i="6"/>
  <c r="G80" i="6"/>
  <c r="G75" i="6"/>
  <c r="G68" i="6"/>
  <c r="G62" i="6"/>
  <c r="G57" i="6"/>
  <c r="G55" i="6"/>
  <c r="J55" i="6" s="1"/>
  <c r="G50" i="6"/>
  <c r="G43" i="6"/>
  <c r="G41" i="6"/>
  <c r="J41" i="6" s="1"/>
  <c r="G36" i="6"/>
  <c r="U24" i="6"/>
  <c r="T24" i="6"/>
  <c r="S24" i="6"/>
  <c r="R24" i="6"/>
  <c r="Q24" i="6"/>
  <c r="P24" i="6"/>
  <c r="O24" i="6"/>
  <c r="N24" i="6"/>
  <c r="M24" i="6"/>
  <c r="L24" i="6"/>
  <c r="K24" i="6"/>
  <c r="U19" i="6"/>
  <c r="T19" i="6"/>
  <c r="S19" i="6"/>
  <c r="R19" i="6"/>
  <c r="Q19" i="6"/>
  <c r="P19" i="6"/>
  <c r="O19" i="6"/>
  <c r="N19" i="6"/>
  <c r="M19" i="6"/>
  <c r="L19" i="6"/>
  <c r="K19" i="6"/>
  <c r="E11" i="6"/>
  <c r="K6" i="6"/>
  <c r="K7" i="6" s="1"/>
  <c r="I38" i="13"/>
  <c r="H38" i="13" s="1"/>
  <c r="I33" i="13"/>
  <c r="H33" i="13" s="1"/>
  <c r="I28" i="13"/>
  <c r="H28" i="13" s="1"/>
  <c r="I26" i="13"/>
  <c r="H26" i="13" s="1"/>
  <c r="I25" i="13"/>
  <c r="H25" i="13" s="1"/>
  <c r="I23" i="13"/>
  <c r="H23" i="13" s="1"/>
  <c r="I21" i="13"/>
  <c r="H21" i="13" s="1"/>
  <c r="I20" i="13"/>
  <c r="P18" i="13"/>
  <c r="Q18" i="13" s="1"/>
  <c r="I16" i="13"/>
  <c r="H16" i="13" s="1"/>
  <c r="I13" i="13"/>
  <c r="H13" i="13" s="1"/>
  <c r="I11" i="13"/>
  <c r="H11" i="13" s="1"/>
  <c r="I10" i="13"/>
  <c r="H10" i="13" s="1"/>
  <c r="P9" i="13"/>
  <c r="Q9" i="13" s="1"/>
  <c r="I9" i="13"/>
  <c r="H9" i="13" s="1"/>
  <c r="I8" i="13"/>
  <c r="H8" i="13" s="1"/>
  <c r="I6" i="13"/>
  <c r="H6" i="13" s="1"/>
  <c r="P5" i="13"/>
  <c r="Q5" i="13" s="1"/>
  <c r="I5" i="13"/>
  <c r="H5" i="13" s="1"/>
  <c r="I4" i="13"/>
  <c r="H4" i="13" s="1"/>
  <c r="I3" i="13"/>
  <c r="H3" i="13" s="1"/>
  <c r="V45" i="14" l="1"/>
  <c r="V46" i="14" s="1"/>
  <c r="U45" i="14"/>
  <c r="T45" i="14"/>
  <c r="U46" i="14"/>
  <c r="S45" i="14"/>
  <c r="O45" i="14"/>
  <c r="N45" i="14"/>
  <c r="M45" i="14"/>
  <c r="L45" i="14"/>
  <c r="K45" i="14"/>
  <c r="J45" i="14"/>
  <c r="S46" i="14"/>
  <c r="R45" i="14"/>
  <c r="R46" i="14" s="1"/>
  <c r="Q45" i="14"/>
  <c r="Q46" i="14" s="1"/>
  <c r="P45" i="14"/>
  <c r="P46" i="14" s="1"/>
  <c r="V825" i="6"/>
  <c r="W825" i="6"/>
  <c r="V400" i="6"/>
  <c r="W400" i="6"/>
  <c r="V1023" i="6"/>
  <c r="W1023" i="6"/>
  <c r="V1146" i="6"/>
  <c r="W1146" i="6"/>
  <c r="V1093" i="6"/>
  <c r="W1093" i="6"/>
  <c r="W250" i="6"/>
  <c r="V250" i="6"/>
  <c r="V414" i="6"/>
  <c r="W414" i="6"/>
  <c r="V789" i="6"/>
  <c r="W789" i="6"/>
  <c r="V1100" i="6"/>
  <c r="W1100" i="6"/>
  <c r="V190" i="6"/>
  <c r="W190" i="6"/>
  <c r="V258" i="6"/>
  <c r="W258" i="6"/>
  <c r="W342" i="6"/>
  <c r="V342" i="6"/>
  <c r="V420" i="6"/>
  <c r="W420" i="6"/>
  <c r="V464" i="6"/>
  <c r="W464" i="6"/>
  <c r="W570" i="6"/>
  <c r="V570" i="6"/>
  <c r="V619" i="6"/>
  <c r="W619" i="6"/>
  <c r="V654" i="6"/>
  <c r="W654" i="6"/>
  <c r="V909" i="6"/>
  <c r="W909" i="6"/>
  <c r="V983" i="6"/>
  <c r="W983" i="6"/>
  <c r="V95" i="6"/>
  <c r="W95" i="6"/>
  <c r="W204" i="6"/>
  <c r="V204" i="6"/>
  <c r="U348" i="6"/>
  <c r="V348" i="6"/>
  <c r="W348" i="6"/>
  <c r="V470" i="6"/>
  <c r="W470" i="6"/>
  <c r="U524" i="6"/>
  <c r="V524" i="6"/>
  <c r="W524" i="6"/>
  <c r="W659" i="6"/>
  <c r="V659" i="6"/>
  <c r="V796" i="6"/>
  <c r="W796" i="6"/>
  <c r="V851" i="6"/>
  <c r="W851" i="6"/>
  <c r="V1107" i="6"/>
  <c r="W1107" i="6"/>
  <c r="V1166" i="6"/>
  <c r="W1166" i="6"/>
  <c r="V100" i="6"/>
  <c r="W100" i="6"/>
  <c r="V266" i="6"/>
  <c r="W266" i="6"/>
  <c r="V353" i="6"/>
  <c r="W353" i="6"/>
  <c r="V532" i="6"/>
  <c r="W532" i="6"/>
  <c r="W577" i="6"/>
  <c r="V577" i="6"/>
  <c r="W626" i="6"/>
  <c r="V626" i="6"/>
  <c r="W665" i="6"/>
  <c r="V665" i="6"/>
  <c r="W732" i="6"/>
  <c r="V732" i="6"/>
  <c r="V916" i="6"/>
  <c r="W916" i="6"/>
  <c r="V990" i="6"/>
  <c r="W990" i="6"/>
  <c r="V1049" i="6"/>
  <c r="W1049" i="6"/>
  <c r="V1172" i="6"/>
  <c r="U32" i="11" s="1"/>
  <c r="W1172" i="6"/>
  <c r="V32" i="11" s="1"/>
  <c r="V68" i="6"/>
  <c r="W68" i="6"/>
  <c r="V777" i="6"/>
  <c r="W777" i="6"/>
  <c r="V895" i="6"/>
  <c r="W895" i="6"/>
  <c r="V175" i="6"/>
  <c r="W175" i="6"/>
  <c r="W782" i="6"/>
  <c r="V782" i="6"/>
  <c r="V955" i="6"/>
  <c r="W955" i="6"/>
  <c r="V612" i="6"/>
  <c r="W612" i="6"/>
  <c r="V902" i="6"/>
  <c r="W902" i="6"/>
  <c r="V974" i="6"/>
  <c r="W974" i="6"/>
  <c r="V1153" i="6"/>
  <c r="W1153" i="6"/>
  <c r="V306" i="6"/>
  <c r="W306" i="6"/>
  <c r="U517" i="6"/>
  <c r="V517" i="6"/>
  <c r="W517" i="6"/>
  <c r="V1177" i="6"/>
  <c r="W1177" i="6"/>
  <c r="V218" i="6"/>
  <c r="W218" i="6"/>
  <c r="W485" i="6"/>
  <c r="V485" i="6"/>
  <c r="V539" i="6"/>
  <c r="W539" i="6"/>
  <c r="V584" i="6"/>
  <c r="W584" i="6"/>
  <c r="V675" i="6"/>
  <c r="W675" i="6"/>
  <c r="V923" i="6"/>
  <c r="W923" i="6"/>
  <c r="W680" i="6"/>
  <c r="V680" i="6"/>
  <c r="V811" i="6"/>
  <c r="W811" i="6"/>
  <c r="V1121" i="6"/>
  <c r="W1121" i="6"/>
  <c r="W50" i="6"/>
  <c r="V50" i="6"/>
  <c r="V150" i="6"/>
  <c r="W150" i="6"/>
  <c r="V226" i="6"/>
  <c r="W226" i="6"/>
  <c r="V373" i="6"/>
  <c r="W373" i="6"/>
  <c r="W551" i="6"/>
  <c r="V551" i="6"/>
  <c r="V591" i="6"/>
  <c r="W591" i="6"/>
  <c r="V685" i="6"/>
  <c r="W685" i="6"/>
  <c r="V879" i="6"/>
  <c r="W879" i="6"/>
  <c r="V935" i="6"/>
  <c r="V949" i="6" s="1"/>
  <c r="V948" i="6" s="1"/>
  <c r="W935" i="6"/>
  <c r="W949" i="6" s="1"/>
  <c r="W948" i="6" s="1"/>
  <c r="W1004" i="6"/>
  <c r="V1004" i="6"/>
  <c r="V62" i="6"/>
  <c r="W62" i="6"/>
  <c r="V291" i="6"/>
  <c r="W291" i="6"/>
  <c r="U388" i="6"/>
  <c r="T125" i="14" s="1"/>
  <c r="T101" i="48" s="1"/>
  <c r="V388" i="6"/>
  <c r="W388" i="6"/>
  <c r="V1086" i="6"/>
  <c r="W1086" i="6"/>
  <c r="V242" i="6"/>
  <c r="W242" i="6"/>
  <c r="W605" i="6"/>
  <c r="V605" i="6"/>
  <c r="W832" i="6"/>
  <c r="V832" i="6"/>
  <c r="V1202" i="6"/>
  <c r="W1202" i="6"/>
  <c r="V80" i="6"/>
  <c r="W80" i="6"/>
  <c r="V407" i="6"/>
  <c r="W407" i="6"/>
  <c r="U511" i="6"/>
  <c r="V511" i="6"/>
  <c r="W511" i="6"/>
  <c r="U85" i="6"/>
  <c r="V85" i="6"/>
  <c r="W85" i="6"/>
  <c r="V185" i="6"/>
  <c r="W185" i="6"/>
  <c r="V337" i="6"/>
  <c r="W337" i="6"/>
  <c r="V719" i="6"/>
  <c r="W719" i="6"/>
  <c r="V1036" i="6"/>
  <c r="W1036" i="6"/>
  <c r="V1159" i="6"/>
  <c r="W1159" i="6"/>
  <c r="W90" i="6"/>
  <c r="V90" i="6"/>
  <c r="R36" i="6"/>
  <c r="V36" i="6"/>
  <c r="W36" i="6"/>
  <c r="V105" i="6"/>
  <c r="W105" i="6"/>
  <c r="V211" i="6"/>
  <c r="W211" i="6"/>
  <c r="W358" i="6"/>
  <c r="V358" i="6"/>
  <c r="V477" i="6"/>
  <c r="W477" i="6"/>
  <c r="V670" i="6"/>
  <c r="W670" i="6"/>
  <c r="W804" i="6"/>
  <c r="V804" i="6"/>
  <c r="W139" i="6"/>
  <c r="V139" i="6"/>
  <c r="V274" i="6"/>
  <c r="W274" i="6"/>
  <c r="V363" i="6"/>
  <c r="W363" i="6"/>
  <c r="V43" i="6"/>
  <c r="W43" i="6"/>
  <c r="V745" i="6"/>
  <c r="W745" i="6"/>
  <c r="V1062" i="6"/>
  <c r="W1062" i="6"/>
  <c r="V155" i="6"/>
  <c r="W155" i="6"/>
  <c r="V283" i="6"/>
  <c r="W283" i="6"/>
  <c r="W378" i="6"/>
  <c r="V378" i="6"/>
  <c r="V439" i="6"/>
  <c r="W439" i="6"/>
  <c r="V499" i="6"/>
  <c r="W499" i="6"/>
  <c r="U690" i="6"/>
  <c r="V690" i="6"/>
  <c r="W690" i="6"/>
  <c r="V818" i="6"/>
  <c r="W818" i="6"/>
  <c r="V1077" i="6"/>
  <c r="W1077" i="6"/>
  <c r="V1133" i="6"/>
  <c r="W1133" i="6"/>
  <c r="W165" i="6"/>
  <c r="V165" i="6"/>
  <c r="V452" i="6"/>
  <c r="W452" i="6"/>
  <c r="W1140" i="6"/>
  <c r="V1140" i="6"/>
  <c r="V170" i="6"/>
  <c r="W170" i="6"/>
  <c r="W706" i="6"/>
  <c r="V706" i="6"/>
  <c r="W75" i="6"/>
  <c r="V75" i="6"/>
  <c r="U298" i="6"/>
  <c r="V298" i="6"/>
  <c r="W298" i="6"/>
  <c r="W180" i="6"/>
  <c r="V180" i="6"/>
  <c r="V332" i="6"/>
  <c r="W332" i="6"/>
  <c r="V563" i="6"/>
  <c r="W563" i="6"/>
  <c r="V1207" i="6"/>
  <c r="W1207" i="6"/>
  <c r="V649" i="6"/>
  <c r="W649" i="6"/>
  <c r="V844" i="6"/>
  <c r="V858" i="6" s="1"/>
  <c r="V857" i="6" s="1"/>
  <c r="W844" i="6"/>
  <c r="W858" i="6" s="1"/>
  <c r="W857" i="6" s="1"/>
  <c r="V1215" i="6"/>
  <c r="W1215" i="6"/>
  <c r="V134" i="6"/>
  <c r="W134" i="6"/>
  <c r="V1114" i="6"/>
  <c r="W1114" i="6"/>
  <c r="W110" i="6"/>
  <c r="V110" i="6"/>
  <c r="V864" i="6"/>
  <c r="W864" i="6"/>
  <c r="V997" i="6"/>
  <c r="W997" i="6"/>
  <c r="V1186" i="6"/>
  <c r="W1186" i="6"/>
  <c r="W144" i="6"/>
  <c r="V144" i="6"/>
  <c r="V368" i="6"/>
  <c r="W368" i="6"/>
  <c r="V546" i="6"/>
  <c r="W546" i="6"/>
  <c r="V57" i="6"/>
  <c r="W57" i="6"/>
  <c r="V160" i="6"/>
  <c r="W160" i="6"/>
  <c r="V234" i="6"/>
  <c r="W234" i="6"/>
  <c r="V383" i="6"/>
  <c r="W383" i="6"/>
  <c r="V445" i="6"/>
  <c r="W445" i="6"/>
  <c r="V598" i="6"/>
  <c r="W598" i="6"/>
  <c r="V699" i="6"/>
  <c r="V713" i="6" s="1"/>
  <c r="V712" i="6" s="1"/>
  <c r="V726" i="6" s="1"/>
  <c r="V725" i="6" s="1"/>
  <c r="V739" i="6" s="1"/>
  <c r="V738" i="6" s="1"/>
  <c r="V752" i="6" s="1"/>
  <c r="V751" i="6" s="1"/>
  <c r="W699" i="6"/>
  <c r="W713" i="6" s="1"/>
  <c r="W712" i="6" s="1"/>
  <c r="W726" i="6" s="1"/>
  <c r="W725" i="6" s="1"/>
  <c r="W739" i="6" s="1"/>
  <c r="W738" i="6" s="1"/>
  <c r="W752" i="6" s="1"/>
  <c r="W751" i="6" s="1"/>
  <c r="V758" i="6"/>
  <c r="W758" i="6"/>
  <c r="V888" i="6"/>
  <c r="W888" i="6"/>
  <c r="W942" i="6"/>
  <c r="V942" i="6"/>
  <c r="W1016" i="6"/>
  <c r="W1030" i="6" s="1"/>
  <c r="W1029" i="6" s="1"/>
  <c r="W1043" i="6" s="1"/>
  <c r="W1042" i="6" s="1"/>
  <c r="W1056" i="6" s="1"/>
  <c r="W1055" i="6" s="1"/>
  <c r="V1016" i="6"/>
  <c r="V1030" i="6" s="1"/>
  <c r="V1029" i="6" s="1"/>
  <c r="V1043" i="6" s="1"/>
  <c r="V1042" i="6" s="1"/>
  <c r="V1056" i="6" s="1"/>
  <c r="V1055" i="6" s="1"/>
  <c r="F12" i="48"/>
  <c r="E12" i="48"/>
  <c r="E11" i="14"/>
  <c r="E11" i="23" s="1"/>
  <c r="E11" i="48"/>
  <c r="R332" i="6"/>
  <c r="U332" i="6"/>
  <c r="T185" i="6"/>
  <c r="U185" i="6"/>
  <c r="U719" i="6"/>
  <c r="T572" i="43" s="1"/>
  <c r="R1036" i="6"/>
  <c r="U1036" i="6"/>
  <c r="T844" i="43" s="1"/>
  <c r="T342" i="6"/>
  <c r="U342" i="6"/>
  <c r="U909" i="6"/>
  <c r="F123" i="11"/>
  <c r="F123" i="43"/>
  <c r="R266" i="6"/>
  <c r="U266" i="6"/>
  <c r="R532" i="6"/>
  <c r="U532" i="6"/>
  <c r="U626" i="6"/>
  <c r="R665" i="6"/>
  <c r="U665" i="6"/>
  <c r="U732" i="6"/>
  <c r="T577" i="43" s="1"/>
  <c r="U916" i="6"/>
  <c r="U1049" i="6"/>
  <c r="T1172" i="6"/>
  <c r="U1172" i="6"/>
  <c r="T32" i="11" s="1"/>
  <c r="U358" i="6"/>
  <c r="T477" i="6"/>
  <c r="U477" i="6"/>
  <c r="T172" i="14" s="1"/>
  <c r="T148" i="48" s="1"/>
  <c r="R804" i="6"/>
  <c r="U804" i="6"/>
  <c r="U1114" i="6"/>
  <c r="S1177" i="6"/>
  <c r="U1177" i="6"/>
  <c r="T946" i="43" s="1"/>
  <c r="P110" i="6"/>
  <c r="U110" i="6"/>
  <c r="S139" i="6"/>
  <c r="U139" i="6"/>
  <c r="R218" i="6"/>
  <c r="U218" i="6"/>
  <c r="T192" i="43" s="1"/>
  <c r="R274" i="6"/>
  <c r="U274" i="6"/>
  <c r="T218" i="43" s="1"/>
  <c r="F344" i="11"/>
  <c r="F269" i="43"/>
  <c r="T363" i="6"/>
  <c r="U363" i="6"/>
  <c r="N485" i="6"/>
  <c r="U485" i="6"/>
  <c r="R539" i="6"/>
  <c r="U539" i="6"/>
  <c r="U584" i="6"/>
  <c r="F687" i="11"/>
  <c r="F550" i="43"/>
  <c r="U675" i="6"/>
  <c r="S864" i="6"/>
  <c r="U864" i="6"/>
  <c r="T689" i="43" s="1"/>
  <c r="U923" i="6"/>
  <c r="U997" i="6"/>
  <c r="U1186" i="6"/>
  <c r="Q43" i="6"/>
  <c r="U43" i="6"/>
  <c r="T22" i="43" s="1"/>
  <c r="F112" i="11"/>
  <c r="F112" i="43"/>
  <c r="T144" i="6"/>
  <c r="U144" i="6"/>
  <c r="F345" i="11"/>
  <c r="F270" i="43"/>
  <c r="Q368" i="6"/>
  <c r="U368" i="6"/>
  <c r="U546" i="6"/>
  <c r="T458" i="43" s="1"/>
  <c r="T460" i="43" s="1"/>
  <c r="T522" i="43" s="1"/>
  <c r="F688" i="11"/>
  <c r="F551" i="43"/>
  <c r="R680" i="6"/>
  <c r="U680" i="6"/>
  <c r="U745" i="6"/>
  <c r="T582" i="43" s="1"/>
  <c r="R811" i="6"/>
  <c r="U811" i="6"/>
  <c r="U1062" i="6"/>
  <c r="T854" i="43" s="1"/>
  <c r="U1121" i="6"/>
  <c r="U955" i="6"/>
  <c r="T767" i="43" s="1"/>
  <c r="S1202" i="6"/>
  <c r="U1202" i="6"/>
  <c r="U80" i="6"/>
  <c r="Q407" i="6"/>
  <c r="U407" i="6"/>
  <c r="T287" i="43" s="1"/>
  <c r="S1153" i="6"/>
  <c r="U1153" i="6"/>
  <c r="S1159" i="6"/>
  <c r="U1159" i="6"/>
  <c r="S90" i="6"/>
  <c r="U90" i="6"/>
  <c r="S464" i="6"/>
  <c r="U464" i="6"/>
  <c r="T348" i="43" s="1"/>
  <c r="U983" i="6"/>
  <c r="U659" i="6"/>
  <c r="R851" i="6"/>
  <c r="U851" i="6"/>
  <c r="U1107" i="6"/>
  <c r="U100" i="6"/>
  <c r="T80" i="43" s="1"/>
  <c r="Q134" i="6"/>
  <c r="U134" i="6"/>
  <c r="U211" i="6"/>
  <c r="T551" i="6"/>
  <c r="U551" i="6"/>
  <c r="U935" i="6"/>
  <c r="U949" i="6" s="1"/>
  <c r="U948" i="6" s="1"/>
  <c r="U1077" i="6"/>
  <c r="U1133" i="6"/>
  <c r="T926" i="43" s="1"/>
  <c r="U57" i="6"/>
  <c r="T27" i="43" s="1"/>
  <c r="T33" i="43" s="1"/>
  <c r="F115" i="11"/>
  <c r="F115" i="43"/>
  <c r="P160" i="6"/>
  <c r="U160" i="6"/>
  <c r="R234" i="6"/>
  <c r="U234" i="6"/>
  <c r="F348" i="11"/>
  <c r="F273" i="43"/>
  <c r="T383" i="6"/>
  <c r="U383" i="6"/>
  <c r="R445" i="6"/>
  <c r="U445" i="6"/>
  <c r="T330" i="43" s="1"/>
  <c r="U598" i="6"/>
  <c r="F691" i="11"/>
  <c r="F554" i="43"/>
  <c r="U699" i="6"/>
  <c r="U713" i="6" s="1"/>
  <c r="U712" i="6" s="1"/>
  <c r="U726" i="6" s="1"/>
  <c r="U725" i="6" s="1"/>
  <c r="U739" i="6" s="1"/>
  <c r="U738" i="6" s="1"/>
  <c r="U752" i="6" s="1"/>
  <c r="U751" i="6" s="1"/>
  <c r="U758" i="6"/>
  <c r="T587" i="43" s="1"/>
  <c r="U888" i="6"/>
  <c r="U942" i="6"/>
  <c r="T762" i="43" s="1"/>
  <c r="U1016" i="6"/>
  <c r="U1030" i="6" s="1"/>
  <c r="U1029" i="6" s="1"/>
  <c r="U1043" i="6" s="1"/>
  <c r="U1042" i="6" s="1"/>
  <c r="U1056" i="6" s="1"/>
  <c r="U1055" i="6" s="1"/>
  <c r="T75" i="6"/>
  <c r="U75" i="6"/>
  <c r="F118" i="11"/>
  <c r="F118" i="43"/>
  <c r="Q175" i="6"/>
  <c r="U175" i="6"/>
  <c r="F351" i="11"/>
  <c r="F276" i="43"/>
  <c r="F694" i="11"/>
  <c r="F557" i="43"/>
  <c r="R782" i="6"/>
  <c r="U782" i="6"/>
  <c r="R832" i="6"/>
  <c r="U832" i="6"/>
  <c r="U1093" i="6"/>
  <c r="F119" i="11"/>
  <c r="F119" i="43"/>
  <c r="U180" i="6"/>
  <c r="R250" i="6"/>
  <c r="U250" i="6"/>
  <c r="U563" i="6"/>
  <c r="U612" i="6"/>
  <c r="F695" i="11"/>
  <c r="F558" i="43"/>
  <c r="U902" i="6"/>
  <c r="U974" i="6"/>
  <c r="U1207" i="6"/>
  <c r="T974" i="43" s="1"/>
  <c r="F120" i="11"/>
  <c r="F120" i="43"/>
  <c r="Q306" i="6"/>
  <c r="U306" i="6"/>
  <c r="U337" i="6"/>
  <c r="U414" i="6"/>
  <c r="N649" i="6"/>
  <c r="U649" i="6"/>
  <c r="R789" i="6"/>
  <c r="U789" i="6"/>
  <c r="R844" i="6"/>
  <c r="R858" i="6" s="1"/>
  <c r="R857" i="6" s="1"/>
  <c r="U844" i="6"/>
  <c r="U858" i="6" s="1"/>
  <c r="U857" i="6" s="1"/>
  <c r="U1100" i="6"/>
  <c r="U1215" i="6"/>
  <c r="T984" i="43" s="1"/>
  <c r="F121" i="11"/>
  <c r="F121" i="43"/>
  <c r="P190" i="6"/>
  <c r="U190" i="6"/>
  <c r="R258" i="6"/>
  <c r="U258" i="6"/>
  <c r="U420" i="6"/>
  <c r="T1262" i="43" s="1"/>
  <c r="U570" i="6"/>
  <c r="U619" i="6"/>
  <c r="T658" i="11" s="1"/>
  <c r="U654" i="6"/>
  <c r="L95" i="6"/>
  <c r="U95" i="6"/>
  <c r="F122" i="11"/>
  <c r="F122" i="43"/>
  <c r="R204" i="6"/>
  <c r="U204" i="6"/>
  <c r="F341" i="11"/>
  <c r="F266" i="43"/>
  <c r="U470" i="6"/>
  <c r="T359" i="43" s="1"/>
  <c r="R796" i="6"/>
  <c r="U796" i="6"/>
  <c r="R1166" i="6"/>
  <c r="U1166" i="6"/>
  <c r="F342" i="11"/>
  <c r="F267" i="43"/>
  <c r="R353" i="6"/>
  <c r="U353" i="6"/>
  <c r="U577" i="6"/>
  <c r="U990" i="6"/>
  <c r="T105" i="6"/>
  <c r="U105" i="6"/>
  <c r="F343" i="11"/>
  <c r="F268" i="43"/>
  <c r="U670" i="6"/>
  <c r="K50" i="6"/>
  <c r="J25" i="43" s="1"/>
  <c r="U50" i="6"/>
  <c r="F113" i="11"/>
  <c r="F113" i="43"/>
  <c r="S150" i="6"/>
  <c r="U150" i="6"/>
  <c r="R226" i="6"/>
  <c r="U226" i="6"/>
  <c r="F346" i="11"/>
  <c r="F271" i="43"/>
  <c r="R373" i="6"/>
  <c r="U373" i="6"/>
  <c r="U591" i="6"/>
  <c r="T499" i="43" s="1"/>
  <c r="F689" i="11"/>
  <c r="F552" i="43"/>
  <c r="R685" i="6"/>
  <c r="U685" i="6"/>
  <c r="U879" i="6"/>
  <c r="U1004" i="6"/>
  <c r="F114" i="11"/>
  <c r="F114" i="43"/>
  <c r="T155" i="6"/>
  <c r="U155" i="6"/>
  <c r="T283" i="6"/>
  <c r="U283" i="6"/>
  <c r="F347" i="11"/>
  <c r="F272" i="43"/>
  <c r="U378" i="6"/>
  <c r="N439" i="6"/>
  <c r="U439" i="6"/>
  <c r="M439" i="6"/>
  <c r="M499" i="6"/>
  <c r="N499" i="6"/>
  <c r="M1265" i="43" s="1"/>
  <c r="U499" i="6"/>
  <c r="T1265" i="43" s="1"/>
  <c r="F690" i="11"/>
  <c r="F553" i="43"/>
  <c r="R818" i="6"/>
  <c r="U818" i="6"/>
  <c r="T62" i="6"/>
  <c r="U62" i="6"/>
  <c r="T42" i="43" s="1"/>
  <c r="T43" i="43" s="1"/>
  <c r="T81" i="43" s="1"/>
  <c r="F116" i="11"/>
  <c r="F116" i="43"/>
  <c r="T165" i="6"/>
  <c r="U165" i="6"/>
  <c r="L291" i="6"/>
  <c r="U291" i="6"/>
  <c r="F349" i="11"/>
  <c r="F274" i="43"/>
  <c r="U452" i="6"/>
  <c r="F692" i="11"/>
  <c r="F555" i="43"/>
  <c r="R825" i="6"/>
  <c r="U825" i="6"/>
  <c r="U1086" i="6"/>
  <c r="R1140" i="6"/>
  <c r="U1140" i="6"/>
  <c r="T68" i="6"/>
  <c r="U68" i="6"/>
  <c r="F117" i="11"/>
  <c r="F117" i="43"/>
  <c r="S170" i="6"/>
  <c r="U170" i="6"/>
  <c r="R242" i="6"/>
  <c r="U242" i="6"/>
  <c r="F350" i="11"/>
  <c r="F275" i="43"/>
  <c r="S400" i="6"/>
  <c r="U400" i="6"/>
  <c r="U605" i="6"/>
  <c r="F693" i="11"/>
  <c r="F556" i="43"/>
  <c r="U706" i="6"/>
  <c r="T567" i="43" s="1"/>
  <c r="R777" i="6"/>
  <c r="U777" i="6"/>
  <c r="U895" i="6"/>
  <c r="R1023" i="6"/>
  <c r="U1023" i="6"/>
  <c r="T839" i="43" s="1"/>
  <c r="R1146" i="6"/>
  <c r="U1146" i="6"/>
  <c r="K515" i="11"/>
  <c r="K414" i="43"/>
  <c r="F648" i="11"/>
  <c r="F647" i="11" s="1"/>
  <c r="F511" i="43"/>
  <c r="F510" i="43" s="1"/>
  <c r="F804" i="11"/>
  <c r="F635" i="43"/>
  <c r="F283" i="11"/>
  <c r="F208" i="43"/>
  <c r="F905" i="11"/>
  <c r="F736" i="43"/>
  <c r="F1071" i="11"/>
  <c r="F902" i="43"/>
  <c r="F973" i="11"/>
  <c r="F804" i="43"/>
  <c r="F375" i="11"/>
  <c r="F300" i="43"/>
  <c r="F586" i="11"/>
  <c r="F449" i="43"/>
  <c r="F915" i="11"/>
  <c r="F746" i="43"/>
  <c r="F21" i="43"/>
  <c r="F266" i="11"/>
  <c r="F191" i="43"/>
  <c r="F315" i="43"/>
  <c r="F827" i="11"/>
  <c r="F658" i="43"/>
  <c r="F1086" i="11"/>
  <c r="F917" i="43"/>
  <c r="F27" i="11"/>
  <c r="F26" i="43"/>
  <c r="F272" i="11"/>
  <c r="F197" i="43"/>
  <c r="F601" i="11"/>
  <c r="F464" i="43"/>
  <c r="F636" i="11"/>
  <c r="F499" i="43"/>
  <c r="F755" i="11"/>
  <c r="F586" i="43"/>
  <c r="F878" i="11"/>
  <c r="F709" i="43"/>
  <c r="F930" i="11"/>
  <c r="F761" i="43"/>
  <c r="F993" i="11"/>
  <c r="F824" i="43"/>
  <c r="F968" i="43"/>
  <c r="F418" i="11"/>
  <c r="F343" i="43"/>
  <c r="F740" i="11"/>
  <c r="F571" i="43"/>
  <c r="E417" i="11"/>
  <c r="E342" i="43"/>
  <c r="F618" i="11"/>
  <c r="F481" i="43"/>
  <c r="F910" i="11"/>
  <c r="F741" i="43"/>
  <c r="F1076" i="11"/>
  <c r="F907" i="43"/>
  <c r="F857" i="11"/>
  <c r="F688" i="43"/>
  <c r="F750" i="11"/>
  <c r="F581" i="43"/>
  <c r="F1081" i="11"/>
  <c r="F912" i="43"/>
  <c r="F988" i="11"/>
  <c r="F819" i="43"/>
  <c r="F525" i="11"/>
  <c r="F424" i="43"/>
  <c r="F832" i="11"/>
  <c r="F663" i="43"/>
  <c r="F1044" i="11"/>
  <c r="F875" i="43"/>
  <c r="E1126" i="11"/>
  <c r="E957" i="43"/>
  <c r="E529" i="11"/>
  <c r="E428" i="43"/>
  <c r="F900" i="11"/>
  <c r="F731" i="43"/>
  <c r="F842" i="11"/>
  <c r="F673" i="43"/>
  <c r="F654" i="11"/>
  <c r="F653" i="11" s="1"/>
  <c r="F517" i="43"/>
  <c r="F516" i="43" s="1"/>
  <c r="F956" i="11"/>
  <c r="F787" i="43"/>
  <c r="F323" i="11"/>
  <c r="F248" i="43"/>
  <c r="F809" i="11"/>
  <c r="F640" i="43"/>
  <c r="F370" i="11"/>
  <c r="F295" i="43"/>
  <c r="F671" i="11"/>
  <c r="F670" i="11" s="1"/>
  <c r="F534" i="43"/>
  <c r="F533" i="43" s="1"/>
  <c r="E374" i="11"/>
  <c r="E299" i="43"/>
  <c r="F413" i="43"/>
  <c r="F920" i="11"/>
  <c r="F751" i="43"/>
  <c r="F530" i="11"/>
  <c r="F429" i="43"/>
  <c r="F642" i="11"/>
  <c r="F641" i="11" s="1"/>
  <c r="F505" i="43"/>
  <c r="F504" i="43" s="1"/>
  <c r="F735" i="11"/>
  <c r="F566" i="43"/>
  <c r="F895" i="11"/>
  <c r="F726" i="43"/>
  <c r="E1131" i="11"/>
  <c r="E962" i="43"/>
  <c r="E605" i="11"/>
  <c r="E468" i="43"/>
  <c r="E412" i="11"/>
  <c r="E337" i="43"/>
  <c r="F1066" i="11"/>
  <c r="F897" i="43"/>
  <c r="F613" i="11"/>
  <c r="F476" i="43"/>
  <c r="F852" i="11"/>
  <c r="F683" i="43"/>
  <c r="F745" i="11"/>
  <c r="F576" i="43"/>
  <c r="F181" i="43"/>
  <c r="F354" i="43"/>
  <c r="E369" i="11"/>
  <c r="E294" i="43"/>
  <c r="F624" i="11"/>
  <c r="F623" i="11" s="1"/>
  <c r="F487" i="43"/>
  <c r="F486" i="43" s="1"/>
  <c r="F978" i="11"/>
  <c r="F809" i="43"/>
  <c r="F822" i="11"/>
  <c r="F653" i="43"/>
  <c r="F630" i="11"/>
  <c r="F629" i="11" s="1"/>
  <c r="F493" i="43"/>
  <c r="F492" i="43" s="1"/>
  <c r="F958" i="43"/>
  <c r="F963" i="43"/>
  <c r="F413" i="11"/>
  <c r="F338" i="43"/>
  <c r="E524" i="11"/>
  <c r="E423" i="43"/>
  <c r="E600" i="11"/>
  <c r="E463" i="43"/>
  <c r="F837" i="11"/>
  <c r="F668" i="43"/>
  <c r="F935" i="11"/>
  <c r="F766" i="43"/>
  <c r="F1061" i="11"/>
  <c r="F892" i="43"/>
  <c r="E1136" i="11"/>
  <c r="E967" i="43"/>
  <c r="I508" i="14"/>
  <c r="F361" i="11"/>
  <c r="F286" i="43"/>
  <c r="J1529" i="11"/>
  <c r="J1314" i="43"/>
  <c r="R149" i="14"/>
  <c r="R125" i="48" s="1"/>
  <c r="R78" i="14"/>
  <c r="L78" i="14"/>
  <c r="Q78" i="14"/>
  <c r="K78" i="14"/>
  <c r="P78" i="14"/>
  <c r="O78" i="14"/>
  <c r="N78" i="14"/>
  <c r="M78" i="14"/>
  <c r="J78" i="14"/>
  <c r="V78" i="14"/>
  <c r="U78" i="14"/>
  <c r="S78" i="14"/>
  <c r="T78" i="14"/>
  <c r="F26" i="19"/>
  <c r="E27" i="19"/>
  <c r="I7" i="36"/>
  <c r="J6" i="36" s="1"/>
  <c r="J7" i="36" s="1"/>
  <c r="I7" i="35"/>
  <c r="J6" i="35" s="1"/>
  <c r="J7" i="35" s="1"/>
  <c r="E67" i="19"/>
  <c r="F22" i="35"/>
  <c r="E22" i="35"/>
  <c r="F22" i="36"/>
  <c r="E22" i="36"/>
  <c r="J61" i="24"/>
  <c r="I62" i="24" s="1"/>
  <c r="V1516" i="11"/>
  <c r="V82" i="15" s="1"/>
  <c r="V56" i="24" s="1"/>
  <c r="U1516" i="11"/>
  <c r="U82" i="15" s="1"/>
  <c r="U56" i="24" s="1"/>
  <c r="I7" i="25"/>
  <c r="J6" i="25" s="1"/>
  <c r="J7" i="25" s="1"/>
  <c r="J8" i="25" s="1"/>
  <c r="J36" i="25" s="1"/>
  <c r="I7" i="28"/>
  <c r="I8" i="28" s="1"/>
  <c r="I52" i="28" s="1"/>
  <c r="T1516" i="11"/>
  <c r="T82" i="15" s="1"/>
  <c r="T56" i="24" s="1"/>
  <c r="J1517" i="11"/>
  <c r="J82" i="15"/>
  <c r="K1516" i="11"/>
  <c r="K82" i="15" s="1"/>
  <c r="K56" i="24" s="1"/>
  <c r="Q524" i="6"/>
  <c r="Q291" i="6"/>
  <c r="K492" i="6"/>
  <c r="Q732" i="6"/>
  <c r="L56" i="25"/>
  <c r="M56" i="25"/>
  <c r="N56" i="25"/>
  <c r="Q155" i="6"/>
  <c r="O363" i="6"/>
  <c r="Q283" i="6"/>
  <c r="R348" i="6"/>
  <c r="N524" i="6"/>
  <c r="R551" i="6"/>
  <c r="M895" i="6"/>
  <c r="S811" i="6"/>
  <c r="L832" i="6"/>
  <c r="L818" i="6"/>
  <c r="N242" i="6"/>
  <c r="S612" i="6"/>
  <c r="K1133" i="6"/>
  <c r="M337" i="6"/>
  <c r="P363" i="6"/>
  <c r="J7" i="11"/>
  <c r="J8" i="11" s="1"/>
  <c r="J34" i="23"/>
  <c r="J49" i="23" s="1"/>
  <c r="P242" i="6"/>
  <c r="K266" i="6"/>
  <c r="J223" i="43" s="1"/>
  <c r="L654" i="6"/>
  <c r="N818" i="6"/>
  <c r="P997" i="6"/>
  <c r="Q1093" i="6"/>
  <c r="N266" i="6"/>
  <c r="R175" i="6"/>
  <c r="P234" i="6"/>
  <c r="M935" i="6"/>
  <c r="M949" i="6" s="1"/>
  <c r="M948" i="6" s="1"/>
  <c r="M1077" i="6"/>
  <c r="N110" i="6"/>
  <c r="N218" i="6"/>
  <c r="S234" i="6"/>
  <c r="T353" i="6"/>
  <c r="P825" i="6"/>
  <c r="P1077" i="6"/>
  <c r="O218" i="6"/>
  <c r="T234" i="6"/>
  <c r="R43" i="6"/>
  <c r="P218" i="6"/>
  <c r="S258" i="6"/>
  <c r="L745" i="6"/>
  <c r="T990" i="6"/>
  <c r="K258" i="6"/>
  <c r="J212" i="43" s="1"/>
  <c r="S266" i="6"/>
  <c r="T306" i="6"/>
  <c r="O332" i="6"/>
  <c r="L414" i="6"/>
  <c r="S591" i="6"/>
  <c r="Q895" i="6"/>
  <c r="M1004" i="6"/>
  <c r="Q1121" i="6"/>
  <c r="R160" i="6"/>
  <c r="L258" i="6"/>
  <c r="S332" i="6"/>
  <c r="K353" i="6"/>
  <c r="J257" i="43" s="1"/>
  <c r="O577" i="6"/>
  <c r="T1004" i="6"/>
  <c r="P258" i="6"/>
  <c r="K811" i="6"/>
  <c r="J657" i="43" s="1"/>
  <c r="N825" i="6"/>
  <c r="R452" i="6"/>
  <c r="L470" i="6"/>
  <c r="O584" i="6"/>
  <c r="O598" i="6"/>
  <c r="Q935" i="6"/>
  <c r="Q949" i="6" s="1"/>
  <c r="Q948" i="6" s="1"/>
  <c r="K974" i="6"/>
  <c r="J786" i="43" s="1"/>
  <c r="L1133" i="6"/>
  <c r="T470" i="6"/>
  <c r="Q584" i="6"/>
  <c r="Q598" i="6"/>
  <c r="P974" i="6"/>
  <c r="O699" i="6"/>
  <c r="O713" i="6" s="1"/>
  <c r="O712" i="6" s="1"/>
  <c r="O726" i="6" s="1"/>
  <c r="O725" i="6" s="1"/>
  <c r="O739" i="6" s="1"/>
  <c r="O738" i="6" s="1"/>
  <c r="O752" i="6" s="1"/>
  <c r="O751" i="6" s="1"/>
  <c r="K948" i="6"/>
  <c r="K1036" i="6"/>
  <c r="K1100" i="6"/>
  <c r="J901" i="43" s="1"/>
  <c r="L1114" i="6"/>
  <c r="O134" i="23"/>
  <c r="N136" i="23"/>
  <c r="N146" i="23" s="1"/>
  <c r="L36" i="6"/>
  <c r="N182" i="43" s="1"/>
  <c r="O182" i="43" s="1"/>
  <c r="P182" i="43" s="1"/>
  <c r="Q182" i="43" s="1"/>
  <c r="R182" i="43" s="1"/>
  <c r="S182" i="43" s="1"/>
  <c r="T182" i="43" s="1"/>
  <c r="R420" i="6"/>
  <c r="P36" i="6"/>
  <c r="L204" i="6"/>
  <c r="T258" i="6"/>
  <c r="K373" i="6"/>
  <c r="J261" i="43" s="1"/>
  <c r="R524" i="6"/>
  <c r="R546" i="6"/>
  <c r="M605" i="6"/>
  <c r="M777" i="6"/>
  <c r="S825" i="6"/>
  <c r="K983" i="6"/>
  <c r="J803" i="43" s="1"/>
  <c r="N1036" i="6"/>
  <c r="P1062" i="6"/>
  <c r="K1086" i="6"/>
  <c r="J891" i="43" s="1"/>
  <c r="M1100" i="6"/>
  <c r="M1133" i="6"/>
  <c r="L1177" i="6"/>
  <c r="L1215" i="6"/>
  <c r="O136" i="23"/>
  <c r="O146" i="23" s="1"/>
  <c r="R170" i="6"/>
  <c r="R388" i="6"/>
  <c r="Q125" i="14" s="1"/>
  <c r="Q101" i="48" s="1"/>
  <c r="P155" i="6"/>
  <c r="Q204" i="6"/>
  <c r="R306" i="6"/>
  <c r="K363" i="6"/>
  <c r="J259" i="43" s="1"/>
  <c r="L373" i="6"/>
  <c r="L464" i="6"/>
  <c r="T524" i="6"/>
  <c r="L983" i="6"/>
  <c r="L997" i="6"/>
  <c r="M1086" i="6"/>
  <c r="Q1100" i="6"/>
  <c r="Q1133" i="6"/>
  <c r="N1177" i="6"/>
  <c r="P1215" i="6"/>
  <c r="N34" i="23"/>
  <c r="L363" i="6"/>
  <c r="Q983" i="6"/>
  <c r="S1100" i="6"/>
  <c r="S1133" i="6"/>
  <c r="P1177" i="6"/>
  <c r="Q1215" i="6"/>
  <c r="V140" i="23"/>
  <c r="V141" i="23" s="1"/>
  <c r="V142" i="23" s="1"/>
  <c r="K250" i="6"/>
  <c r="J207" i="43" s="1"/>
  <c r="P16" i="13"/>
  <c r="K226" i="6"/>
  <c r="J196" i="43" s="1"/>
  <c r="T983" i="6"/>
  <c r="S997" i="6"/>
  <c r="K1077" i="6"/>
  <c r="J874" i="43" s="1"/>
  <c r="T1121" i="6"/>
  <c r="Q1177" i="6"/>
  <c r="K90" i="6"/>
  <c r="T150" i="6"/>
  <c r="M909" i="6"/>
  <c r="Q1146" i="6"/>
  <c r="M144" i="6"/>
  <c r="N258" i="6"/>
  <c r="O266" i="6"/>
  <c r="M283" i="6"/>
  <c r="T298" i="6"/>
  <c r="P353" i="6"/>
  <c r="R363" i="6"/>
  <c r="K383" i="6"/>
  <c r="J263" i="43" s="1"/>
  <c r="M524" i="6"/>
  <c r="K539" i="6"/>
  <c r="L577" i="6"/>
  <c r="L591" i="6"/>
  <c r="S598" i="6"/>
  <c r="P612" i="6"/>
  <c r="Q706" i="6"/>
  <c r="K732" i="6"/>
  <c r="N811" i="6"/>
  <c r="K825" i="6"/>
  <c r="J667" i="43" s="1"/>
  <c r="N832" i="6"/>
  <c r="Q923" i="6"/>
  <c r="T48" i="23"/>
  <c r="P139" i="6"/>
  <c r="T464" i="6"/>
  <c r="T517" i="6"/>
  <c r="O563" i="6"/>
  <c r="P570" i="6"/>
  <c r="O654" i="6"/>
  <c r="M665" i="6"/>
  <c r="L675" i="6"/>
  <c r="L719" i="6"/>
  <c r="P745" i="6"/>
  <c r="L758" i="6"/>
  <c r="O844" i="6"/>
  <c r="O858" i="6" s="1"/>
  <c r="O857" i="6" s="1"/>
  <c r="Q902" i="6"/>
  <c r="L1016" i="6"/>
  <c r="L1030" i="6" s="1"/>
  <c r="L1029" i="6" s="1"/>
  <c r="L1043" i="6" s="1"/>
  <c r="L1042" i="6" s="1"/>
  <c r="L1056" i="6" s="1"/>
  <c r="L1055" i="6" s="1"/>
  <c r="S1086" i="6"/>
  <c r="M1107" i="6"/>
  <c r="P1114" i="6"/>
  <c r="P1202" i="6"/>
  <c r="Q36" i="6"/>
  <c r="Q75" i="6"/>
  <c r="K160" i="6"/>
  <c r="J103" i="43" s="1"/>
  <c r="L175" i="6"/>
  <c r="K204" i="6"/>
  <c r="J180" i="43" s="1"/>
  <c r="O258" i="6"/>
  <c r="L266" i="6"/>
  <c r="L353" i="6"/>
  <c r="M358" i="6"/>
  <c r="L368" i="6"/>
  <c r="M414" i="6"/>
  <c r="L445" i="6"/>
  <c r="K485" i="6"/>
  <c r="L532" i="6"/>
  <c r="L539" i="6"/>
  <c r="P563" i="6"/>
  <c r="S570" i="6"/>
  <c r="P577" i="6"/>
  <c r="K619" i="6"/>
  <c r="M626" i="6"/>
  <c r="Q654" i="6"/>
  <c r="O665" i="6"/>
  <c r="O675" i="6"/>
  <c r="Q719" i="6"/>
  <c r="S732" i="6"/>
  <c r="Q745" i="6"/>
  <c r="M758" i="6"/>
  <c r="M782" i="6"/>
  <c r="K796" i="6"/>
  <c r="J644" i="43" s="1"/>
  <c r="P804" i="6"/>
  <c r="P818" i="6"/>
  <c r="L825" i="6"/>
  <c r="S844" i="6"/>
  <c r="S858" i="6" s="1"/>
  <c r="S857" i="6" s="1"/>
  <c r="L864" i="6"/>
  <c r="M879" i="6"/>
  <c r="M974" i="6"/>
  <c r="S983" i="6"/>
  <c r="K997" i="6"/>
  <c r="J818" i="43" s="1"/>
  <c r="K818" i="43" s="1"/>
  <c r="K1004" i="6"/>
  <c r="J823" i="43" s="1"/>
  <c r="Q1016" i="6"/>
  <c r="Q1030" i="6" s="1"/>
  <c r="Q1029" i="6" s="1"/>
  <c r="Q1043" i="6" s="1"/>
  <c r="Q1042" i="6" s="1"/>
  <c r="Q1056" i="6" s="1"/>
  <c r="Q1055" i="6" s="1"/>
  <c r="L1062" i="6"/>
  <c r="T1077" i="6"/>
  <c r="T1086" i="6"/>
  <c r="L1100" i="6"/>
  <c r="P1107" i="6"/>
  <c r="Q1114" i="6"/>
  <c r="M1140" i="6"/>
  <c r="M1177" i="6"/>
  <c r="T1202" i="6"/>
  <c r="S1215" i="6"/>
  <c r="N353" i="6"/>
  <c r="O414" i="6"/>
  <c r="N445" i="6"/>
  <c r="L485" i="6"/>
  <c r="N532" i="6"/>
  <c r="N539" i="6"/>
  <c r="Q563" i="6"/>
  <c r="K605" i="6"/>
  <c r="J509" i="43" s="1"/>
  <c r="M612" i="6"/>
  <c r="L619" i="6"/>
  <c r="O626" i="6"/>
  <c r="S654" i="6"/>
  <c r="P665" i="6"/>
  <c r="P675" i="6"/>
  <c r="Q685" i="6"/>
  <c r="T719" i="6"/>
  <c r="S745" i="6"/>
  <c r="Q758" i="6"/>
  <c r="O782" i="6"/>
  <c r="M796" i="6"/>
  <c r="S818" i="6"/>
  <c r="M864" i="6"/>
  <c r="S1016" i="6"/>
  <c r="S1030" i="6" s="1"/>
  <c r="S1029" i="6" s="1"/>
  <c r="S1043" i="6" s="1"/>
  <c r="S1042" i="6" s="1"/>
  <c r="S1056" i="6" s="1"/>
  <c r="S1055" i="6" s="1"/>
  <c r="T1107" i="6"/>
  <c r="S1114" i="6"/>
  <c r="T1215" i="6"/>
  <c r="O57" i="6"/>
  <c r="L80" i="6"/>
  <c r="M95" i="6"/>
  <c r="L134" i="6"/>
  <c r="M204" i="6"/>
  <c r="L226" i="6"/>
  <c r="L242" i="6"/>
  <c r="O353" i="6"/>
  <c r="P414" i="6"/>
  <c r="O445" i="6"/>
  <c r="O532" i="6"/>
  <c r="T539" i="6"/>
  <c r="K591" i="6"/>
  <c r="M598" i="6"/>
  <c r="L605" i="6"/>
  <c r="O612" i="6"/>
  <c r="M619" i="6"/>
  <c r="P626" i="6"/>
  <c r="Q665" i="6"/>
  <c r="Q675" i="6"/>
  <c r="T745" i="6"/>
  <c r="S758" i="6"/>
  <c r="S782" i="6"/>
  <c r="O796" i="6"/>
  <c r="O825" i="6"/>
  <c r="P864" i="6"/>
  <c r="T974" i="6"/>
  <c r="M997" i="6"/>
  <c r="P1004" i="6"/>
  <c r="T1016" i="6"/>
  <c r="T1030" i="6" s="1"/>
  <c r="T1029" i="6" s="1"/>
  <c r="T1043" i="6" s="1"/>
  <c r="T1042" i="6" s="1"/>
  <c r="T1056" i="6" s="1"/>
  <c r="T1055" i="6" s="1"/>
  <c r="S1062" i="6"/>
  <c r="T1114" i="6"/>
  <c r="P1166" i="6"/>
  <c r="I1482" i="11"/>
  <c r="I1484" i="11" s="1"/>
  <c r="I77" i="15" s="1"/>
  <c r="O80" i="6"/>
  <c r="M134" i="6"/>
  <c r="O204" i="6"/>
  <c r="P445" i="6"/>
  <c r="P532" i="6"/>
  <c r="S619" i="6"/>
  <c r="Q626" i="6"/>
  <c r="S675" i="6"/>
  <c r="P796" i="6"/>
  <c r="T864" i="6"/>
  <c r="S80" i="6"/>
  <c r="K100" i="6"/>
  <c r="R134" i="6"/>
  <c r="R185" i="6"/>
  <c r="P204" i="6"/>
  <c r="O242" i="6"/>
  <c r="T266" i="6"/>
  <c r="N283" i="6"/>
  <c r="N332" i="6"/>
  <c r="S353" i="6"/>
  <c r="K464" i="6"/>
  <c r="S532" i="6"/>
  <c r="K577" i="6"/>
  <c r="J485" i="43" s="1"/>
  <c r="M591" i="6"/>
  <c r="P598" i="6"/>
  <c r="S605" i="6"/>
  <c r="Q612" i="6"/>
  <c r="S626" i="6"/>
  <c r="K654" i="6"/>
  <c r="J540" i="43" s="1"/>
  <c r="L699" i="6"/>
  <c r="L713" i="6" s="1"/>
  <c r="L712" i="6" s="1"/>
  <c r="L726" i="6" s="1"/>
  <c r="L725" i="6" s="1"/>
  <c r="L739" i="6" s="1"/>
  <c r="L738" i="6" s="1"/>
  <c r="L752" i="6" s="1"/>
  <c r="L751" i="6" s="1"/>
  <c r="K745" i="6"/>
  <c r="M811" i="6"/>
  <c r="K818" i="6"/>
  <c r="J662" i="43" s="1"/>
  <c r="M923" i="6"/>
  <c r="Q990" i="6"/>
  <c r="Q997" i="6"/>
  <c r="M1036" i="6"/>
  <c r="Q1049" i="6"/>
  <c r="L1086" i="6"/>
  <c r="T1093" i="6"/>
  <c r="K1114" i="6"/>
  <c r="J911" i="43" s="1"/>
  <c r="T1146" i="6"/>
  <c r="K1215" i="6"/>
  <c r="O36" i="6"/>
  <c r="R105" i="6"/>
  <c r="O139" i="6"/>
  <c r="S218" i="6"/>
  <c r="T242" i="6"/>
  <c r="R283" i="6"/>
  <c r="P332" i="6"/>
  <c r="L477" i="6"/>
  <c r="K172" i="14" s="1"/>
  <c r="K148" i="48" s="1"/>
  <c r="L517" i="6"/>
  <c r="L563" i="6"/>
  <c r="K570" i="6"/>
  <c r="J480" i="43" s="1"/>
  <c r="M577" i="6"/>
  <c r="M654" i="6"/>
  <c r="K665" i="6"/>
  <c r="J542" i="43" s="1"/>
  <c r="K675" i="6"/>
  <c r="J544" i="43" s="1"/>
  <c r="K719" i="6"/>
  <c r="M732" i="6"/>
  <c r="M745" i="6"/>
  <c r="K758" i="6"/>
  <c r="P811" i="6"/>
  <c r="M818" i="6"/>
  <c r="M844" i="6"/>
  <c r="M858" i="6" s="1"/>
  <c r="M857" i="6" s="1"/>
  <c r="M902" i="6"/>
  <c r="M942" i="6"/>
  <c r="K1016" i="6"/>
  <c r="K1029" i="6"/>
  <c r="J842" i="43" s="1"/>
  <c r="S1036" i="6"/>
  <c r="Q1086" i="6"/>
  <c r="K1107" i="6"/>
  <c r="J906" i="43" s="1"/>
  <c r="M1114" i="6"/>
  <c r="N1202" i="6"/>
  <c r="T43" i="6"/>
  <c r="P57" i="6"/>
  <c r="N80" i="6"/>
  <c r="N95" i="6"/>
  <c r="O110" i="6"/>
  <c r="T134" i="6"/>
  <c r="P144" i="6"/>
  <c r="S160" i="6"/>
  <c r="T175" i="6"/>
  <c r="T250" i="6"/>
  <c r="S274" i="6"/>
  <c r="R485" i="6"/>
  <c r="T485" i="6"/>
  <c r="S485" i="6"/>
  <c r="R492" i="6"/>
  <c r="O492" i="6"/>
  <c r="N492" i="6"/>
  <c r="T492" i="6"/>
  <c r="P492" i="6"/>
  <c r="P95" i="6"/>
  <c r="R110" i="6"/>
  <c r="Q144" i="6"/>
  <c r="T274" i="6"/>
  <c r="S36" i="6"/>
  <c r="L43" i="6"/>
  <c r="L62" i="6"/>
  <c r="P80" i="6"/>
  <c r="P90" i="6"/>
  <c r="Q95" i="6"/>
  <c r="L105" i="6"/>
  <c r="S110" i="6"/>
  <c r="R144" i="6"/>
  <c r="T36" i="6"/>
  <c r="M43" i="6"/>
  <c r="M62" i="6"/>
  <c r="P75" i="6"/>
  <c r="R80" i="6"/>
  <c r="R90" i="6"/>
  <c r="R95" i="6"/>
  <c r="Q105" i="6"/>
  <c r="L160" i="6"/>
  <c r="M175" i="6"/>
  <c r="K180" i="6"/>
  <c r="J107" i="43" s="1"/>
  <c r="N190" i="6"/>
  <c r="N226" i="6"/>
  <c r="L250" i="6"/>
  <c r="K274" i="6"/>
  <c r="K342" i="6"/>
  <c r="J255" i="43" s="1"/>
  <c r="N358" i="6"/>
  <c r="N373" i="6"/>
  <c r="M378" i="6"/>
  <c r="N400" i="6"/>
  <c r="M477" i="6"/>
  <c r="L172" i="14" s="1"/>
  <c r="L148" i="48" s="1"/>
  <c r="S492" i="6"/>
  <c r="R511" i="6"/>
  <c r="L511" i="6"/>
  <c r="S511" i="6"/>
  <c r="K36" i="6"/>
  <c r="J20" i="43" s="1"/>
  <c r="U36" i="6"/>
  <c r="N43" i="6"/>
  <c r="P62" i="6"/>
  <c r="T95" i="6"/>
  <c r="N160" i="6"/>
  <c r="N175" i="6"/>
  <c r="O190" i="6"/>
  <c r="T218" i="6"/>
  <c r="O226" i="6"/>
  <c r="K234" i="6"/>
  <c r="J201" i="43" s="1"/>
  <c r="S242" i="6"/>
  <c r="N250" i="6"/>
  <c r="P266" i="6"/>
  <c r="L274" i="6"/>
  <c r="L306" i="6"/>
  <c r="T332" i="6"/>
  <c r="S342" i="6"/>
  <c r="P358" i="6"/>
  <c r="O373" i="6"/>
  <c r="O400" i="6"/>
  <c r="K407" i="6"/>
  <c r="Q414" i="6"/>
  <c r="S445" i="6"/>
  <c r="N477" i="6"/>
  <c r="M172" i="14" s="1"/>
  <c r="M148" i="48" s="1"/>
  <c r="O485" i="6"/>
  <c r="K511" i="6"/>
  <c r="P43" i="6"/>
  <c r="Q62" i="6"/>
  <c r="N134" i="6"/>
  <c r="O160" i="6"/>
  <c r="K170" i="6"/>
  <c r="J105" i="43" s="1"/>
  <c r="P175" i="6"/>
  <c r="R190" i="6"/>
  <c r="P226" i="6"/>
  <c r="L234" i="6"/>
  <c r="O250" i="6"/>
  <c r="N274" i="6"/>
  <c r="M306" i="6"/>
  <c r="Q358" i="6"/>
  <c r="P373" i="6"/>
  <c r="Q400" i="6"/>
  <c r="S414" i="6"/>
  <c r="T445" i="6"/>
  <c r="Q477" i="6"/>
  <c r="P172" i="14" s="1"/>
  <c r="P148" i="48" s="1"/>
  <c r="P485" i="6"/>
  <c r="O412" i="43" s="1"/>
  <c r="T511" i="6"/>
  <c r="M36" i="6"/>
  <c r="R62" i="6"/>
  <c r="K80" i="6"/>
  <c r="J57" i="43" s="1"/>
  <c r="L144" i="6"/>
  <c r="P170" i="6"/>
  <c r="L185" i="6"/>
  <c r="S190" i="6"/>
  <c r="S204" i="6"/>
  <c r="K218" i="6"/>
  <c r="S226" i="6"/>
  <c r="N234" i="6"/>
  <c r="P250" i="6"/>
  <c r="O274" i="6"/>
  <c r="L298" i="6"/>
  <c r="N306" i="6"/>
  <c r="K332" i="6"/>
  <c r="J253" i="43" s="1"/>
  <c r="R358" i="6"/>
  <c r="S373" i="6"/>
  <c r="R400" i="6"/>
  <c r="T414" i="6"/>
  <c r="R477" i="6"/>
  <c r="Q172" i="14" s="1"/>
  <c r="Q148" i="48" s="1"/>
  <c r="R499" i="6"/>
  <c r="Q185" i="6"/>
  <c r="T204" i="6"/>
  <c r="L218" i="6"/>
  <c r="T226" i="6"/>
  <c r="O234" i="6"/>
  <c r="K242" i="6"/>
  <c r="S250" i="6"/>
  <c r="P274" i="6"/>
  <c r="R298" i="6"/>
  <c r="L332" i="6"/>
  <c r="T373" i="6"/>
  <c r="S383" i="6"/>
  <c r="K414" i="6"/>
  <c r="K445" i="6"/>
  <c r="L524" i="6"/>
  <c r="K532" i="6"/>
  <c r="J448" i="43" s="1"/>
  <c r="S539" i="6"/>
  <c r="K563" i="6"/>
  <c r="J475" i="43" s="1"/>
  <c r="O570" i="6"/>
  <c r="T577" i="6"/>
  <c r="M584" i="6"/>
  <c r="Q591" i="6"/>
  <c r="L598" i="6"/>
  <c r="Q605" i="6"/>
  <c r="L612" i="6"/>
  <c r="Q619" i="6"/>
  <c r="L626" i="6"/>
  <c r="T665" i="6"/>
  <c r="M685" i="6"/>
  <c r="S699" i="6"/>
  <c r="S713" i="6" s="1"/>
  <c r="S712" i="6" s="1"/>
  <c r="S726" i="6" s="1"/>
  <c r="S725" i="6" s="1"/>
  <c r="S739" i="6" s="1"/>
  <c r="S738" i="6" s="1"/>
  <c r="S752" i="6" s="1"/>
  <c r="S751" i="6" s="1"/>
  <c r="M706" i="6"/>
  <c r="P719" i="6"/>
  <c r="L782" i="6"/>
  <c r="O789" i="6"/>
  <c r="T796" i="6"/>
  <c r="M804" i="6"/>
  <c r="S832" i="6"/>
  <c r="L844" i="6"/>
  <c r="L858" i="6" s="1"/>
  <c r="L857" i="6" s="1"/>
  <c r="O851" i="6"/>
  <c r="O864" i="6"/>
  <c r="Q888" i="6"/>
  <c r="Q916" i="6"/>
  <c r="S974" i="6"/>
  <c r="P983" i="6"/>
  <c r="L990" i="6"/>
  <c r="S1004" i="6"/>
  <c r="P1016" i="6"/>
  <c r="P1030" i="6" s="1"/>
  <c r="P1029" i="6" s="1"/>
  <c r="P1043" i="6" s="1"/>
  <c r="P1042" i="6" s="1"/>
  <c r="P1056" i="6" s="1"/>
  <c r="P1055" i="6" s="1"/>
  <c r="Q1023" i="6"/>
  <c r="P1036" i="6"/>
  <c r="S1077" i="6"/>
  <c r="P1086" i="6"/>
  <c r="L1093" i="6"/>
  <c r="S1107" i="6"/>
  <c r="L1121" i="6"/>
  <c r="N1146" i="6"/>
  <c r="T1159" i="6"/>
  <c r="M1166" i="6"/>
  <c r="M1202" i="6"/>
  <c r="M140" i="23"/>
  <c r="M141" i="23" s="1"/>
  <c r="M142" i="23" s="1"/>
  <c r="O685" i="6"/>
  <c r="T699" i="6"/>
  <c r="T713" i="6" s="1"/>
  <c r="T712" i="6" s="1"/>
  <c r="T726" i="6" s="1"/>
  <c r="T725" i="6" s="1"/>
  <c r="T739" i="6" s="1"/>
  <c r="T738" i="6" s="1"/>
  <c r="T752" i="6" s="1"/>
  <c r="T751" i="6" s="1"/>
  <c r="O706" i="6"/>
  <c r="P789" i="6"/>
  <c r="N804" i="6"/>
  <c r="T832" i="6"/>
  <c r="P851" i="6"/>
  <c r="M990" i="6"/>
  <c r="M1093" i="6"/>
  <c r="M1121" i="6"/>
  <c r="O1146" i="6"/>
  <c r="N1166" i="6"/>
  <c r="I471" i="14"/>
  <c r="I31" i="23"/>
  <c r="Q134" i="23"/>
  <c r="S134" i="23"/>
  <c r="J557" i="6"/>
  <c r="M563" i="6"/>
  <c r="Q570" i="6"/>
  <c r="P584" i="6"/>
  <c r="T591" i="6"/>
  <c r="T605" i="6"/>
  <c r="T619" i="6"/>
  <c r="T654" i="6"/>
  <c r="L665" i="6"/>
  <c r="M675" i="6"/>
  <c r="P685" i="6"/>
  <c r="K699" i="6"/>
  <c r="P706" i="6"/>
  <c r="S719" i="6"/>
  <c r="L732" i="6"/>
  <c r="N782" i="6"/>
  <c r="S789" i="6"/>
  <c r="L796" i="6"/>
  <c r="O804" i="6"/>
  <c r="T811" i="6"/>
  <c r="K832" i="6"/>
  <c r="J672" i="43" s="1"/>
  <c r="N844" i="6"/>
  <c r="N858" i="6" s="1"/>
  <c r="N857" i="6" s="1"/>
  <c r="S851" i="6"/>
  <c r="Q864" i="6"/>
  <c r="Q879" i="6"/>
  <c r="Q909" i="6"/>
  <c r="Q942" i="6"/>
  <c r="P990" i="6"/>
  <c r="T1036" i="6"/>
  <c r="M1049" i="6"/>
  <c r="K1062" i="6"/>
  <c r="P1093" i="6"/>
  <c r="P1121" i="6"/>
  <c r="P1146" i="6"/>
  <c r="O1166" i="6"/>
  <c r="O1202" i="6"/>
  <c r="N1207" i="6"/>
  <c r="J134" i="23"/>
  <c r="R134" i="23"/>
  <c r="J136" i="23"/>
  <c r="J137" i="23" s="1"/>
  <c r="Q140" i="23"/>
  <c r="Q141" i="23" s="1"/>
  <c r="Q142" i="23" s="1"/>
  <c r="T789" i="6"/>
  <c r="T851" i="6"/>
  <c r="L48" i="23"/>
  <c r="U140" i="23"/>
  <c r="U141" i="23" s="1"/>
  <c r="U142" i="23" s="1"/>
  <c r="T570" i="6"/>
  <c r="S584" i="6"/>
  <c r="N670" i="6"/>
  <c r="S685" i="6"/>
  <c r="M699" i="6"/>
  <c r="M713" i="6" s="1"/>
  <c r="M712" i="6" s="1"/>
  <c r="M726" i="6" s="1"/>
  <c r="M725" i="6" s="1"/>
  <c r="M739" i="6" s="1"/>
  <c r="M738" i="6" s="1"/>
  <c r="M752" i="6" s="1"/>
  <c r="M751" i="6" s="1"/>
  <c r="S706" i="6"/>
  <c r="T741" i="11"/>
  <c r="P732" i="6"/>
  <c r="P758" i="6"/>
  <c r="Q777" i="6"/>
  <c r="P782" i="6"/>
  <c r="K789" i="6"/>
  <c r="J639" i="43" s="1"/>
  <c r="N796" i="6"/>
  <c r="S804" i="6"/>
  <c r="L811" i="6"/>
  <c r="O818" i="6"/>
  <c r="T825" i="6"/>
  <c r="M832" i="6"/>
  <c r="P844" i="6"/>
  <c r="P858" i="6" s="1"/>
  <c r="P857" i="6" s="1"/>
  <c r="K851" i="6"/>
  <c r="L974" i="6"/>
  <c r="S990" i="6"/>
  <c r="L1004" i="6"/>
  <c r="L1036" i="6"/>
  <c r="O1062" i="6"/>
  <c r="L1077" i="6"/>
  <c r="S1093" i="6"/>
  <c r="P1100" i="6"/>
  <c r="L1107" i="6"/>
  <c r="S1121" i="6"/>
  <c r="P1133" i="6"/>
  <c r="Q1140" i="6"/>
  <c r="S1146" i="6"/>
  <c r="N1159" i="6"/>
  <c r="Q1166" i="6"/>
  <c r="P937" i="43" s="1"/>
  <c r="Q1172" i="6"/>
  <c r="P32" i="11" s="1"/>
  <c r="O1177" i="6"/>
  <c r="N1186" i="6"/>
  <c r="Q1202" i="6"/>
  <c r="P48" i="23"/>
  <c r="T584" i="6"/>
  <c r="R670" i="6"/>
  <c r="T685" i="6"/>
  <c r="T706" i="6"/>
  <c r="L789" i="6"/>
  <c r="T804" i="6"/>
  <c r="L851" i="6"/>
  <c r="O1159" i="6"/>
  <c r="S1166" i="6"/>
  <c r="T532" i="6"/>
  <c r="O539" i="6"/>
  <c r="S563" i="6"/>
  <c r="L570" i="6"/>
  <c r="Q577" i="6"/>
  <c r="K584" i="6"/>
  <c r="J491" i="43" s="1"/>
  <c r="O591" i="6"/>
  <c r="T598" i="6"/>
  <c r="O605" i="6"/>
  <c r="T612" i="6"/>
  <c r="O619" i="6"/>
  <c r="T626" i="6"/>
  <c r="N659" i="6"/>
  <c r="K685" i="6"/>
  <c r="J546" i="43" s="1"/>
  <c r="P699" i="6"/>
  <c r="P713" i="6" s="1"/>
  <c r="P712" i="6" s="1"/>
  <c r="P726" i="6" s="1"/>
  <c r="P725" i="6" s="1"/>
  <c r="P739" i="6" s="1"/>
  <c r="P738" i="6" s="1"/>
  <c r="P752" i="6" s="1"/>
  <c r="P751" i="6" s="1"/>
  <c r="K706" i="6"/>
  <c r="T782" i="6"/>
  <c r="M789" i="6"/>
  <c r="K804" i="6"/>
  <c r="J652" i="43" s="1"/>
  <c r="O832" i="6"/>
  <c r="T844" i="6"/>
  <c r="T858" i="6" s="1"/>
  <c r="T857" i="6" s="1"/>
  <c r="M851" i="6"/>
  <c r="K1055" i="6"/>
  <c r="J852" i="43" s="1"/>
  <c r="P1159" i="6"/>
  <c r="K1166" i="6"/>
  <c r="T1166" i="6"/>
  <c r="R34" i="23"/>
  <c r="P539" i="6"/>
  <c r="T563" i="6"/>
  <c r="M570" i="6"/>
  <c r="S577" i="6"/>
  <c r="L584" i="6"/>
  <c r="P591" i="6"/>
  <c r="K598" i="6"/>
  <c r="J503" i="43" s="1"/>
  <c r="P605" i="6"/>
  <c r="K612" i="6"/>
  <c r="J515" i="43" s="1"/>
  <c r="K515" i="43" s="1"/>
  <c r="L515" i="43" s="1"/>
  <c r="P619" i="6"/>
  <c r="K626" i="6"/>
  <c r="J532" i="43" s="1"/>
  <c r="K532" i="43" s="1"/>
  <c r="P654" i="6"/>
  <c r="R659" i="6"/>
  <c r="S665" i="6"/>
  <c r="T675" i="6"/>
  <c r="L685" i="6"/>
  <c r="Q699" i="6"/>
  <c r="Q713" i="6" s="1"/>
  <c r="Q712" i="6" s="1"/>
  <c r="Q726" i="6" s="1"/>
  <c r="Q725" i="6" s="1"/>
  <c r="Q739" i="6" s="1"/>
  <c r="Q738" i="6" s="1"/>
  <c r="Q752" i="6" s="1"/>
  <c r="Q751" i="6" s="1"/>
  <c r="L706" i="6"/>
  <c r="M719" i="6"/>
  <c r="T732" i="6"/>
  <c r="T758" i="6"/>
  <c r="K782" i="6"/>
  <c r="J634" i="43" s="1"/>
  <c r="K634" i="43" s="1"/>
  <c r="L634" i="43" s="1"/>
  <c r="M634" i="43" s="1"/>
  <c r="N634" i="43" s="1"/>
  <c r="O634" i="43" s="1"/>
  <c r="N789" i="6"/>
  <c r="S796" i="6"/>
  <c r="L804" i="6"/>
  <c r="O811" i="6"/>
  <c r="T818" i="6"/>
  <c r="M825" i="6"/>
  <c r="P832" i="6"/>
  <c r="K844" i="6"/>
  <c r="J682" i="43" s="1"/>
  <c r="N851" i="6"/>
  <c r="N864" i="6"/>
  <c r="M888" i="6"/>
  <c r="M916" i="6"/>
  <c r="Q974" i="6"/>
  <c r="M983" i="6"/>
  <c r="K990" i="6"/>
  <c r="T997" i="6"/>
  <c r="Q1004" i="6"/>
  <c r="M1016" i="6"/>
  <c r="M1030" i="6" s="1"/>
  <c r="M1029" i="6" s="1"/>
  <c r="M1043" i="6" s="1"/>
  <c r="M1042" i="6" s="1"/>
  <c r="M1056" i="6" s="1"/>
  <c r="M1055" i="6" s="1"/>
  <c r="M1023" i="6"/>
  <c r="O1036" i="6"/>
  <c r="T1062" i="6"/>
  <c r="Q1077" i="6"/>
  <c r="K1093" i="6"/>
  <c r="J896" i="43" s="1"/>
  <c r="T1100" i="6"/>
  <c r="Q1107" i="6"/>
  <c r="K1121" i="6"/>
  <c r="J916" i="43" s="1"/>
  <c r="T1133" i="6"/>
  <c r="K1146" i="6"/>
  <c r="Q1159" i="6"/>
  <c r="L1166" i="6"/>
  <c r="T1177" i="6"/>
  <c r="L1202" i="6"/>
  <c r="M1215" i="6"/>
  <c r="V34" i="23"/>
  <c r="V49" i="23" s="1"/>
  <c r="V147" i="23" s="1"/>
  <c r="K134" i="23"/>
  <c r="K8" i="6"/>
  <c r="F11" i="6"/>
  <c r="E12" i="6" s="1"/>
  <c r="F12" i="6" s="1"/>
  <c r="L6" i="6"/>
  <c r="L7" i="6" s="1"/>
  <c r="K9" i="6"/>
  <c r="M68" i="6"/>
  <c r="Q68" i="6"/>
  <c r="S85" i="6"/>
  <c r="K85" i="6"/>
  <c r="J63" i="43" s="1"/>
  <c r="O85" i="6"/>
  <c r="Q50" i="6"/>
  <c r="M50" i="6"/>
  <c r="T50" i="6"/>
  <c r="S68" i="6"/>
  <c r="T85" i="6"/>
  <c r="Q100" i="6"/>
  <c r="M100" i="6"/>
  <c r="T100" i="6"/>
  <c r="Q180" i="6"/>
  <c r="M180" i="6"/>
  <c r="T180" i="6"/>
  <c r="T211" i="6"/>
  <c r="P291" i="6"/>
  <c r="O291" i="6"/>
  <c r="S291" i="6"/>
  <c r="K291" i="6"/>
  <c r="J235" i="43" s="1"/>
  <c r="R337" i="6"/>
  <c r="R342" i="6"/>
  <c r="Q348" i="6"/>
  <c r="P368" i="6"/>
  <c r="O368" i="6"/>
  <c r="S368" i="6"/>
  <c r="K368" i="6"/>
  <c r="J260" i="43" s="1"/>
  <c r="R378" i="6"/>
  <c r="R383" i="6"/>
  <c r="Q388" i="6"/>
  <c r="P125" i="14" s="1"/>
  <c r="P101" i="48" s="1"/>
  <c r="M407" i="6"/>
  <c r="T407" i="6"/>
  <c r="L407" i="6"/>
  <c r="P407" i="6"/>
  <c r="O420" i="6"/>
  <c r="Q452" i="6"/>
  <c r="R470" i="6"/>
  <c r="Q499" i="6"/>
  <c r="R517" i="6"/>
  <c r="Q546" i="6"/>
  <c r="P551" i="6"/>
  <c r="O649" i="6"/>
  <c r="M649" i="6"/>
  <c r="T649" i="6"/>
  <c r="L649" i="6"/>
  <c r="S649" i="6"/>
  <c r="K649" i="6"/>
  <c r="J539" i="43" s="1"/>
  <c r="Q649" i="6"/>
  <c r="P649" i="6"/>
  <c r="E12" i="14"/>
  <c r="F12" i="14"/>
  <c r="M150" i="6"/>
  <c r="Q150" i="6"/>
  <c r="S165" i="6"/>
  <c r="K165" i="6"/>
  <c r="J104" i="43" s="1"/>
  <c r="O165" i="6"/>
  <c r="L50" i="6"/>
  <c r="R57" i="6"/>
  <c r="N62" i="6"/>
  <c r="K68" i="6"/>
  <c r="R75" i="6"/>
  <c r="L85" i="6"/>
  <c r="L100" i="6"/>
  <c r="O134" i="6"/>
  <c r="S134" i="6"/>
  <c r="K134" i="6"/>
  <c r="J98" i="43" s="1"/>
  <c r="R139" i="6"/>
  <c r="N144" i="6"/>
  <c r="K150" i="6"/>
  <c r="J101" i="43" s="1"/>
  <c r="R155" i="6"/>
  <c r="L165" i="6"/>
  <c r="L180" i="6"/>
  <c r="L211" i="6"/>
  <c r="M291" i="6"/>
  <c r="T348" i="6"/>
  <c r="M368" i="6"/>
  <c r="T388" i="6"/>
  <c r="S125" i="14" s="1"/>
  <c r="S101" i="48" s="1"/>
  <c r="N407" i="6"/>
  <c r="S420" i="6"/>
  <c r="L439" i="6"/>
  <c r="N464" i="6"/>
  <c r="M464" i="6"/>
  <c r="Q464" i="6"/>
  <c r="N511" i="6"/>
  <c r="M511" i="6"/>
  <c r="Q511" i="6"/>
  <c r="T595" i="11"/>
  <c r="T597" i="11" s="1"/>
  <c r="T659" i="11" s="1"/>
  <c r="S551" i="6"/>
  <c r="R649" i="6"/>
  <c r="O211" i="6"/>
  <c r="S211" i="6"/>
  <c r="K211" i="6"/>
  <c r="N50" i="6"/>
  <c r="S57" i="6"/>
  <c r="L68" i="6"/>
  <c r="M85" i="6"/>
  <c r="M90" i="6"/>
  <c r="Q90" i="6"/>
  <c r="T90" i="6"/>
  <c r="N100" i="6"/>
  <c r="S105" i="6"/>
  <c r="K105" i="6"/>
  <c r="J86" i="43" s="1"/>
  <c r="O105" i="6"/>
  <c r="L150" i="6"/>
  <c r="M165" i="6"/>
  <c r="M170" i="6"/>
  <c r="Q170" i="6"/>
  <c r="T170" i="6"/>
  <c r="N180" i="6"/>
  <c r="S185" i="6"/>
  <c r="K185" i="6"/>
  <c r="J108" i="43" s="1"/>
  <c r="O185" i="6"/>
  <c r="M211" i="6"/>
  <c r="N291" i="6"/>
  <c r="P298" i="6"/>
  <c r="O298" i="6"/>
  <c r="S298" i="6"/>
  <c r="K298" i="6"/>
  <c r="J241" i="43" s="1"/>
  <c r="T337" i="6"/>
  <c r="L337" i="6"/>
  <c r="S337" i="6"/>
  <c r="K337" i="6"/>
  <c r="J254" i="43" s="1"/>
  <c r="O337" i="6"/>
  <c r="N342" i="6"/>
  <c r="M342" i="6"/>
  <c r="Q342" i="6"/>
  <c r="N368" i="6"/>
  <c r="T378" i="6"/>
  <c r="L378" i="6"/>
  <c r="S378" i="6"/>
  <c r="K378" i="6"/>
  <c r="J262" i="43" s="1"/>
  <c r="O378" i="6"/>
  <c r="N383" i="6"/>
  <c r="M383" i="6"/>
  <c r="Q383" i="6"/>
  <c r="O407" i="6"/>
  <c r="P470" i="6"/>
  <c r="O470" i="6"/>
  <c r="S470" i="6"/>
  <c r="K470" i="6"/>
  <c r="P517" i="6"/>
  <c r="O517" i="6"/>
  <c r="S517" i="6"/>
  <c r="K517" i="6"/>
  <c r="N68" i="6"/>
  <c r="O75" i="6"/>
  <c r="S75" i="6"/>
  <c r="K75" i="6"/>
  <c r="J51" i="43" s="1"/>
  <c r="N85" i="6"/>
  <c r="O100" i="6"/>
  <c r="Q139" i="6"/>
  <c r="M139" i="6"/>
  <c r="T139" i="6"/>
  <c r="N150" i="6"/>
  <c r="O155" i="6"/>
  <c r="S155" i="6"/>
  <c r="K155" i="6"/>
  <c r="J102" i="43" s="1"/>
  <c r="N165" i="6"/>
  <c r="O180" i="6"/>
  <c r="N211" i="6"/>
  <c r="P348" i="6"/>
  <c r="O348" i="6"/>
  <c r="S348" i="6"/>
  <c r="K348" i="6"/>
  <c r="J256" i="43" s="1"/>
  <c r="P388" i="6"/>
  <c r="O125" i="14" s="1"/>
  <c r="O101" i="48" s="1"/>
  <c r="V125" i="14"/>
  <c r="V101" i="48" s="1"/>
  <c r="O388" i="6"/>
  <c r="N125" i="14" s="1"/>
  <c r="N101" i="48" s="1"/>
  <c r="S388" i="6"/>
  <c r="R125" i="14" s="1"/>
  <c r="R101" i="48" s="1"/>
  <c r="K388" i="6"/>
  <c r="J125" i="14" s="1"/>
  <c r="J101" i="48" s="1"/>
  <c r="U125" i="14"/>
  <c r="U101" i="48" s="1"/>
  <c r="Q420" i="6"/>
  <c r="P420" i="6"/>
  <c r="T420" i="6"/>
  <c r="L420" i="6"/>
  <c r="T452" i="6"/>
  <c r="L452" i="6"/>
  <c r="S452" i="6"/>
  <c r="K452" i="6"/>
  <c r="O452" i="6"/>
  <c r="T499" i="6"/>
  <c r="L499" i="6"/>
  <c r="S499" i="6"/>
  <c r="K499" i="6"/>
  <c r="O499" i="6"/>
  <c r="T546" i="6"/>
  <c r="L546" i="6"/>
  <c r="S546" i="6"/>
  <c r="K546" i="6"/>
  <c r="O546" i="6"/>
  <c r="N551" i="6"/>
  <c r="M551" i="6"/>
  <c r="Q551" i="6"/>
  <c r="O690" i="6"/>
  <c r="M690" i="6"/>
  <c r="T690" i="6"/>
  <c r="L690" i="6"/>
  <c r="S690" i="6"/>
  <c r="K690" i="6"/>
  <c r="J547" i="43" s="1"/>
  <c r="Q690" i="6"/>
  <c r="P690" i="6"/>
  <c r="P439" i="6"/>
  <c r="O439" i="6"/>
  <c r="S439" i="6"/>
  <c r="K439" i="6"/>
  <c r="J404" i="11" s="1"/>
  <c r="D26" i="40" s="1"/>
  <c r="O16" i="13"/>
  <c r="P3" i="13"/>
  <c r="Q11" i="13" s="1"/>
  <c r="P50" i="6"/>
  <c r="K57" i="6"/>
  <c r="O68" i="6"/>
  <c r="L75" i="6"/>
  <c r="P85" i="6"/>
  <c r="L90" i="6"/>
  <c r="P100" i="6"/>
  <c r="M105" i="6"/>
  <c r="M110" i="6"/>
  <c r="Q110" i="6"/>
  <c r="T110" i="6"/>
  <c r="K139" i="6"/>
  <c r="O150" i="6"/>
  <c r="L155" i="6"/>
  <c r="P165" i="6"/>
  <c r="L170" i="6"/>
  <c r="P180" i="6"/>
  <c r="M185" i="6"/>
  <c r="M190" i="6"/>
  <c r="Q190" i="6"/>
  <c r="T190" i="6"/>
  <c r="P211" i="6"/>
  <c r="P283" i="6"/>
  <c r="O283" i="6"/>
  <c r="S283" i="6"/>
  <c r="K283" i="6"/>
  <c r="J229" i="43" s="1"/>
  <c r="R291" i="6"/>
  <c r="M298" i="6"/>
  <c r="N337" i="6"/>
  <c r="L342" i="6"/>
  <c r="L348" i="6"/>
  <c r="S363" i="6"/>
  <c r="R368" i="6"/>
  <c r="N378" i="6"/>
  <c r="L383" i="6"/>
  <c r="L388" i="6"/>
  <c r="K125" i="14" s="1"/>
  <c r="K101" i="48" s="1"/>
  <c r="M400" i="6"/>
  <c r="L285" i="43" s="1"/>
  <c r="T400" i="6"/>
  <c r="L400" i="6"/>
  <c r="P400" i="6"/>
  <c r="R407" i="6"/>
  <c r="K420" i="6"/>
  <c r="Q439" i="6"/>
  <c r="M452" i="6"/>
  <c r="O464" i="6"/>
  <c r="M470" i="6"/>
  <c r="O511" i="6"/>
  <c r="M517" i="6"/>
  <c r="M546" i="6"/>
  <c r="K551" i="6"/>
  <c r="S680" i="6"/>
  <c r="K680" i="6"/>
  <c r="J545" i="43" s="1"/>
  <c r="Q680" i="6"/>
  <c r="P680" i="6"/>
  <c r="O680" i="6"/>
  <c r="M680" i="6"/>
  <c r="T680" i="6"/>
  <c r="L680" i="6"/>
  <c r="N690" i="6"/>
  <c r="Q3" i="13"/>
  <c r="Q12" i="13" s="1"/>
  <c r="O43" i="6"/>
  <c r="S43" i="6"/>
  <c r="K43" i="6"/>
  <c r="R50" i="6"/>
  <c r="L57" i="6"/>
  <c r="P68" i="6"/>
  <c r="M75" i="6"/>
  <c r="Q80" i="6"/>
  <c r="M80" i="6"/>
  <c r="T80" i="6"/>
  <c r="Q85" i="6"/>
  <c r="N90" i="6"/>
  <c r="O95" i="6"/>
  <c r="S95" i="6"/>
  <c r="K95" i="6"/>
  <c r="J74" i="43" s="1"/>
  <c r="R100" i="6"/>
  <c r="N105" i="6"/>
  <c r="K110" i="6"/>
  <c r="J92" i="43" s="1"/>
  <c r="P134" i="6"/>
  <c r="L139" i="6"/>
  <c r="P150" i="6"/>
  <c r="M155" i="6"/>
  <c r="Q160" i="6"/>
  <c r="M160" i="6"/>
  <c r="T160" i="6"/>
  <c r="Q165" i="6"/>
  <c r="N170" i="6"/>
  <c r="O175" i="6"/>
  <c r="S175" i="6"/>
  <c r="K175" i="6"/>
  <c r="J106" i="43" s="1"/>
  <c r="R180" i="6"/>
  <c r="N185" i="6"/>
  <c r="K190" i="6"/>
  <c r="J109" i="43" s="1"/>
  <c r="Q211" i="6"/>
  <c r="L283" i="6"/>
  <c r="T291" i="6"/>
  <c r="N298" i="6"/>
  <c r="P306" i="6"/>
  <c r="O306" i="6"/>
  <c r="S306" i="6"/>
  <c r="K306" i="6"/>
  <c r="J247" i="43" s="1"/>
  <c r="K247" i="43" s="1"/>
  <c r="L247" i="43" s="1"/>
  <c r="M247" i="43" s="1"/>
  <c r="N247" i="43" s="1"/>
  <c r="O247" i="43" s="1"/>
  <c r="P247" i="43" s="1"/>
  <c r="Q247" i="43" s="1"/>
  <c r="R247" i="43" s="1"/>
  <c r="P337" i="6"/>
  <c r="O342" i="6"/>
  <c r="M348" i="6"/>
  <c r="T368" i="6"/>
  <c r="P378" i="6"/>
  <c r="O383" i="6"/>
  <c r="M388" i="6"/>
  <c r="L125" i="14" s="1"/>
  <c r="L101" i="48" s="1"/>
  <c r="K400" i="6"/>
  <c r="S407" i="6"/>
  <c r="M420" i="6"/>
  <c r="R439" i="6"/>
  <c r="N452" i="6"/>
  <c r="P464" i="6"/>
  <c r="N470" i="6"/>
  <c r="P477" i="6"/>
  <c r="O172" i="14" s="1"/>
  <c r="O148" i="48" s="1"/>
  <c r="V172" i="14"/>
  <c r="V148" i="48" s="1"/>
  <c r="O477" i="6"/>
  <c r="N172" i="14" s="1"/>
  <c r="N148" i="48" s="1"/>
  <c r="S477" i="6"/>
  <c r="R172" i="14" s="1"/>
  <c r="R148" i="48" s="1"/>
  <c r="K477" i="6"/>
  <c r="J172" i="14" s="1"/>
  <c r="J148" i="48" s="1"/>
  <c r="U172" i="14"/>
  <c r="U148" i="48" s="1"/>
  <c r="P511" i="6"/>
  <c r="N517" i="6"/>
  <c r="P524" i="6"/>
  <c r="O524" i="6"/>
  <c r="S524" i="6"/>
  <c r="K524" i="6"/>
  <c r="N546" i="6"/>
  <c r="L551" i="6"/>
  <c r="O670" i="6"/>
  <c r="M670" i="6"/>
  <c r="T670" i="6"/>
  <c r="L670" i="6"/>
  <c r="S670" i="6"/>
  <c r="K670" i="6"/>
  <c r="J543" i="43" s="1"/>
  <c r="Q670" i="6"/>
  <c r="P670" i="6"/>
  <c r="N680" i="6"/>
  <c r="R690" i="6"/>
  <c r="O50" i="6"/>
  <c r="Q57" i="6"/>
  <c r="M57" i="6"/>
  <c r="T57" i="6"/>
  <c r="S50" i="6"/>
  <c r="N57" i="6"/>
  <c r="S62" i="6"/>
  <c r="K62" i="6"/>
  <c r="O62" i="6"/>
  <c r="T42" i="11"/>
  <c r="R68" i="6"/>
  <c r="N75" i="6"/>
  <c r="R85" i="6"/>
  <c r="O90" i="6"/>
  <c r="S100" i="6"/>
  <c r="P105" i="6"/>
  <c r="L110" i="6"/>
  <c r="N139" i="6"/>
  <c r="S144" i="6"/>
  <c r="K144" i="6"/>
  <c r="J100" i="43" s="1"/>
  <c r="O144" i="6"/>
  <c r="R150" i="6"/>
  <c r="N155" i="6"/>
  <c r="R165" i="6"/>
  <c r="O170" i="6"/>
  <c r="S180" i="6"/>
  <c r="P185" i="6"/>
  <c r="L190" i="6"/>
  <c r="R211" i="6"/>
  <c r="Q298" i="6"/>
  <c r="Q337" i="6"/>
  <c r="P342" i="6"/>
  <c r="N348" i="6"/>
  <c r="T358" i="6"/>
  <c r="L358" i="6"/>
  <c r="S358" i="6"/>
  <c r="K358" i="6"/>
  <c r="J258" i="43" s="1"/>
  <c r="O358" i="6"/>
  <c r="N363" i="6"/>
  <c r="M363" i="6"/>
  <c r="Q363" i="6"/>
  <c r="Q378" i="6"/>
  <c r="P383" i="6"/>
  <c r="N388" i="6"/>
  <c r="M125" i="14" s="1"/>
  <c r="M101" i="48" s="1"/>
  <c r="N420" i="6"/>
  <c r="T439" i="6"/>
  <c r="P452" i="6"/>
  <c r="R464" i="6"/>
  <c r="Q470" i="6"/>
  <c r="P499" i="6"/>
  <c r="Q517" i="6"/>
  <c r="P546" i="6"/>
  <c r="O551" i="6"/>
  <c r="S659" i="6"/>
  <c r="K659" i="6"/>
  <c r="J541" i="43" s="1"/>
  <c r="Q659" i="6"/>
  <c r="P659" i="6"/>
  <c r="O659" i="6"/>
  <c r="M659" i="6"/>
  <c r="T659" i="6"/>
  <c r="L659" i="6"/>
  <c r="N36" i="6"/>
  <c r="N204" i="6"/>
  <c r="M218" i="6"/>
  <c r="M226" i="6"/>
  <c r="M234" i="6"/>
  <c r="M242" i="6"/>
  <c r="M250" i="6"/>
  <c r="M258" i="6"/>
  <c r="M266" i="6"/>
  <c r="M274" i="6"/>
  <c r="M332" i="6"/>
  <c r="M353" i="6"/>
  <c r="M373" i="6"/>
  <c r="R414" i="6"/>
  <c r="M445" i="6"/>
  <c r="M485" i="6"/>
  <c r="M492" i="6"/>
  <c r="T515" i="11"/>
  <c r="T512" i="11" s="1"/>
  <c r="T1392" i="11" s="1"/>
  <c r="T1393" i="11" s="1"/>
  <c r="M532" i="6"/>
  <c r="M539" i="6"/>
  <c r="R563" i="6"/>
  <c r="R570" i="6"/>
  <c r="R577" i="6"/>
  <c r="R584" i="6"/>
  <c r="R591" i="6"/>
  <c r="R598" i="6"/>
  <c r="R605" i="6"/>
  <c r="R612" i="6"/>
  <c r="R619" i="6"/>
  <c r="R626" i="6"/>
  <c r="R654" i="6"/>
  <c r="N665" i="6"/>
  <c r="R675" i="6"/>
  <c r="N685" i="6"/>
  <c r="R699" i="6"/>
  <c r="R713" i="6" s="1"/>
  <c r="R712" i="6" s="1"/>
  <c r="R726" i="6" s="1"/>
  <c r="R725" i="6" s="1"/>
  <c r="R739" i="6" s="1"/>
  <c r="R738" i="6" s="1"/>
  <c r="R752" i="6" s="1"/>
  <c r="R751" i="6" s="1"/>
  <c r="R706" i="6"/>
  <c r="R719" i="6"/>
  <c r="R732" i="6"/>
  <c r="R745" i="6"/>
  <c r="R758" i="6"/>
  <c r="K777" i="6"/>
  <c r="S777" i="6"/>
  <c r="O879" i="6"/>
  <c r="O888" i="6"/>
  <c r="O895" i="6"/>
  <c r="O902" i="6"/>
  <c r="O909" i="6"/>
  <c r="O916" i="6"/>
  <c r="O923" i="6"/>
  <c r="O935" i="6"/>
  <c r="O949" i="6" s="1"/>
  <c r="O948" i="6" s="1"/>
  <c r="O942" i="6"/>
  <c r="P955" i="6"/>
  <c r="R974" i="6"/>
  <c r="R983" i="6"/>
  <c r="R990" i="6"/>
  <c r="R997" i="6"/>
  <c r="R1004" i="6"/>
  <c r="R1016" i="6"/>
  <c r="R1030" i="6" s="1"/>
  <c r="R1029" i="6" s="1"/>
  <c r="R1043" i="6" s="1"/>
  <c r="R1042" i="6" s="1"/>
  <c r="R1056" i="6" s="1"/>
  <c r="R1055" i="6" s="1"/>
  <c r="K1023" i="6"/>
  <c r="S1023" i="6"/>
  <c r="O1049" i="6"/>
  <c r="Q1062" i="6"/>
  <c r="R1077" i="6"/>
  <c r="R1086" i="6"/>
  <c r="R1093" i="6"/>
  <c r="R1100" i="6"/>
  <c r="R1107" i="6"/>
  <c r="R1114" i="6"/>
  <c r="R1121" i="6"/>
  <c r="R1133" i="6"/>
  <c r="K1140" i="6"/>
  <c r="S1140" i="6"/>
  <c r="L1153" i="6"/>
  <c r="T1153" i="6"/>
  <c r="O1172" i="6"/>
  <c r="N32" i="11" s="1"/>
  <c r="P1186" i="6"/>
  <c r="P1207" i="6"/>
  <c r="R1215" i="6"/>
  <c r="L777" i="6"/>
  <c r="T777" i="6"/>
  <c r="P879" i="6"/>
  <c r="P888" i="6"/>
  <c r="P895" i="6"/>
  <c r="P902" i="6"/>
  <c r="P909" i="6"/>
  <c r="P916" i="6"/>
  <c r="P923" i="6"/>
  <c r="P935" i="6"/>
  <c r="P949" i="6" s="1"/>
  <c r="P948" i="6" s="1"/>
  <c r="P942" i="6"/>
  <c r="Q955" i="6"/>
  <c r="L1023" i="6"/>
  <c r="T1023" i="6"/>
  <c r="P1049" i="6"/>
  <c r="R1062" i="6"/>
  <c r="L1140" i="6"/>
  <c r="T1140" i="6"/>
  <c r="M1153" i="6"/>
  <c r="P1172" i="6"/>
  <c r="O32" i="11" s="1"/>
  <c r="Q1186" i="6"/>
  <c r="Q1207" i="6"/>
  <c r="R955" i="6"/>
  <c r="N1153" i="6"/>
  <c r="R1186" i="6"/>
  <c r="R1207" i="6"/>
  <c r="N777" i="6"/>
  <c r="R879" i="6"/>
  <c r="R888" i="6"/>
  <c r="R895" i="6"/>
  <c r="R902" i="6"/>
  <c r="R909" i="6"/>
  <c r="R916" i="6"/>
  <c r="R923" i="6"/>
  <c r="R935" i="6"/>
  <c r="R949" i="6" s="1"/>
  <c r="R948" i="6" s="1"/>
  <c r="R942" i="6"/>
  <c r="K955" i="6"/>
  <c r="S955" i="6"/>
  <c r="N1023" i="6"/>
  <c r="R1049" i="6"/>
  <c r="N1140" i="6"/>
  <c r="O1153" i="6"/>
  <c r="R1172" i="6"/>
  <c r="Q32" i="11" s="1"/>
  <c r="K1186" i="6"/>
  <c r="S1186" i="6"/>
  <c r="K1207" i="6"/>
  <c r="S1207" i="6"/>
  <c r="Q218" i="6"/>
  <c r="Q226" i="6"/>
  <c r="Q234" i="6"/>
  <c r="Q242" i="6"/>
  <c r="Q250" i="6"/>
  <c r="Q258" i="6"/>
  <c r="Q266" i="6"/>
  <c r="Q274" i="6"/>
  <c r="Q332" i="6"/>
  <c r="Q353" i="6"/>
  <c r="Q373" i="6"/>
  <c r="N414" i="6"/>
  <c r="Q445" i="6"/>
  <c r="Q485" i="6"/>
  <c r="P412" i="43" s="1"/>
  <c r="Q492" i="6"/>
  <c r="Q532" i="6"/>
  <c r="Q539" i="6"/>
  <c r="N563" i="6"/>
  <c r="N570" i="6"/>
  <c r="N577" i="6"/>
  <c r="N584" i="6"/>
  <c r="N591" i="6"/>
  <c r="N598" i="6"/>
  <c r="N605" i="6"/>
  <c r="N612" i="6"/>
  <c r="N619" i="6"/>
  <c r="N626" i="6"/>
  <c r="N654" i="6"/>
  <c r="N675" i="6"/>
  <c r="N699" i="6"/>
  <c r="N713" i="6" s="1"/>
  <c r="N712" i="6" s="1"/>
  <c r="N726" i="6" s="1"/>
  <c r="N725" i="6" s="1"/>
  <c r="N739" i="6" s="1"/>
  <c r="N738" i="6" s="1"/>
  <c r="N752" i="6" s="1"/>
  <c r="N751" i="6" s="1"/>
  <c r="N706" i="6"/>
  <c r="N719" i="6"/>
  <c r="N732" i="6"/>
  <c r="N745" i="6"/>
  <c r="N758" i="6"/>
  <c r="O777" i="6"/>
  <c r="Q782" i="6"/>
  <c r="Q789" i="6"/>
  <c r="Q796" i="6"/>
  <c r="Q804" i="6"/>
  <c r="Q811" i="6"/>
  <c r="Q818" i="6"/>
  <c r="Q825" i="6"/>
  <c r="Q832" i="6"/>
  <c r="Q844" i="6"/>
  <c r="Q858" i="6" s="1"/>
  <c r="Q857" i="6" s="1"/>
  <c r="Q851" i="6"/>
  <c r="K857" i="6"/>
  <c r="J687" i="43" s="1"/>
  <c r="R864" i="6"/>
  <c r="K879" i="6"/>
  <c r="J708" i="43" s="1"/>
  <c r="S879" i="6"/>
  <c r="K888" i="6"/>
  <c r="J725" i="43" s="1"/>
  <c r="S888" i="6"/>
  <c r="K895" i="6"/>
  <c r="J730" i="43" s="1"/>
  <c r="S895" i="6"/>
  <c r="K902" i="6"/>
  <c r="J735" i="43" s="1"/>
  <c r="S902" i="6"/>
  <c r="K909" i="6"/>
  <c r="J740" i="43" s="1"/>
  <c r="S909" i="6"/>
  <c r="K916" i="6"/>
  <c r="J745" i="43" s="1"/>
  <c r="S916" i="6"/>
  <c r="K923" i="6"/>
  <c r="J750" i="43" s="1"/>
  <c r="S923" i="6"/>
  <c r="K935" i="6"/>
  <c r="J760" i="43" s="1"/>
  <c r="S935" i="6"/>
  <c r="S949" i="6" s="1"/>
  <c r="S948" i="6" s="1"/>
  <c r="K942" i="6"/>
  <c r="S942" i="6"/>
  <c r="L955" i="6"/>
  <c r="T955" i="6"/>
  <c r="N974" i="6"/>
  <c r="N983" i="6"/>
  <c r="N990" i="6"/>
  <c r="N997" i="6"/>
  <c r="N1004" i="6"/>
  <c r="N1016" i="6"/>
  <c r="O1023" i="6"/>
  <c r="Q1036" i="6"/>
  <c r="K1042" i="6"/>
  <c r="K1049" i="6"/>
  <c r="S1049" i="6"/>
  <c r="M1062" i="6"/>
  <c r="N1077" i="6"/>
  <c r="N1086" i="6"/>
  <c r="N1093" i="6"/>
  <c r="N1100" i="6"/>
  <c r="N1107" i="6"/>
  <c r="N1114" i="6"/>
  <c r="N1121" i="6"/>
  <c r="N1133" i="6"/>
  <c r="M1095" i="11" s="1"/>
  <c r="O1140" i="6"/>
  <c r="N925" i="43" s="1"/>
  <c r="P1153" i="6"/>
  <c r="O930" i="43" s="1"/>
  <c r="R1159" i="6"/>
  <c r="K1172" i="6"/>
  <c r="J32" i="11" s="1"/>
  <c r="S1172" i="6"/>
  <c r="R32" i="11" s="1"/>
  <c r="R1177" i="6"/>
  <c r="L1186" i="6"/>
  <c r="T1186" i="6"/>
  <c r="R1202" i="6"/>
  <c r="L1207" i="6"/>
  <c r="T1207" i="6"/>
  <c r="N1215" i="6"/>
  <c r="O719" i="6"/>
  <c r="O732" i="6"/>
  <c r="O745" i="6"/>
  <c r="O758" i="6"/>
  <c r="P777" i="6"/>
  <c r="K864" i="6"/>
  <c r="L879" i="6"/>
  <c r="T879" i="6"/>
  <c r="L888" i="6"/>
  <c r="T888" i="6"/>
  <c r="L895" i="6"/>
  <c r="T895" i="6"/>
  <c r="L902" i="6"/>
  <c r="T902" i="6"/>
  <c r="L909" i="6"/>
  <c r="T909" i="6"/>
  <c r="L916" i="6"/>
  <c r="T916" i="6"/>
  <c r="L923" i="6"/>
  <c r="T923" i="6"/>
  <c r="L935" i="6"/>
  <c r="L949" i="6" s="1"/>
  <c r="L948" i="6" s="1"/>
  <c r="T935" i="6"/>
  <c r="T949" i="6" s="1"/>
  <c r="T948" i="6" s="1"/>
  <c r="L942" i="6"/>
  <c r="T942" i="6"/>
  <c r="M955" i="6"/>
  <c r="O974" i="6"/>
  <c r="O983" i="6"/>
  <c r="O990" i="6"/>
  <c r="O997" i="6"/>
  <c r="O1004" i="6"/>
  <c r="O1016" i="6"/>
  <c r="O1030" i="6" s="1"/>
  <c r="O1029" i="6" s="1"/>
  <c r="O1043" i="6" s="1"/>
  <c r="O1042" i="6" s="1"/>
  <c r="O1056" i="6" s="1"/>
  <c r="O1055" i="6" s="1"/>
  <c r="P1023" i="6"/>
  <c r="L1049" i="6"/>
  <c r="T1049" i="6"/>
  <c r="N1062" i="6"/>
  <c r="O1077" i="6"/>
  <c r="O1086" i="6"/>
  <c r="O1093" i="6"/>
  <c r="O1100" i="6"/>
  <c r="O1107" i="6"/>
  <c r="O1114" i="6"/>
  <c r="O1121" i="6"/>
  <c r="O1133" i="6"/>
  <c r="P1140" i="6"/>
  <c r="Q1153" i="6"/>
  <c r="K1159" i="6"/>
  <c r="K1177" i="6"/>
  <c r="M1186" i="6"/>
  <c r="K1202" i="6"/>
  <c r="M1207" i="6"/>
  <c r="O1215" i="6"/>
  <c r="N955" i="6"/>
  <c r="R1153" i="6"/>
  <c r="N879" i="6"/>
  <c r="N888" i="6"/>
  <c r="N895" i="6"/>
  <c r="N902" i="6"/>
  <c r="N909" i="6"/>
  <c r="N916" i="6"/>
  <c r="N923" i="6"/>
  <c r="N935" i="6"/>
  <c r="N949" i="6" s="1"/>
  <c r="N948" i="6" s="1"/>
  <c r="N942" i="6"/>
  <c r="O955" i="6"/>
  <c r="N1049" i="6"/>
  <c r="K1153" i="6"/>
  <c r="O1186" i="6"/>
  <c r="O1207" i="6"/>
  <c r="F11" i="11"/>
  <c r="L49" i="23"/>
  <c r="L37" i="23"/>
  <c r="T49" i="23"/>
  <c r="T37" i="23"/>
  <c r="P49" i="23"/>
  <c r="P37" i="23"/>
  <c r="Q49" i="23"/>
  <c r="Q37" i="23"/>
  <c r="U146" i="23"/>
  <c r="N142" i="23"/>
  <c r="K889" i="11"/>
  <c r="S889" i="11"/>
  <c r="O967" i="11"/>
  <c r="K34" i="23"/>
  <c r="S34" i="23"/>
  <c r="Q48" i="23"/>
  <c r="L134" i="23"/>
  <c r="T134" i="23"/>
  <c r="L889" i="11"/>
  <c r="T889" i="11"/>
  <c r="P967" i="11"/>
  <c r="K25" i="19"/>
  <c r="M134" i="23"/>
  <c r="U134" i="23"/>
  <c r="P136" i="23"/>
  <c r="O140" i="23"/>
  <c r="O141" i="23" s="1"/>
  <c r="O142" i="23" s="1"/>
  <c r="K142" i="23"/>
  <c r="S142" i="23"/>
  <c r="I7" i="24"/>
  <c r="J6" i="24" s="1"/>
  <c r="J7" i="24" s="1"/>
  <c r="J9" i="24" s="1"/>
  <c r="M889" i="11"/>
  <c r="U889" i="11"/>
  <c r="Q967" i="11"/>
  <c r="L23" i="19"/>
  <c r="G6" i="39" s="1"/>
  <c r="M34" i="23"/>
  <c r="U34" i="23"/>
  <c r="N134" i="23"/>
  <c r="V134" i="23"/>
  <c r="Q136" i="23"/>
  <c r="R137" i="23" s="1"/>
  <c r="P140" i="23"/>
  <c r="P141" i="23" s="1"/>
  <c r="P142" i="23" s="1"/>
  <c r="L142" i="23"/>
  <c r="T142" i="23"/>
  <c r="N889" i="11"/>
  <c r="V889" i="11"/>
  <c r="J967" i="11"/>
  <c r="R967" i="11"/>
  <c r="I7" i="15"/>
  <c r="J6" i="15" s="1"/>
  <c r="J7" i="15" s="1"/>
  <c r="K6" i="15" s="1"/>
  <c r="K7" i="15" s="1"/>
  <c r="O889" i="11"/>
  <c r="K967" i="11"/>
  <c r="S967" i="11"/>
  <c r="J6" i="14"/>
  <c r="J7" i="14" s="1"/>
  <c r="O34" i="23"/>
  <c r="M48" i="23"/>
  <c r="P134" i="23"/>
  <c r="K136" i="23"/>
  <c r="S136" i="23"/>
  <c r="S137" i="23" s="1"/>
  <c r="J140" i="23"/>
  <c r="J141" i="23" s="1"/>
  <c r="J142" i="23" s="1"/>
  <c r="R140" i="23"/>
  <c r="R141" i="23" s="1"/>
  <c r="R142" i="23" s="1"/>
  <c r="P889" i="11"/>
  <c r="L967" i="11"/>
  <c r="T967" i="11"/>
  <c r="L136" i="23"/>
  <c r="L146" i="23" s="1"/>
  <c r="T136" i="23"/>
  <c r="U137" i="23" s="1"/>
  <c r="Q889" i="11"/>
  <c r="M967" i="11"/>
  <c r="U967" i="11"/>
  <c r="I7" i="19"/>
  <c r="J6" i="19" s="1"/>
  <c r="J7" i="19" s="1"/>
  <c r="K6" i="19" s="1"/>
  <c r="K7" i="19" s="1"/>
  <c r="J889" i="11"/>
  <c r="N967" i="11"/>
  <c r="I7" i="23"/>
  <c r="J6" i="23" s="1"/>
  <c r="J7" i="23" s="1"/>
  <c r="K6" i="23" s="1"/>
  <c r="K7" i="23" s="1"/>
  <c r="L6" i="23" s="1"/>
  <c r="L7" i="23" s="1"/>
  <c r="S149" i="14"/>
  <c r="S125" i="48" s="1"/>
  <c r="K149" i="14"/>
  <c r="K125" i="48" s="1"/>
  <c r="L149" i="14"/>
  <c r="L125" i="48" s="1"/>
  <c r="T149" i="14"/>
  <c r="T125" i="48" s="1"/>
  <c r="M149" i="14"/>
  <c r="M125" i="48" s="1"/>
  <c r="U149" i="14"/>
  <c r="U125" i="48" s="1"/>
  <c r="N149" i="14"/>
  <c r="N125" i="48" s="1"/>
  <c r="V149" i="14"/>
  <c r="V125" i="48" s="1"/>
  <c r="O149" i="14"/>
  <c r="O125" i="48" s="1"/>
  <c r="P149" i="14"/>
  <c r="P125" i="48" s="1"/>
  <c r="S172" i="14"/>
  <c r="S148" i="48" s="1"/>
  <c r="Q149" i="14"/>
  <c r="Q125" i="48" s="1"/>
  <c r="J149" i="14"/>
  <c r="J125" i="48" s="1"/>
  <c r="O3" i="13"/>
  <c r="H20" i="13"/>
  <c r="R146" i="23"/>
  <c r="V137" i="23"/>
  <c r="U61" i="14" l="1"/>
  <c r="U49" i="14"/>
  <c r="P61" i="14"/>
  <c r="P49" i="14"/>
  <c r="J100" i="40" s="1"/>
  <c r="L46" i="14"/>
  <c r="Q61" i="14"/>
  <c r="Q49" i="14"/>
  <c r="K100" i="40" s="1"/>
  <c r="V49" i="14"/>
  <c r="V61" i="14"/>
  <c r="M46" i="14"/>
  <c r="R61" i="14"/>
  <c r="R49" i="14"/>
  <c r="L100" i="40" s="1"/>
  <c r="K46" i="14"/>
  <c r="I48" i="14"/>
  <c r="N46" i="14"/>
  <c r="S61" i="14"/>
  <c r="S49" i="14"/>
  <c r="M100" i="40" s="1"/>
  <c r="T46" i="14"/>
  <c r="I44" i="14"/>
  <c r="J46" i="14"/>
  <c r="I45" i="14"/>
  <c r="O46" i="14"/>
  <c r="E11" i="19"/>
  <c r="E11" i="15"/>
  <c r="E11" i="25"/>
  <c r="K475" i="43"/>
  <c r="J26" i="43"/>
  <c r="T1158" i="11"/>
  <c r="K662" i="43"/>
  <c r="T267" i="11"/>
  <c r="L532" i="43"/>
  <c r="T23" i="11"/>
  <c r="O6" i="50" s="1"/>
  <c r="E11" i="24"/>
  <c r="S32" i="11"/>
  <c r="F600" i="11"/>
  <c r="E136" i="40" s="1"/>
  <c r="M1479" i="11"/>
  <c r="L274" i="41" s="1"/>
  <c r="K27" i="19"/>
  <c r="J27" i="19"/>
  <c r="E11" i="35"/>
  <c r="E11" i="28"/>
  <c r="S945" i="43"/>
  <c r="S31" i="43" s="1"/>
  <c r="K25" i="43"/>
  <c r="J46" i="43"/>
  <c r="J48" i="43" s="1"/>
  <c r="T736" i="11"/>
  <c r="T80" i="11"/>
  <c r="T28" i="11"/>
  <c r="O10" i="50" s="1"/>
  <c r="T362" i="11"/>
  <c r="T259" i="11" s="1"/>
  <c r="T931" i="11"/>
  <c r="T1013" i="11"/>
  <c r="T293" i="11"/>
  <c r="T746" i="11"/>
  <c r="T636" i="11"/>
  <c r="S240" i="48"/>
  <c r="E11" i="36"/>
  <c r="H515" i="11"/>
  <c r="R240" i="48"/>
  <c r="I125" i="48"/>
  <c r="F11" i="14"/>
  <c r="F11" i="25" s="1"/>
  <c r="J11" i="25" s="1"/>
  <c r="F11" i="48"/>
  <c r="K730" i="43"/>
  <c r="L730" i="43" s="1"/>
  <c r="M730" i="43" s="1"/>
  <c r="N730" i="43" s="1"/>
  <c r="O730" i="43" s="1"/>
  <c r="P730" i="43" s="1"/>
  <c r="Q730" i="43" s="1"/>
  <c r="R730" i="43" s="1"/>
  <c r="S730" i="43" s="1"/>
  <c r="T730" i="43" s="1"/>
  <c r="U730" i="43" s="1"/>
  <c r="V730" i="43" s="1"/>
  <c r="V732" i="43" s="1"/>
  <c r="K725" i="43"/>
  <c r="L725" i="43" s="1"/>
  <c r="M725" i="43" s="1"/>
  <c r="N725" i="43" s="1"/>
  <c r="O725" i="43" s="1"/>
  <c r="P725" i="43" s="1"/>
  <c r="Q725" i="43" s="1"/>
  <c r="Q727" i="43" s="1"/>
  <c r="K708" i="43"/>
  <c r="K710" i="43" s="1"/>
  <c r="U240" i="48"/>
  <c r="J240" i="48"/>
  <c r="I148" i="48"/>
  <c r="N240" i="48"/>
  <c r="V240" i="48"/>
  <c r="O240" i="48"/>
  <c r="I101" i="48"/>
  <c r="M532" i="43"/>
  <c r="N532" i="43" s="1"/>
  <c r="O532" i="43" s="1"/>
  <c r="P532" i="43" s="1"/>
  <c r="Q532" i="43" s="1"/>
  <c r="R532" i="43" s="1"/>
  <c r="S532" i="43" s="1"/>
  <c r="T532" i="43" s="1"/>
  <c r="U532" i="43" s="1"/>
  <c r="V532" i="43" s="1"/>
  <c r="V533" i="43" s="1"/>
  <c r="M515" i="43"/>
  <c r="N515" i="43" s="1"/>
  <c r="O515" i="43" s="1"/>
  <c r="P515" i="43" s="1"/>
  <c r="Q515" i="43" s="1"/>
  <c r="R515" i="43" s="1"/>
  <c r="S515" i="43" s="1"/>
  <c r="T515" i="43" s="1"/>
  <c r="U515" i="43" s="1"/>
  <c r="V515" i="43" s="1"/>
  <c r="V516" i="43" s="1"/>
  <c r="K639" i="43"/>
  <c r="L639" i="43" s="1"/>
  <c r="M639" i="43" s="1"/>
  <c r="N639" i="43" s="1"/>
  <c r="O639" i="43" s="1"/>
  <c r="P639" i="43" s="1"/>
  <c r="Q639" i="43" s="1"/>
  <c r="R639" i="43" s="1"/>
  <c r="L475" i="43"/>
  <c r="M475" i="43" s="1"/>
  <c r="N475" i="43" s="1"/>
  <c r="O475" i="43" s="1"/>
  <c r="P475" i="43" s="1"/>
  <c r="Q475" i="43" s="1"/>
  <c r="Q240" i="48"/>
  <c r="P240" i="48"/>
  <c r="M240" i="48"/>
  <c r="L240" i="48"/>
  <c r="K240" i="48"/>
  <c r="L662" i="43"/>
  <c r="M662" i="43" s="1"/>
  <c r="N662" i="43" s="1"/>
  <c r="O662" i="43" s="1"/>
  <c r="P662" i="43" s="1"/>
  <c r="Q662" i="43" s="1"/>
  <c r="R662" i="43" s="1"/>
  <c r="S662" i="43" s="1"/>
  <c r="T662" i="43" s="1"/>
  <c r="U662" i="43" s="1"/>
  <c r="V662" i="43" s="1"/>
  <c r="V664" i="43" s="1"/>
  <c r="K509" i="43"/>
  <c r="L509" i="43" s="1"/>
  <c r="M509" i="43" s="1"/>
  <c r="N509" i="43" s="1"/>
  <c r="N510" i="43" s="1"/>
  <c r="L818" i="43"/>
  <c r="M818" i="43" s="1"/>
  <c r="N818" i="43" s="1"/>
  <c r="O818" i="43" s="1"/>
  <c r="P818" i="43" s="1"/>
  <c r="Q818" i="43" s="1"/>
  <c r="R818" i="43" s="1"/>
  <c r="S818" i="43" s="1"/>
  <c r="T818" i="43" s="1"/>
  <c r="U818" i="43" s="1"/>
  <c r="V818" i="43" s="1"/>
  <c r="V820" i="43" s="1"/>
  <c r="K644" i="43"/>
  <c r="L644" i="43" s="1"/>
  <c r="M644" i="43" s="1"/>
  <c r="N644" i="43" s="1"/>
  <c r="O644" i="43" s="1"/>
  <c r="P644" i="43" s="1"/>
  <c r="Q644" i="43" s="1"/>
  <c r="R644" i="43" s="1"/>
  <c r="S644" i="43" s="1"/>
  <c r="T644" i="43" s="1"/>
  <c r="U644" i="43" s="1"/>
  <c r="V644" i="43" s="1"/>
  <c r="K207" i="43"/>
  <c r="L207" i="43" s="1"/>
  <c r="M207" i="43" s="1"/>
  <c r="N207" i="43" s="1"/>
  <c r="O207" i="43" s="1"/>
  <c r="P207" i="43" s="1"/>
  <c r="Q207" i="43" s="1"/>
  <c r="R207" i="43" s="1"/>
  <c r="S207" i="43" s="1"/>
  <c r="T207" i="43" s="1"/>
  <c r="U207" i="43" s="1"/>
  <c r="V207" i="43" s="1"/>
  <c r="V209" i="43" s="1"/>
  <c r="K891" i="43"/>
  <c r="K786" i="43"/>
  <c r="K788" i="43" s="1"/>
  <c r="K657" i="43"/>
  <c r="L657" i="43" s="1"/>
  <c r="M657" i="43" s="1"/>
  <c r="N657" i="43" s="1"/>
  <c r="O657" i="43" s="1"/>
  <c r="P657" i="43" s="1"/>
  <c r="Q657" i="43" s="1"/>
  <c r="R657" i="43" s="1"/>
  <c r="S657" i="43" s="1"/>
  <c r="T657" i="43" s="1"/>
  <c r="U657" i="43" s="1"/>
  <c r="V657" i="43" s="1"/>
  <c r="V659" i="43" s="1"/>
  <c r="T83" i="43"/>
  <c r="T240" i="48"/>
  <c r="T1095" i="11"/>
  <c r="N32" i="40" s="1"/>
  <c r="T451" i="43"/>
  <c r="T588" i="11"/>
  <c r="U1475" i="11"/>
  <c r="T69" i="41" s="1"/>
  <c r="U1262" i="43"/>
  <c r="T1263" i="43"/>
  <c r="T1476" i="11"/>
  <c r="S110" i="41" s="1"/>
  <c r="O1479" i="11"/>
  <c r="N274" i="41" s="1"/>
  <c r="O1265" i="43"/>
  <c r="V23" i="11"/>
  <c r="V22" i="43"/>
  <c r="N293" i="11"/>
  <c r="N218" i="43"/>
  <c r="O28" i="11"/>
  <c r="O27" i="43"/>
  <c r="O33" i="43" s="1"/>
  <c r="P1018" i="11"/>
  <c r="P849" i="43"/>
  <c r="S1158" i="11"/>
  <c r="S984" i="43"/>
  <c r="R1158" i="11"/>
  <c r="R984" i="43"/>
  <c r="P741" i="11"/>
  <c r="P572" i="43"/>
  <c r="K636" i="11"/>
  <c r="K499" i="43"/>
  <c r="Q595" i="11"/>
  <c r="Q597" i="11" s="1"/>
  <c r="Q659" i="11" s="1"/>
  <c r="Q458" i="43"/>
  <c r="Q460" i="43" s="1"/>
  <c r="Q522" i="43" s="1"/>
  <c r="Q1476" i="11"/>
  <c r="P110" i="41" s="1"/>
  <c r="Q1263" i="43"/>
  <c r="P746" i="11"/>
  <c r="P577" i="43"/>
  <c r="S1008" i="11"/>
  <c r="S839" i="43"/>
  <c r="Q1158" i="11"/>
  <c r="Q984" i="43"/>
  <c r="T756" i="11"/>
  <c r="Q1479" i="11"/>
  <c r="P274" i="41" s="1"/>
  <c r="Q1265" i="43"/>
  <c r="U293" i="11"/>
  <c r="U218" i="43"/>
  <c r="N1008" i="11"/>
  <c r="N839" i="43"/>
  <c r="K936" i="11"/>
  <c r="K767" i="43"/>
  <c r="M736" i="11"/>
  <c r="M567" i="43"/>
  <c r="P588" i="11"/>
  <c r="P451" i="43"/>
  <c r="M1008" i="11"/>
  <c r="M839" i="43"/>
  <c r="Q1143" i="11"/>
  <c r="Q974" i="43"/>
  <c r="K1008" i="11"/>
  <c r="K839" i="43"/>
  <c r="K840" i="43" s="1"/>
  <c r="O1143" i="11"/>
  <c r="O974" i="43"/>
  <c r="O936" i="11"/>
  <c r="O767" i="43"/>
  <c r="P636" i="11"/>
  <c r="P499" i="43"/>
  <c r="R931" i="11"/>
  <c r="R762" i="43"/>
  <c r="R936" i="11"/>
  <c r="R767" i="43"/>
  <c r="O746" i="11"/>
  <c r="O577" i="43"/>
  <c r="P931" i="11"/>
  <c r="P762" i="43"/>
  <c r="R741" i="11"/>
  <c r="R572" i="43"/>
  <c r="O1008" i="11"/>
  <c r="O839" i="43"/>
  <c r="N756" i="11"/>
  <c r="N587" i="43"/>
  <c r="O736" i="11"/>
  <c r="O567" i="43"/>
  <c r="U588" i="11"/>
  <c r="U451" i="43"/>
  <c r="Q28" i="11"/>
  <c r="Q27" i="43"/>
  <c r="Q33" i="43" s="1"/>
  <c r="T1266" i="43"/>
  <c r="T1480" i="11"/>
  <c r="S233" i="41" s="1"/>
  <c r="T954" i="43"/>
  <c r="T953" i="43" s="1"/>
  <c r="T1123" i="11"/>
  <c r="T1122" i="11" s="1"/>
  <c r="T849" i="43"/>
  <c r="T1018" i="11"/>
  <c r="T528" i="43"/>
  <c r="T521" i="43"/>
  <c r="T523" i="43" s="1"/>
  <c r="K595" i="11"/>
  <c r="K597" i="11" s="1"/>
  <c r="K659" i="11" s="1"/>
  <c r="K660" i="11" s="1"/>
  <c r="K458" i="43"/>
  <c r="K460" i="43" s="1"/>
  <c r="K522" i="43" s="1"/>
  <c r="K523" i="43" s="1"/>
  <c r="N80" i="11"/>
  <c r="N80" i="43"/>
  <c r="U434" i="11"/>
  <c r="U359" i="43"/>
  <c r="R80" i="11"/>
  <c r="R80" i="43"/>
  <c r="S595" i="11"/>
  <c r="S597" i="11" s="1"/>
  <c r="S659" i="11" s="1"/>
  <c r="S458" i="43"/>
  <c r="S460" i="43" s="1"/>
  <c r="S522" i="43" s="1"/>
  <c r="K1475" i="11"/>
  <c r="J69" i="41" s="1"/>
  <c r="K1262" i="43"/>
  <c r="P434" i="11"/>
  <c r="P359" i="43"/>
  <c r="P28" i="11"/>
  <c r="P27" i="43"/>
  <c r="P33" i="43" s="1"/>
  <c r="N1143" i="11"/>
  <c r="N974" i="43"/>
  <c r="M42" i="11"/>
  <c r="M42" i="43"/>
  <c r="M43" i="43" s="1"/>
  <c r="M81" i="43" s="1"/>
  <c r="N1475" i="11"/>
  <c r="M69" i="41" s="1"/>
  <c r="N1262" i="43"/>
  <c r="U931" i="43"/>
  <c r="R1475" i="11"/>
  <c r="Q69" i="41" s="1"/>
  <c r="R1262" i="43"/>
  <c r="V362" i="11"/>
  <c r="V259" i="11" s="1"/>
  <c r="V287" i="43"/>
  <c r="S80" i="11"/>
  <c r="S80" i="43"/>
  <c r="R49" i="23"/>
  <c r="O23" i="11"/>
  <c r="J6" i="50" s="1"/>
  <c r="O22" i="43"/>
  <c r="O42" i="11"/>
  <c r="O42" i="43"/>
  <c r="O43" i="43" s="1"/>
  <c r="O81" i="43" s="1"/>
  <c r="V293" i="11"/>
  <c r="V218" i="43"/>
  <c r="S293" i="11"/>
  <c r="S218" i="43"/>
  <c r="K911" i="43"/>
  <c r="L911" i="43" s="1"/>
  <c r="M911" i="43" s="1"/>
  <c r="N911" i="43" s="1"/>
  <c r="O911" i="43" s="1"/>
  <c r="P911" i="43" s="1"/>
  <c r="Q911" i="43" s="1"/>
  <c r="R911" i="43" s="1"/>
  <c r="S911" i="43" s="1"/>
  <c r="T911" i="43" s="1"/>
  <c r="U911" i="43" s="1"/>
  <c r="V911" i="43" s="1"/>
  <c r="V913" i="43" s="1"/>
  <c r="R751" i="11"/>
  <c r="R582" i="43"/>
  <c r="M405" i="11"/>
  <c r="M330" i="43"/>
  <c r="L756" i="11"/>
  <c r="L587" i="43"/>
  <c r="O1123" i="11"/>
  <c r="O1122" i="11" s="1"/>
  <c r="O954" i="43"/>
  <c r="O953" i="43" s="1"/>
  <c r="P736" i="11"/>
  <c r="P567" i="43"/>
  <c r="O1158" i="11"/>
  <c r="O984" i="43"/>
  <c r="V588" i="11"/>
  <c r="V451" i="43"/>
  <c r="Q1008" i="11"/>
  <c r="Q839" i="43"/>
  <c r="S42" i="11"/>
  <c r="S42" i="43"/>
  <c r="S43" i="43" s="1"/>
  <c r="S81" i="43" s="1"/>
  <c r="U931" i="11"/>
  <c r="U762" i="43"/>
  <c r="P362" i="11"/>
  <c r="P259" i="11" s="1"/>
  <c r="P287" i="43"/>
  <c r="V751" i="11"/>
  <c r="V582" i="43"/>
  <c r="Q267" i="11"/>
  <c r="Q192" i="43"/>
  <c r="S23" i="11"/>
  <c r="N6" i="50" s="1"/>
  <c r="S22" i="43"/>
  <c r="L1013" i="11"/>
  <c r="L844" i="43"/>
  <c r="O405" i="11"/>
  <c r="O330" i="43"/>
  <c r="S588" i="11"/>
  <c r="S451" i="43"/>
  <c r="S1123" i="11"/>
  <c r="S1122" i="11" s="1"/>
  <c r="S954" i="43"/>
  <c r="S953" i="43" s="1"/>
  <c r="S423" i="11"/>
  <c r="S348" i="43"/>
  <c r="K1158" i="11"/>
  <c r="K984" i="43"/>
  <c r="N267" i="11"/>
  <c r="N192" i="43"/>
  <c r="U1476" i="11"/>
  <c r="T110" i="41" s="1"/>
  <c r="U1263" i="43"/>
  <c r="U528" i="43"/>
  <c r="U521" i="43"/>
  <c r="V756" i="11"/>
  <c r="V587" i="43"/>
  <c r="S1480" i="11"/>
  <c r="R233" i="41" s="1"/>
  <c r="S1266" i="43"/>
  <c r="R1123" i="11"/>
  <c r="R1122" i="11" s="1"/>
  <c r="R954" i="43"/>
  <c r="R953" i="43" s="1"/>
  <c r="Q588" i="11"/>
  <c r="Q451" i="43"/>
  <c r="U1018" i="11"/>
  <c r="U849" i="43"/>
  <c r="N751" i="11"/>
  <c r="N582" i="43"/>
  <c r="O934" i="43"/>
  <c r="P930" i="43"/>
  <c r="N1030" i="6"/>
  <c r="N1029" i="6" s="1"/>
  <c r="N1043" i="6" s="1"/>
  <c r="N1042" i="6" s="1"/>
  <c r="M837" i="43"/>
  <c r="P267" i="11"/>
  <c r="P192" i="43"/>
  <c r="P936" i="11"/>
  <c r="P767" i="43"/>
  <c r="V931" i="11"/>
  <c r="V762" i="43"/>
  <c r="L293" i="11"/>
  <c r="L218" i="43"/>
  <c r="Q423" i="11"/>
  <c r="Q348" i="43"/>
  <c r="L434" i="11"/>
  <c r="L359" i="43"/>
  <c r="N1479" i="11"/>
  <c r="M274" i="41" s="1"/>
  <c r="N1265" i="43"/>
  <c r="S1475" i="11"/>
  <c r="R69" i="41" s="1"/>
  <c r="S1262" i="43"/>
  <c r="R434" i="11"/>
  <c r="R359" i="43"/>
  <c r="M362" i="11"/>
  <c r="M259" i="11" s="1"/>
  <c r="M287" i="43"/>
  <c r="O362" i="11"/>
  <c r="O259" i="11" s="1"/>
  <c r="O287" i="43"/>
  <c r="L80" i="11"/>
  <c r="L80" i="43"/>
  <c r="S1095" i="11"/>
  <c r="M32" i="40" s="1"/>
  <c r="S926" i="43"/>
  <c r="R736" i="11"/>
  <c r="R567" i="43"/>
  <c r="O741" i="11"/>
  <c r="O572" i="43"/>
  <c r="U1479" i="11"/>
  <c r="T274" i="41" s="1"/>
  <c r="U1265" i="43"/>
  <c r="U267" i="11"/>
  <c r="U192" i="43"/>
  <c r="M1123" i="11"/>
  <c r="M1122" i="11" s="1"/>
  <c r="M954" i="43"/>
  <c r="M953" i="43" s="1"/>
  <c r="L751" i="11"/>
  <c r="L582" i="43"/>
  <c r="L946" i="43"/>
  <c r="V946" i="43"/>
  <c r="P1158" i="11"/>
  <c r="P984" i="43"/>
  <c r="K946" i="43"/>
  <c r="R636" i="11"/>
  <c r="R499" i="43"/>
  <c r="M1018" i="11"/>
  <c r="M849" i="43"/>
  <c r="N1095" i="11"/>
  <c r="H32" i="40" s="1"/>
  <c r="N926" i="43"/>
  <c r="N746" i="11"/>
  <c r="N577" i="43"/>
  <c r="R1143" i="11"/>
  <c r="R974" i="43"/>
  <c r="Q931" i="11"/>
  <c r="Q762" i="43"/>
  <c r="O931" i="11"/>
  <c r="O762" i="43"/>
  <c r="V945" i="43"/>
  <c r="P1023" i="11"/>
  <c r="P854" i="43"/>
  <c r="N931" i="11"/>
  <c r="N762" i="43"/>
  <c r="O1476" i="11"/>
  <c r="N110" i="41" s="1"/>
  <c r="O1263" i="43"/>
  <c r="N423" i="11"/>
  <c r="N348" i="43"/>
  <c r="V1479" i="11"/>
  <c r="U274" i="41" s="1"/>
  <c r="V1265" i="43"/>
  <c r="O1475" i="11"/>
  <c r="N69" i="41" s="1"/>
  <c r="O1262" i="43"/>
  <c r="N434" i="11"/>
  <c r="N359" i="43"/>
  <c r="K362" i="11"/>
  <c r="K259" i="11" s="1"/>
  <c r="K287" i="43"/>
  <c r="K916" i="43"/>
  <c r="L916" i="43" s="1"/>
  <c r="M916" i="43" s="1"/>
  <c r="N916" i="43" s="1"/>
  <c r="O916" i="43" s="1"/>
  <c r="P916" i="43" s="1"/>
  <c r="Q916" i="43" s="1"/>
  <c r="R916" i="43" s="1"/>
  <c r="S916" i="43" s="1"/>
  <c r="T916" i="43" s="1"/>
  <c r="U916" i="43" s="1"/>
  <c r="V916" i="43" s="1"/>
  <c r="V918" i="43" s="1"/>
  <c r="O665" i="11"/>
  <c r="O521" i="43"/>
  <c r="O528" i="43"/>
  <c r="N588" i="11"/>
  <c r="N451" i="43"/>
  <c r="M1143" i="11"/>
  <c r="M974" i="43"/>
  <c r="P858" i="11"/>
  <c r="P689" i="43"/>
  <c r="N736" i="11"/>
  <c r="N567" i="43"/>
  <c r="N858" i="11"/>
  <c r="N689" i="43"/>
  <c r="L736" i="11"/>
  <c r="L567" i="43"/>
  <c r="R405" i="11"/>
  <c r="R330" i="43"/>
  <c r="L746" i="11"/>
  <c r="L577" i="43"/>
  <c r="R756" i="11"/>
  <c r="R587" i="43"/>
  <c r="N405" i="11"/>
  <c r="N330" i="43"/>
  <c r="O946" i="43"/>
  <c r="L1095" i="11"/>
  <c r="F32" i="40" s="1"/>
  <c r="L926" i="43"/>
  <c r="L928" i="43" s="1"/>
  <c r="V736" i="11"/>
  <c r="V567" i="43"/>
  <c r="T434" i="11"/>
  <c r="V1143" i="11"/>
  <c r="V974" i="43"/>
  <c r="R423" i="11"/>
  <c r="R348" i="43"/>
  <c r="V936" i="11"/>
  <c r="V767" i="43"/>
  <c r="U595" i="11"/>
  <c r="U597" i="11" s="1"/>
  <c r="U659" i="11" s="1"/>
  <c r="U458" i="43"/>
  <c r="U460" i="43" s="1"/>
  <c r="U522" i="43" s="1"/>
  <c r="R946" i="43"/>
  <c r="N936" i="11"/>
  <c r="N767" i="43"/>
  <c r="N741" i="11"/>
  <c r="N572" i="43"/>
  <c r="N927" i="43"/>
  <c r="O925" i="43"/>
  <c r="P405" i="11"/>
  <c r="P330" i="43"/>
  <c r="H35" i="40"/>
  <c r="N945" i="43"/>
  <c r="V1018" i="11"/>
  <c r="V849" i="43"/>
  <c r="L588" i="11"/>
  <c r="L451" i="43"/>
  <c r="K1480" i="11"/>
  <c r="J233" i="41" s="1"/>
  <c r="K1266" i="43"/>
  <c r="L1476" i="11"/>
  <c r="K110" i="41" s="1"/>
  <c r="L1263" i="43"/>
  <c r="V1480" i="11"/>
  <c r="U233" i="41" s="1"/>
  <c r="V1266" i="43"/>
  <c r="P1475" i="11"/>
  <c r="O69" i="41" s="1"/>
  <c r="P1262" i="43"/>
  <c r="V434" i="11"/>
  <c r="V359" i="43"/>
  <c r="R28" i="11"/>
  <c r="R27" i="43"/>
  <c r="R33" i="43" s="1"/>
  <c r="S362" i="11"/>
  <c r="S259" i="11" s="1"/>
  <c r="S287" i="43"/>
  <c r="P80" i="11"/>
  <c r="P80" i="43"/>
  <c r="P634" i="43"/>
  <c r="Q634" i="43" s="1"/>
  <c r="R634" i="43" s="1"/>
  <c r="S634" i="43" s="1"/>
  <c r="T634" i="43" s="1"/>
  <c r="U634" i="43" s="1"/>
  <c r="V634" i="43" s="1"/>
  <c r="V636" i="43" s="1"/>
  <c r="N1123" i="11"/>
  <c r="N1122" i="11" s="1"/>
  <c r="N954" i="43"/>
  <c r="N953" i="43" s="1"/>
  <c r="R293" i="11"/>
  <c r="R218" i="43"/>
  <c r="K906" i="43"/>
  <c r="L906" i="43" s="1"/>
  <c r="M906" i="43" s="1"/>
  <c r="N906" i="43" s="1"/>
  <c r="O906" i="43" s="1"/>
  <c r="P906" i="43" s="1"/>
  <c r="Q906" i="43" s="1"/>
  <c r="R906" i="43" s="1"/>
  <c r="S906" i="43" s="1"/>
  <c r="T906" i="43" s="1"/>
  <c r="U906" i="43" s="1"/>
  <c r="V906" i="43" s="1"/>
  <c r="V908" i="43" s="1"/>
  <c r="R267" i="11"/>
  <c r="R192" i="43"/>
  <c r="L636" i="11"/>
  <c r="L499" i="43"/>
  <c r="S751" i="11"/>
  <c r="S582" i="43"/>
  <c r="L858" i="11"/>
  <c r="L689" i="43"/>
  <c r="K665" i="11"/>
  <c r="K528" i="43"/>
  <c r="K858" i="11"/>
  <c r="K689" i="43"/>
  <c r="V858" i="11"/>
  <c r="V689" i="43"/>
  <c r="R1095" i="11"/>
  <c r="L32" i="40" s="1"/>
  <c r="R926" i="43"/>
  <c r="V658" i="11"/>
  <c r="V528" i="43"/>
  <c r="V521" i="43"/>
  <c r="U1143" i="11"/>
  <c r="U974" i="43"/>
  <c r="Q1480" i="11"/>
  <c r="P233" i="41" s="1"/>
  <c r="Q1266" i="43"/>
  <c r="M931" i="11"/>
  <c r="M762" i="43"/>
  <c r="U1158" i="11"/>
  <c r="U984" i="43"/>
  <c r="U1095" i="11"/>
  <c r="U926" i="43"/>
  <c r="Q858" i="11"/>
  <c r="Q689" i="43"/>
  <c r="U756" i="11"/>
  <c r="U587" i="43"/>
  <c r="M521" i="43"/>
  <c r="M528" i="43"/>
  <c r="Q936" i="11"/>
  <c r="Q767" i="43"/>
  <c r="N1018" i="11"/>
  <c r="N849" i="43"/>
  <c r="M1475" i="11"/>
  <c r="L69" i="41" s="1"/>
  <c r="M1262" i="43"/>
  <c r="M595" i="11"/>
  <c r="M597" i="11" s="1"/>
  <c r="M659" i="11" s="1"/>
  <c r="M458" i="43"/>
  <c r="M460" i="43" s="1"/>
  <c r="M522" i="43" s="1"/>
  <c r="P1480" i="11"/>
  <c r="O233" i="41" s="1"/>
  <c r="P1266" i="43"/>
  <c r="R1479" i="11"/>
  <c r="Q274" i="41" s="1"/>
  <c r="R1265" i="43"/>
  <c r="O434" i="11"/>
  <c r="O359" i="43"/>
  <c r="L362" i="11"/>
  <c r="L259" i="11" s="1"/>
  <c r="L287" i="43"/>
  <c r="S756" i="11"/>
  <c r="S587" i="43"/>
  <c r="P1123" i="11"/>
  <c r="P1122" i="11" s="1"/>
  <c r="P954" i="43"/>
  <c r="P953" i="43" s="1"/>
  <c r="N1023" i="11"/>
  <c r="N854" i="43"/>
  <c r="O293" i="11"/>
  <c r="O218" i="43"/>
  <c r="U405" i="11"/>
  <c r="U330" i="43"/>
  <c r="V267" i="11"/>
  <c r="V192" i="43"/>
  <c r="S405" i="11"/>
  <c r="S330" i="43"/>
  <c r="U858" i="11"/>
  <c r="U689" i="43"/>
  <c r="K485" i="43"/>
  <c r="L485" i="43" s="1"/>
  <c r="M485" i="43" s="1"/>
  <c r="N485" i="43" s="1"/>
  <c r="O485" i="43" s="1"/>
  <c r="P485" i="43" s="1"/>
  <c r="Q485" i="43" s="1"/>
  <c r="R485" i="43" s="1"/>
  <c r="S485" i="43" s="1"/>
  <c r="T485" i="43" s="1"/>
  <c r="U485" i="43" s="1"/>
  <c r="V485" i="43" s="1"/>
  <c r="V486" i="43" s="1"/>
  <c r="U42" i="11"/>
  <c r="U42" i="43"/>
  <c r="U43" i="43" s="1"/>
  <c r="U81" i="43" s="1"/>
  <c r="K756" i="11"/>
  <c r="K587" i="43"/>
  <c r="L891" i="43"/>
  <c r="M891" i="43" s="1"/>
  <c r="N891" i="43" s="1"/>
  <c r="O891" i="43" s="1"/>
  <c r="P891" i="43" s="1"/>
  <c r="Q891" i="43" s="1"/>
  <c r="R891" i="43" s="1"/>
  <c r="S891" i="43" s="1"/>
  <c r="T891" i="43" s="1"/>
  <c r="U891" i="43" s="1"/>
  <c r="V891" i="43" s="1"/>
  <c r="V893" i="43" s="1"/>
  <c r="T1475" i="11"/>
  <c r="S69" i="41" s="1"/>
  <c r="V746" i="11"/>
  <c r="V577" i="43"/>
  <c r="U936" i="11"/>
  <c r="U767" i="43"/>
  <c r="M1158" i="11"/>
  <c r="M984" i="43"/>
  <c r="M926" i="43"/>
  <c r="K750" i="43"/>
  <c r="L750" i="43" s="1"/>
  <c r="M750" i="43" s="1"/>
  <c r="N750" i="43" s="1"/>
  <c r="O750" i="43" s="1"/>
  <c r="P750" i="43" s="1"/>
  <c r="Q750" i="43" s="1"/>
  <c r="R750" i="43" s="1"/>
  <c r="S750" i="43" s="1"/>
  <c r="T750" i="43" s="1"/>
  <c r="U750" i="43" s="1"/>
  <c r="V750" i="43" s="1"/>
  <c r="V752" i="43" s="1"/>
  <c r="M756" i="11"/>
  <c r="M587" i="43"/>
  <c r="P1143" i="11"/>
  <c r="P974" i="43"/>
  <c r="U362" i="11"/>
  <c r="U259" i="11" s="1"/>
  <c r="U287" i="43"/>
  <c r="N42" i="11"/>
  <c r="N42" i="43"/>
  <c r="N43" i="43" s="1"/>
  <c r="N81" i="43" s="1"/>
  <c r="V1475" i="11"/>
  <c r="U69" i="41" s="1"/>
  <c r="V1262" i="43"/>
  <c r="O80" i="11"/>
  <c r="O80" i="43"/>
  <c r="L1480" i="11"/>
  <c r="K233" i="41" s="1"/>
  <c r="L1266" i="43"/>
  <c r="K1479" i="11"/>
  <c r="J274" i="41" s="1"/>
  <c r="K1265" i="43"/>
  <c r="N362" i="11"/>
  <c r="N259" i="11" s="1"/>
  <c r="N287" i="43"/>
  <c r="T1479" i="11"/>
  <c r="S274" i="41" s="1"/>
  <c r="K896" i="43"/>
  <c r="L896" i="43" s="1"/>
  <c r="M896" i="43" s="1"/>
  <c r="N896" i="43" s="1"/>
  <c r="O896" i="43" s="1"/>
  <c r="P896" i="43" s="1"/>
  <c r="Q896" i="43" s="1"/>
  <c r="R896" i="43" s="1"/>
  <c r="S896" i="43" s="1"/>
  <c r="T896" i="43" s="1"/>
  <c r="U896" i="43" s="1"/>
  <c r="V896" i="43" s="1"/>
  <c r="V898" i="43" s="1"/>
  <c r="M858" i="11"/>
  <c r="M689" i="43"/>
  <c r="S746" i="11"/>
  <c r="S577" i="43"/>
  <c r="K503" i="43"/>
  <c r="L503" i="43" s="1"/>
  <c r="M503" i="43" s="1"/>
  <c r="N503" i="43" s="1"/>
  <c r="O503" i="43" s="1"/>
  <c r="P503" i="43" s="1"/>
  <c r="Q503" i="43" s="1"/>
  <c r="R503" i="43" s="1"/>
  <c r="S503" i="43" s="1"/>
  <c r="T503" i="43" s="1"/>
  <c r="U503" i="43" s="1"/>
  <c r="V503" i="43" s="1"/>
  <c r="V504" i="43" s="1"/>
  <c r="U938" i="43"/>
  <c r="K672" i="43"/>
  <c r="L672" i="43" s="1"/>
  <c r="M672" i="43" s="1"/>
  <c r="N672" i="43" s="1"/>
  <c r="O672" i="43" s="1"/>
  <c r="P672" i="43" s="1"/>
  <c r="Q672" i="43" s="1"/>
  <c r="R672" i="43" s="1"/>
  <c r="S672" i="43" s="1"/>
  <c r="T672" i="43" s="1"/>
  <c r="U672" i="43" s="1"/>
  <c r="V672" i="43" s="1"/>
  <c r="V674" i="43" s="1"/>
  <c r="R588" i="11"/>
  <c r="R451" i="43"/>
  <c r="S267" i="11"/>
  <c r="S192" i="43"/>
  <c r="U23" i="11"/>
  <c r="U22" i="43"/>
  <c r="R1013" i="11"/>
  <c r="R844" i="43"/>
  <c r="S858" i="11"/>
  <c r="S689" i="43"/>
  <c r="O751" i="11"/>
  <c r="O582" i="43"/>
  <c r="K423" i="11"/>
  <c r="K348" i="43"/>
  <c r="O1023" i="11"/>
  <c r="O854" i="43"/>
  <c r="M267" i="11"/>
  <c r="M192" i="43"/>
  <c r="M936" i="11"/>
  <c r="M767" i="43"/>
  <c r="T936" i="11"/>
  <c r="S1143" i="11"/>
  <c r="S974" i="43"/>
  <c r="T1023" i="11"/>
  <c r="U751" i="11"/>
  <c r="U582" i="43"/>
  <c r="Q945" i="43"/>
  <c r="R1008" i="11"/>
  <c r="R839" i="43"/>
  <c r="V42" i="11"/>
  <c r="V42" i="43"/>
  <c r="V43" i="43" s="1"/>
  <c r="V81" i="43" s="1"/>
  <c r="M434" i="11"/>
  <c r="M359" i="43"/>
  <c r="S1479" i="11"/>
  <c r="R274" i="41" s="1"/>
  <c r="S1265" i="43"/>
  <c r="V423" i="11"/>
  <c r="V348" i="43"/>
  <c r="V80" i="11"/>
  <c r="V80" i="43"/>
  <c r="L741" i="11"/>
  <c r="L572" i="43"/>
  <c r="O636" i="11"/>
  <c r="O499" i="43"/>
  <c r="N658" i="11"/>
  <c r="N521" i="43"/>
  <c r="N528" i="43"/>
  <c r="N946" i="43"/>
  <c r="U1013" i="11"/>
  <c r="U844" i="43"/>
  <c r="V1123" i="11"/>
  <c r="V1122" i="11" s="1"/>
  <c r="V954" i="43"/>
  <c r="V953" i="43" s="1"/>
  <c r="V1023" i="11"/>
  <c r="V854" i="43"/>
  <c r="K741" i="11"/>
  <c r="K572" i="43"/>
  <c r="P946" i="43"/>
  <c r="M1013" i="11"/>
  <c r="M844" i="43"/>
  <c r="S434" i="11"/>
  <c r="S359" i="43"/>
  <c r="V28" i="11"/>
  <c r="V33" i="11" s="1"/>
  <c r="V27" i="43"/>
  <c r="V33" i="43" s="1"/>
  <c r="U80" i="11"/>
  <c r="U80" i="43"/>
  <c r="U1023" i="11"/>
  <c r="U854" i="43"/>
  <c r="R858" i="11"/>
  <c r="R689" i="43"/>
  <c r="Q1013" i="11"/>
  <c r="Q844" i="43"/>
  <c r="N1158" i="11"/>
  <c r="N984" i="43"/>
  <c r="L936" i="11"/>
  <c r="L767" i="43"/>
  <c r="K1143" i="11"/>
  <c r="K974" i="43"/>
  <c r="L1023" i="11"/>
  <c r="L854" i="43"/>
  <c r="K745" i="43"/>
  <c r="L745" i="43" s="1"/>
  <c r="M745" i="43" s="1"/>
  <c r="N745" i="43" s="1"/>
  <c r="O745" i="43" s="1"/>
  <c r="P745" i="43" s="1"/>
  <c r="Q745" i="43" s="1"/>
  <c r="R745" i="43" s="1"/>
  <c r="S745" i="43" s="1"/>
  <c r="T745" i="43" s="1"/>
  <c r="U745" i="43" s="1"/>
  <c r="V745" i="43" s="1"/>
  <c r="V747" i="43" s="1"/>
  <c r="M751" i="11"/>
  <c r="M582" i="43"/>
  <c r="I35" i="40"/>
  <c r="O945" i="43"/>
  <c r="F765" i="11"/>
  <c r="F596" i="43"/>
  <c r="Q528" i="43"/>
  <c r="Q521" i="43"/>
  <c r="O423" i="11"/>
  <c r="O348" i="43"/>
  <c r="S247" i="43"/>
  <c r="T247" i="43" s="1"/>
  <c r="U247" i="43" s="1"/>
  <c r="V247" i="43" s="1"/>
  <c r="V249" i="43" s="1"/>
  <c r="K28" i="11"/>
  <c r="K27" i="43"/>
  <c r="K33" i="43" s="1"/>
  <c r="Q362" i="11"/>
  <c r="Q259" i="11" s="1"/>
  <c r="Q287" i="43"/>
  <c r="N1476" i="11"/>
  <c r="M110" i="41" s="1"/>
  <c r="N1263" i="43"/>
  <c r="P423" i="11"/>
  <c r="P348" i="43"/>
  <c r="K80" i="11"/>
  <c r="K80" i="43"/>
  <c r="O1480" i="11"/>
  <c r="N233" i="41" s="1"/>
  <c r="O1266" i="43"/>
  <c r="L1158" i="11"/>
  <c r="L984" i="43"/>
  <c r="S1023" i="11"/>
  <c r="S854" i="43"/>
  <c r="K736" i="11"/>
  <c r="K567" i="43"/>
  <c r="J35" i="40"/>
  <c r="P945" i="43"/>
  <c r="K1013" i="11"/>
  <c r="K844" i="43"/>
  <c r="S658" i="11"/>
  <c r="S528" i="43"/>
  <c r="S521" i="43"/>
  <c r="L1123" i="11"/>
  <c r="L1122" i="11" s="1"/>
  <c r="L954" i="43"/>
  <c r="L953" i="43" s="1"/>
  <c r="O1013" i="11"/>
  <c r="O844" i="43"/>
  <c r="K42" i="11"/>
  <c r="K42" i="43"/>
  <c r="K43" i="43" s="1"/>
  <c r="K81" i="43" s="1"/>
  <c r="R1023" i="11"/>
  <c r="R854" i="43"/>
  <c r="L665" i="11"/>
  <c r="L528" i="43"/>
  <c r="M588" i="11"/>
  <c r="M451" i="43"/>
  <c r="K667" i="43"/>
  <c r="L667" i="43" s="1"/>
  <c r="M667" i="43" s="1"/>
  <c r="N667" i="43" s="1"/>
  <c r="O667" i="43" s="1"/>
  <c r="P667" i="43" s="1"/>
  <c r="Q667" i="43" s="1"/>
  <c r="R667" i="43" s="1"/>
  <c r="S667" i="43" s="1"/>
  <c r="T667" i="43" s="1"/>
  <c r="U667" i="43" s="1"/>
  <c r="V667" i="43" s="1"/>
  <c r="V669" i="43" s="1"/>
  <c r="K803" i="43"/>
  <c r="L803" i="43" s="1"/>
  <c r="M803" i="43" s="1"/>
  <c r="N803" i="43" s="1"/>
  <c r="O803" i="43" s="1"/>
  <c r="P803" i="43" s="1"/>
  <c r="Q803" i="43" s="1"/>
  <c r="R803" i="43" s="1"/>
  <c r="S803" i="43" s="1"/>
  <c r="T803" i="43" s="1"/>
  <c r="U803" i="43" s="1"/>
  <c r="V803" i="43" s="1"/>
  <c r="V805" i="43" s="1"/>
  <c r="Q1475" i="11"/>
  <c r="P69" i="41" s="1"/>
  <c r="Q1262" i="43"/>
  <c r="K1095" i="11"/>
  <c r="E32" i="40" s="1"/>
  <c r="K926" i="43"/>
  <c r="K928" i="43" s="1"/>
  <c r="J113" i="43"/>
  <c r="K113" i="43"/>
  <c r="L113" i="43"/>
  <c r="M113" i="43"/>
  <c r="N113" i="43"/>
  <c r="O113" i="43"/>
  <c r="P113" i="43"/>
  <c r="Q113" i="43"/>
  <c r="R113" i="43"/>
  <c r="S113" i="43"/>
  <c r="T113" i="43"/>
  <c r="U113" i="43"/>
  <c r="V113" i="43"/>
  <c r="T1143" i="11"/>
  <c r="S931" i="11"/>
  <c r="S762" i="43"/>
  <c r="Q1123" i="11"/>
  <c r="Q1122" i="11" s="1"/>
  <c r="Q954" i="43"/>
  <c r="Q953" i="43" s="1"/>
  <c r="R1018" i="11"/>
  <c r="R849" i="43"/>
  <c r="U746" i="11"/>
  <c r="U577" i="43"/>
  <c r="M636" i="11"/>
  <c r="M499" i="43"/>
  <c r="P293" i="11"/>
  <c r="P218" i="43"/>
  <c r="Q1095" i="11"/>
  <c r="K32" i="40" s="1"/>
  <c r="Q926" i="43"/>
  <c r="Q756" i="11"/>
  <c r="Q587" i="43"/>
  <c r="T405" i="11"/>
  <c r="R42" i="11"/>
  <c r="R42" i="43"/>
  <c r="R43" i="43" s="1"/>
  <c r="R81" i="43" s="1"/>
  <c r="M1476" i="11"/>
  <c r="L110" i="41" s="1"/>
  <c r="M1263" i="43"/>
  <c r="U1480" i="11"/>
  <c r="T233" i="41" s="1"/>
  <c r="U1266" i="43"/>
  <c r="V1476" i="11"/>
  <c r="U110" i="41" s="1"/>
  <c r="V1263" i="43"/>
  <c r="L423" i="11"/>
  <c r="L348" i="43"/>
  <c r="P595" i="11"/>
  <c r="P597" i="11" s="1"/>
  <c r="P659" i="11" s="1"/>
  <c r="P458" i="43"/>
  <c r="P460" i="43" s="1"/>
  <c r="P522" i="43" s="1"/>
  <c r="U1123" i="11"/>
  <c r="U1122" i="11" s="1"/>
  <c r="U954" i="43"/>
  <c r="U953" i="43" s="1"/>
  <c r="P941" i="43"/>
  <c r="Q937" i="43"/>
  <c r="P1008" i="11"/>
  <c r="P839" i="43"/>
  <c r="P665" i="11"/>
  <c r="P528" i="43"/>
  <c r="P521" i="43"/>
  <c r="K23" i="11"/>
  <c r="F6" i="50" s="1"/>
  <c r="K22" i="43"/>
  <c r="L931" i="11"/>
  <c r="L762" i="43"/>
  <c r="U946" i="43"/>
  <c r="K1023" i="11"/>
  <c r="K854" i="43"/>
  <c r="K588" i="11"/>
  <c r="K451" i="43"/>
  <c r="K874" i="43"/>
  <c r="L874" i="43" s="1"/>
  <c r="M874" i="43" s="1"/>
  <c r="N874" i="43" s="1"/>
  <c r="O874" i="43" s="1"/>
  <c r="P874" i="43" s="1"/>
  <c r="Q874" i="43" s="1"/>
  <c r="R874" i="43" s="1"/>
  <c r="S874" i="43" s="1"/>
  <c r="T874" i="43" s="1"/>
  <c r="U874" i="43" s="1"/>
  <c r="V874" i="43" s="1"/>
  <c r="V876" i="43" s="1"/>
  <c r="L786" i="43"/>
  <c r="M786" i="43" s="1"/>
  <c r="N786" i="43" s="1"/>
  <c r="O786" i="43" s="1"/>
  <c r="P786" i="43" s="1"/>
  <c r="Q786" i="43" s="1"/>
  <c r="R786" i="43" s="1"/>
  <c r="S786" i="43" s="1"/>
  <c r="T786" i="43" s="1"/>
  <c r="U786" i="43" s="1"/>
  <c r="V786" i="43" s="1"/>
  <c r="V788" i="43" s="1"/>
  <c r="Q405" i="11"/>
  <c r="Q330" i="43"/>
  <c r="V1095" i="11"/>
  <c r="V926" i="43"/>
  <c r="Q293" i="11"/>
  <c r="Q218" i="43"/>
  <c r="V741" i="11"/>
  <c r="V572" i="43"/>
  <c r="L1143" i="11"/>
  <c r="L974" i="43"/>
  <c r="K931" i="11"/>
  <c r="K762" i="43"/>
  <c r="K740" i="43"/>
  <c r="L740" i="43" s="1"/>
  <c r="M740" i="43" s="1"/>
  <c r="N740" i="43" s="1"/>
  <c r="O740" i="43" s="1"/>
  <c r="P740" i="43" s="1"/>
  <c r="Q740" i="43" s="1"/>
  <c r="R740" i="43" s="1"/>
  <c r="S740" i="43" s="1"/>
  <c r="T740" i="43" s="1"/>
  <c r="U740" i="43" s="1"/>
  <c r="V740" i="43" s="1"/>
  <c r="V742" i="43" s="1"/>
  <c r="M746" i="11"/>
  <c r="M577" i="43"/>
  <c r="Q751" i="11"/>
  <c r="Q582" i="43"/>
  <c r="L405" i="11"/>
  <c r="L330" i="43"/>
  <c r="L267" i="11"/>
  <c r="L192" i="43"/>
  <c r="M28" i="11"/>
  <c r="M27" i="43"/>
  <c r="M33" i="43" s="1"/>
  <c r="Q80" i="11"/>
  <c r="Q80" i="43"/>
  <c r="N595" i="11"/>
  <c r="N597" i="11" s="1"/>
  <c r="N659" i="11" s="1"/>
  <c r="N458" i="43"/>
  <c r="N460" i="43" s="1"/>
  <c r="N522" i="43" s="1"/>
  <c r="T423" i="11"/>
  <c r="K1123" i="11"/>
  <c r="K1122" i="11" s="1"/>
  <c r="K954" i="43"/>
  <c r="K953" i="43" s="1"/>
  <c r="N1013" i="11"/>
  <c r="N844" i="43"/>
  <c r="V938" i="43"/>
  <c r="S636" i="11"/>
  <c r="S499" i="43"/>
  <c r="P42" i="11"/>
  <c r="P42" i="43"/>
  <c r="P43" i="43" s="1"/>
  <c r="P81" i="43" s="1"/>
  <c r="K480" i="43"/>
  <c r="L480" i="43" s="1"/>
  <c r="M480" i="43" s="1"/>
  <c r="N480" i="43" s="1"/>
  <c r="O480" i="43" s="1"/>
  <c r="P480" i="43" s="1"/>
  <c r="Q480" i="43" s="1"/>
  <c r="R480" i="43" s="1"/>
  <c r="S480" i="43" s="1"/>
  <c r="T480" i="43" s="1"/>
  <c r="U480" i="43" s="1"/>
  <c r="V480" i="43" s="1"/>
  <c r="V482" i="43" s="1"/>
  <c r="P756" i="11"/>
  <c r="P587" i="43"/>
  <c r="K370" i="43"/>
  <c r="K373" i="43" s="1"/>
  <c r="K446" i="11"/>
  <c r="V1013" i="11"/>
  <c r="V844" i="43"/>
  <c r="N49" i="23"/>
  <c r="N147" i="23" s="1"/>
  <c r="K751" i="11"/>
  <c r="K582" i="43"/>
  <c r="M1023" i="11"/>
  <c r="M854" i="43"/>
  <c r="U741" i="11"/>
  <c r="U572" i="43"/>
  <c r="Q746" i="11"/>
  <c r="Q577" i="43"/>
  <c r="N1480" i="11"/>
  <c r="M233" i="41" s="1"/>
  <c r="N1266" i="43"/>
  <c r="L1475" i="11"/>
  <c r="K69" i="41" s="1"/>
  <c r="L1262" i="43"/>
  <c r="V595" i="11"/>
  <c r="V597" i="11" s="1"/>
  <c r="V659" i="11" s="1"/>
  <c r="V458" i="43"/>
  <c r="V460" i="43" s="1"/>
  <c r="V522" i="43" s="1"/>
  <c r="R1476" i="11"/>
  <c r="Q110" i="41" s="1"/>
  <c r="R1263" i="43"/>
  <c r="M80" i="11"/>
  <c r="M80" i="43"/>
  <c r="U665" i="11"/>
  <c r="M423" i="11"/>
  <c r="M348" i="43"/>
  <c r="P1479" i="11"/>
  <c r="O274" i="41" s="1"/>
  <c r="P1265" i="43"/>
  <c r="S946" i="43"/>
  <c r="S947" i="43" s="1"/>
  <c r="S978" i="43" s="1"/>
  <c r="L1008" i="11"/>
  <c r="L839" i="43"/>
  <c r="L840" i="43" s="1"/>
  <c r="K652" i="43"/>
  <c r="L652" i="43" s="1"/>
  <c r="M652" i="43" s="1"/>
  <c r="N652" i="43" s="1"/>
  <c r="O652" i="43" s="1"/>
  <c r="P652" i="43" s="1"/>
  <c r="Q652" i="43" s="1"/>
  <c r="R652" i="43" s="1"/>
  <c r="S652" i="43" s="1"/>
  <c r="T652" i="43" s="1"/>
  <c r="U652" i="43" s="1"/>
  <c r="V652" i="43" s="1"/>
  <c r="V654" i="43" s="1"/>
  <c r="N636" i="11"/>
  <c r="N499" i="43"/>
  <c r="L1018" i="11"/>
  <c r="L849" i="43"/>
  <c r="L850" i="43" s="1"/>
  <c r="T1008" i="11"/>
  <c r="V405" i="11"/>
  <c r="V330" i="43"/>
  <c r="F1126" i="11"/>
  <c r="F957" i="43"/>
  <c r="F962" i="43" s="1"/>
  <c r="F967" i="43" s="1"/>
  <c r="S1018" i="11"/>
  <c r="S849" i="43"/>
  <c r="Q946" i="43"/>
  <c r="P1013" i="11"/>
  <c r="P844" i="43"/>
  <c r="K735" i="43"/>
  <c r="L735" i="43" s="1"/>
  <c r="M735" i="43" s="1"/>
  <c r="N735" i="43" s="1"/>
  <c r="O735" i="43" s="1"/>
  <c r="P735" i="43" s="1"/>
  <c r="Q735" i="43" s="1"/>
  <c r="R735" i="43" s="1"/>
  <c r="S735" i="43" s="1"/>
  <c r="T735" i="43" s="1"/>
  <c r="U735" i="43" s="1"/>
  <c r="V735" i="43" s="1"/>
  <c r="V737" i="43" s="1"/>
  <c r="M741" i="11"/>
  <c r="M572" i="43"/>
  <c r="Q1018" i="11"/>
  <c r="Q849" i="43"/>
  <c r="Q1023" i="11"/>
  <c r="Q854" i="43"/>
  <c r="Q741" i="11"/>
  <c r="Q572" i="43"/>
  <c r="Q636" i="11"/>
  <c r="Q499" i="43"/>
  <c r="O595" i="11"/>
  <c r="O597" i="11" s="1"/>
  <c r="O659" i="11" s="1"/>
  <c r="O458" i="43"/>
  <c r="O460" i="43" s="1"/>
  <c r="O522" i="43" s="1"/>
  <c r="S28" i="11"/>
  <c r="S27" i="43"/>
  <c r="S33" i="43" s="1"/>
  <c r="R362" i="11"/>
  <c r="R259" i="11" s="1"/>
  <c r="R287" i="43"/>
  <c r="R23" i="11"/>
  <c r="M6" i="50" s="1"/>
  <c r="R22" i="43"/>
  <c r="K1476" i="11"/>
  <c r="J110" i="41" s="1"/>
  <c r="K1263" i="43"/>
  <c r="U658" i="11"/>
  <c r="U423" i="11"/>
  <c r="U348" i="43"/>
  <c r="Q434" i="11"/>
  <c r="Q359" i="43"/>
  <c r="K491" i="43"/>
  <c r="L491" i="43" s="1"/>
  <c r="M491" i="43" s="1"/>
  <c r="N491" i="43" s="1"/>
  <c r="O491" i="43" s="1"/>
  <c r="P491" i="43" s="1"/>
  <c r="Q491" i="43" s="1"/>
  <c r="R491" i="43" s="1"/>
  <c r="S491" i="43" s="1"/>
  <c r="T491" i="43" s="1"/>
  <c r="U491" i="43" s="1"/>
  <c r="V491" i="43" s="1"/>
  <c r="V492" i="43" s="1"/>
  <c r="T858" i="11"/>
  <c r="O756" i="11"/>
  <c r="O587" i="43"/>
  <c r="S1013" i="11"/>
  <c r="S844" i="43"/>
  <c r="K267" i="11"/>
  <c r="K192" i="43"/>
  <c r="M293" i="11"/>
  <c r="M218" i="43"/>
  <c r="K293" i="11"/>
  <c r="K218" i="43"/>
  <c r="M23" i="11"/>
  <c r="H6" i="50" s="1"/>
  <c r="M22" i="43"/>
  <c r="L42" i="11"/>
  <c r="L42" i="43"/>
  <c r="L43" i="43" s="1"/>
  <c r="L81" i="43" s="1"/>
  <c r="S741" i="11"/>
  <c r="S572" i="43"/>
  <c r="P751" i="11"/>
  <c r="P582" i="43"/>
  <c r="K405" i="11"/>
  <c r="K330" i="43"/>
  <c r="K196" i="43"/>
  <c r="L196" i="43" s="1"/>
  <c r="M196" i="43" s="1"/>
  <c r="N196" i="43" s="1"/>
  <c r="O196" i="43" s="1"/>
  <c r="P196" i="43" s="1"/>
  <c r="Q196" i="43" s="1"/>
  <c r="R196" i="43" s="1"/>
  <c r="S196" i="43" s="1"/>
  <c r="T196" i="43" s="1"/>
  <c r="U196" i="43" s="1"/>
  <c r="V196" i="43" s="1"/>
  <c r="V198" i="43" s="1"/>
  <c r="M946" i="43"/>
  <c r="O267" i="11"/>
  <c r="O192" i="43"/>
  <c r="T945" i="43"/>
  <c r="K1018" i="11"/>
  <c r="K849" i="43"/>
  <c r="K850" i="43" s="1"/>
  <c r="V1008" i="11"/>
  <c r="V839" i="43"/>
  <c r="S936" i="11"/>
  <c r="S767" i="43"/>
  <c r="U736" i="11"/>
  <c r="U567" i="43"/>
  <c r="U1008" i="11"/>
  <c r="U839" i="43"/>
  <c r="O1018" i="11"/>
  <c r="O849" i="43"/>
  <c r="Q736" i="11"/>
  <c r="Q567" i="43"/>
  <c r="L28" i="11"/>
  <c r="L27" i="43"/>
  <c r="L33" i="43" s="1"/>
  <c r="N23" i="11"/>
  <c r="I6" i="50" s="1"/>
  <c r="N22" i="43"/>
  <c r="L595" i="11"/>
  <c r="L597" i="11" s="1"/>
  <c r="L659" i="11" s="1"/>
  <c r="L660" i="11" s="1"/>
  <c r="L458" i="43"/>
  <c r="L460" i="43" s="1"/>
  <c r="L522" i="43" s="1"/>
  <c r="L523" i="43" s="1"/>
  <c r="U28" i="11"/>
  <c r="U33" i="11" s="1"/>
  <c r="U27" i="43"/>
  <c r="U33" i="43" s="1"/>
  <c r="U34" i="43" s="1"/>
  <c r="R595" i="11"/>
  <c r="R597" i="11" s="1"/>
  <c r="R659" i="11" s="1"/>
  <c r="R458" i="43"/>
  <c r="R460" i="43" s="1"/>
  <c r="R522" i="43" s="1"/>
  <c r="S1476" i="11"/>
  <c r="R110" i="41" s="1"/>
  <c r="S1263" i="43"/>
  <c r="R1480" i="11"/>
  <c r="Q233" i="41" s="1"/>
  <c r="R1266" i="43"/>
  <c r="P1476" i="11"/>
  <c r="O110" i="41" s="1"/>
  <c r="P1263" i="43"/>
  <c r="O588" i="11"/>
  <c r="O451" i="43"/>
  <c r="S736" i="11"/>
  <c r="S567" i="43"/>
  <c r="O1095" i="11"/>
  <c r="I32" i="40" s="1"/>
  <c r="O926" i="43"/>
  <c r="T751" i="11"/>
  <c r="K746" i="11"/>
  <c r="K577" i="43"/>
  <c r="V931" i="43"/>
  <c r="Q42" i="11"/>
  <c r="Q42" i="43"/>
  <c r="Q43" i="43" s="1"/>
  <c r="Q81" i="43" s="1"/>
  <c r="L23" i="11"/>
  <c r="G6" i="50" s="1"/>
  <c r="L22" i="43"/>
  <c r="R665" i="11"/>
  <c r="R521" i="43"/>
  <c r="R528" i="43"/>
  <c r="O858" i="11"/>
  <c r="O689" i="43"/>
  <c r="N28" i="11"/>
  <c r="N27" i="43"/>
  <c r="N33" i="43" s="1"/>
  <c r="K823" i="43"/>
  <c r="L823" i="43" s="1"/>
  <c r="M823" i="43" s="1"/>
  <c r="N823" i="43" s="1"/>
  <c r="O823" i="43" s="1"/>
  <c r="P823" i="43" s="1"/>
  <c r="Q823" i="43" s="1"/>
  <c r="R823" i="43" s="1"/>
  <c r="S823" i="43" s="1"/>
  <c r="T823" i="43" s="1"/>
  <c r="U823" i="43" s="1"/>
  <c r="V823" i="43" s="1"/>
  <c r="V825" i="43" s="1"/>
  <c r="R746" i="11"/>
  <c r="R577" i="43"/>
  <c r="P1095" i="11"/>
  <c r="J32" i="40" s="1"/>
  <c r="P926" i="43"/>
  <c r="V636" i="11"/>
  <c r="V499" i="43"/>
  <c r="K901" i="43"/>
  <c r="L901" i="43" s="1"/>
  <c r="M901" i="43" s="1"/>
  <c r="N901" i="43" s="1"/>
  <c r="O901" i="43" s="1"/>
  <c r="P901" i="43" s="1"/>
  <c r="Q901" i="43" s="1"/>
  <c r="R901" i="43" s="1"/>
  <c r="S901" i="43" s="1"/>
  <c r="T901" i="43" s="1"/>
  <c r="U901" i="43" s="1"/>
  <c r="V901" i="43" s="1"/>
  <c r="K434" i="11"/>
  <c r="K359" i="43"/>
  <c r="Q23" i="11"/>
  <c r="L6" i="50" s="1"/>
  <c r="Q22" i="43"/>
  <c r="U636" i="11"/>
  <c r="U499" i="43"/>
  <c r="V1158" i="11"/>
  <c r="V984" i="43"/>
  <c r="P23" i="11"/>
  <c r="K6" i="50" s="1"/>
  <c r="P22" i="43"/>
  <c r="U945" i="43"/>
  <c r="R945" i="43"/>
  <c r="M1480" i="11"/>
  <c r="L233" i="41" s="1"/>
  <c r="M1266" i="43"/>
  <c r="Q412" i="43"/>
  <c r="R412" i="43" s="1"/>
  <c r="S412" i="43" s="1"/>
  <c r="T412" i="43" s="1"/>
  <c r="U412" i="43" s="1"/>
  <c r="V412" i="43" s="1"/>
  <c r="V413" i="43" s="1"/>
  <c r="L515" i="11"/>
  <c r="L414" i="43"/>
  <c r="M515" i="11"/>
  <c r="M414" i="43"/>
  <c r="U515" i="11"/>
  <c r="U512" i="11" s="1"/>
  <c r="U1392" i="11" s="1"/>
  <c r="U1393" i="11" s="1"/>
  <c r="U414" i="43"/>
  <c r="P515" i="11"/>
  <c r="P512" i="11" s="1"/>
  <c r="P1392" i="11" s="1"/>
  <c r="P1393" i="11" s="1"/>
  <c r="P414" i="43"/>
  <c r="V515" i="11"/>
  <c r="V512" i="11" s="1"/>
  <c r="V1392" i="11" s="1"/>
  <c r="V1393" i="11" s="1"/>
  <c r="V414" i="43"/>
  <c r="S515" i="11"/>
  <c r="S512" i="11" s="1"/>
  <c r="S1392" i="11" s="1"/>
  <c r="S1393" i="11" s="1"/>
  <c r="S414" i="43"/>
  <c r="N515" i="11"/>
  <c r="N512" i="11" s="1"/>
  <c r="N1392" i="11" s="1"/>
  <c r="N1393" i="11" s="1"/>
  <c r="N414" i="43"/>
  <c r="R515" i="11"/>
  <c r="R512" i="11" s="1"/>
  <c r="R1392" i="11" s="1"/>
  <c r="R1393" i="11" s="1"/>
  <c r="R414" i="43"/>
  <c r="O515" i="11"/>
  <c r="O512" i="11" s="1"/>
  <c r="O1392" i="11" s="1"/>
  <c r="O1393" i="11" s="1"/>
  <c r="O414" i="43"/>
  <c r="Q515" i="11"/>
  <c r="Q512" i="11" s="1"/>
  <c r="Q1392" i="11" s="1"/>
  <c r="Q1393" i="11" s="1"/>
  <c r="Q414" i="43"/>
  <c r="J181" i="43"/>
  <c r="J1112" i="43" s="1"/>
  <c r="L1479" i="11"/>
  <c r="K274" i="41" s="1"/>
  <c r="L1265" i="43"/>
  <c r="J688" i="43"/>
  <c r="K687" i="43"/>
  <c r="J119" i="43"/>
  <c r="K105" i="43"/>
  <c r="J362" i="11"/>
  <c r="J287" i="43"/>
  <c r="J665" i="11"/>
  <c r="J528" i="43"/>
  <c r="K263" i="43"/>
  <c r="J276" i="43"/>
  <c r="K180" i="43"/>
  <c r="K184" i="43" s="1"/>
  <c r="K1114" i="43" s="1"/>
  <c r="J752" i="43"/>
  <c r="J788" i="43"/>
  <c r="J664" i="43"/>
  <c r="K664" i="43"/>
  <c r="J742" i="43"/>
  <c r="J918" i="43"/>
  <c r="K106" i="43"/>
  <c r="J120" i="43"/>
  <c r="K102" i="43"/>
  <c r="J116" i="43"/>
  <c r="J184" i="43"/>
  <c r="K235" i="43"/>
  <c r="J236" i="43"/>
  <c r="J853" i="43"/>
  <c r="K852" i="43"/>
  <c r="J267" i="11"/>
  <c r="J192" i="43"/>
  <c r="K544" i="43"/>
  <c r="J555" i="43"/>
  <c r="J1008" i="11"/>
  <c r="J839" i="43"/>
  <c r="J840" i="43" s="1"/>
  <c r="J114" i="43"/>
  <c r="K100" i="43"/>
  <c r="J42" i="11"/>
  <c r="J42" i="43"/>
  <c r="K92" i="43"/>
  <c r="J93" i="43"/>
  <c r="J1262" i="43"/>
  <c r="F314" i="43"/>
  <c r="F299" i="43"/>
  <c r="F294" i="43"/>
  <c r="J118" i="43"/>
  <c r="K104" i="43"/>
  <c r="J843" i="43"/>
  <c r="K842" i="43"/>
  <c r="K542" i="43"/>
  <c r="J553" i="43"/>
  <c r="J423" i="11"/>
  <c r="J348" i="43"/>
  <c r="K103" i="43"/>
  <c r="J117" i="43"/>
  <c r="K212" i="43"/>
  <c r="J213" i="43"/>
  <c r="K413" i="43"/>
  <c r="J413" i="43"/>
  <c r="L413" i="43"/>
  <c r="M413" i="43"/>
  <c r="N413" i="43"/>
  <c r="O413" i="43"/>
  <c r="P413" i="43"/>
  <c r="J516" i="43"/>
  <c r="K516" i="43"/>
  <c r="L516" i="43"/>
  <c r="J482" i="43"/>
  <c r="J710" i="43"/>
  <c r="J659" i="43"/>
  <c r="M659" i="43"/>
  <c r="J805" i="43"/>
  <c r="K541" i="43"/>
  <c r="J552" i="43"/>
  <c r="J683" i="43"/>
  <c r="K682" i="43"/>
  <c r="K448" i="43"/>
  <c r="J449" i="43"/>
  <c r="J454" i="43" s="1"/>
  <c r="J1158" i="11"/>
  <c r="J984" i="43"/>
  <c r="K259" i="43"/>
  <c r="J272" i="43"/>
  <c r="J270" i="43"/>
  <c r="K257" i="43"/>
  <c r="J893" i="43"/>
  <c r="K893" i="43"/>
  <c r="J1107" i="11"/>
  <c r="J938" i="43"/>
  <c r="J434" i="11"/>
  <c r="J359" i="43"/>
  <c r="J198" i="43"/>
  <c r="L198" i="43"/>
  <c r="K51" i="43"/>
  <c r="J52" i="43"/>
  <c r="J736" i="11"/>
  <c r="J567" i="43"/>
  <c r="K713" i="6"/>
  <c r="K712" i="6" s="1"/>
  <c r="J565" i="43"/>
  <c r="J588" i="11"/>
  <c r="J451" i="43"/>
  <c r="K261" i="43"/>
  <c r="J274" i="43"/>
  <c r="J486" i="43"/>
  <c r="J898" i="43"/>
  <c r="J1018" i="11"/>
  <c r="J849" i="43"/>
  <c r="J850" i="43" s="1"/>
  <c r="K545" i="43"/>
  <c r="J556" i="43"/>
  <c r="K86" i="43"/>
  <c r="J87" i="43"/>
  <c r="J751" i="11"/>
  <c r="J582" i="43"/>
  <c r="J1095" i="11"/>
  <c r="D32" i="40" s="1"/>
  <c r="J926" i="43"/>
  <c r="J928" i="43" s="1"/>
  <c r="J903" i="43"/>
  <c r="J554" i="43"/>
  <c r="K543" i="43"/>
  <c r="K74" i="43"/>
  <c r="J75" i="43"/>
  <c r="J1023" i="11"/>
  <c r="J854" i="43"/>
  <c r="K255" i="43"/>
  <c r="J268" i="43"/>
  <c r="J746" i="11"/>
  <c r="J577" i="43"/>
  <c r="J492" i="43"/>
  <c r="J727" i="43"/>
  <c r="K229" i="43"/>
  <c r="J230" i="43"/>
  <c r="K260" i="43"/>
  <c r="J273" i="43"/>
  <c r="J446" i="11"/>
  <c r="J370" i="43"/>
  <c r="J373" i="43" s="1"/>
  <c r="J913" i="43"/>
  <c r="K191" i="43"/>
  <c r="J191" i="43"/>
  <c r="L191" i="43"/>
  <c r="M191" i="43"/>
  <c r="N191" i="43"/>
  <c r="O191" i="43"/>
  <c r="P191" i="43"/>
  <c r="Q191" i="43"/>
  <c r="R191" i="43"/>
  <c r="S191" i="43"/>
  <c r="T191" i="43"/>
  <c r="T193" i="43" s="1"/>
  <c r="T219" i="43" s="1"/>
  <c r="T220" i="43" s="1"/>
  <c r="U191" i="43"/>
  <c r="V191" i="43"/>
  <c r="J946" i="43"/>
  <c r="J858" i="11"/>
  <c r="J689" i="43"/>
  <c r="J595" i="11"/>
  <c r="J597" i="11" s="1"/>
  <c r="J659" i="11" s="1"/>
  <c r="J660" i="11" s="1"/>
  <c r="J458" i="43"/>
  <c r="J460" i="43" s="1"/>
  <c r="K256" i="43"/>
  <c r="J269" i="43"/>
  <c r="J122" i="43"/>
  <c r="K108" i="43"/>
  <c r="K63" i="43"/>
  <c r="J65" i="43"/>
  <c r="J58" i="43"/>
  <c r="K57" i="43"/>
  <c r="J293" i="11"/>
  <c r="J218" i="43"/>
  <c r="J551" i="43"/>
  <c r="K540" i="43"/>
  <c r="J636" i="11"/>
  <c r="J499" i="43"/>
  <c r="J497" i="43"/>
  <c r="K497" i="43" s="1"/>
  <c r="L497" i="43" s="1"/>
  <c r="M497" i="43" s="1"/>
  <c r="N497" i="43" s="1"/>
  <c r="O497" i="43" s="1"/>
  <c r="P497" i="43" s="1"/>
  <c r="Q497" i="43" s="1"/>
  <c r="R497" i="43" s="1"/>
  <c r="S497" i="43" s="1"/>
  <c r="T497" i="43" s="1"/>
  <c r="U497" i="43" s="1"/>
  <c r="V497" i="43" s="1"/>
  <c r="J669" i="43"/>
  <c r="J654" i="43"/>
  <c r="S654" i="43"/>
  <c r="V903" i="43"/>
  <c r="J209" i="43"/>
  <c r="J28" i="11"/>
  <c r="J27" i="43"/>
  <c r="J33" i="43" s="1"/>
  <c r="J115" i="43"/>
  <c r="K101" i="43"/>
  <c r="F606" i="11"/>
  <c r="F469" i="43"/>
  <c r="J21" i="43"/>
  <c r="K20" i="43"/>
  <c r="K21" i="43" s="1"/>
  <c r="J477" i="43"/>
  <c r="K477" i="43"/>
  <c r="L477" i="43"/>
  <c r="J931" i="11"/>
  <c r="J762" i="43"/>
  <c r="J936" i="11"/>
  <c r="J767" i="43"/>
  <c r="J796" i="43"/>
  <c r="K796" i="43" s="1"/>
  <c r="L796" i="43" s="1"/>
  <c r="M796" i="43" s="1"/>
  <c r="N796" i="43" s="1"/>
  <c r="O796" i="43" s="1"/>
  <c r="P796" i="43" s="1"/>
  <c r="Q796" i="43" s="1"/>
  <c r="R796" i="43" s="1"/>
  <c r="S796" i="43" s="1"/>
  <c r="T796" i="43" s="1"/>
  <c r="U796" i="43" s="1"/>
  <c r="V796" i="43" s="1"/>
  <c r="J808" i="43"/>
  <c r="K808" i="43" s="1"/>
  <c r="L808" i="43" s="1"/>
  <c r="M808" i="43" s="1"/>
  <c r="N808" i="43" s="1"/>
  <c r="O808" i="43" s="1"/>
  <c r="P808" i="43" s="1"/>
  <c r="Q808" i="43" s="1"/>
  <c r="R808" i="43" s="1"/>
  <c r="S808" i="43" s="1"/>
  <c r="T808" i="43" s="1"/>
  <c r="U808" i="43" s="1"/>
  <c r="V808" i="43" s="1"/>
  <c r="V810" i="43" s="1"/>
  <c r="J515" i="11"/>
  <c r="J414" i="43"/>
  <c r="J747" i="43"/>
  <c r="J271" i="43"/>
  <c r="K258" i="43"/>
  <c r="J761" i="43"/>
  <c r="K760" i="43"/>
  <c r="J1143" i="11"/>
  <c r="J974" i="43"/>
  <c r="J123" i="43"/>
  <c r="K109" i="43"/>
  <c r="K241" i="43"/>
  <c r="J242" i="43"/>
  <c r="K98" i="43"/>
  <c r="J112" i="43"/>
  <c r="J121" i="43"/>
  <c r="K107" i="43"/>
  <c r="J80" i="11"/>
  <c r="J80" i="43"/>
  <c r="J224" i="43"/>
  <c r="J309" i="43" s="1"/>
  <c r="K223" i="43"/>
  <c r="J249" i="43"/>
  <c r="K249" i="43"/>
  <c r="L249" i="43"/>
  <c r="M249" i="43"/>
  <c r="N249" i="43"/>
  <c r="O249" i="43"/>
  <c r="P249" i="43"/>
  <c r="Q249" i="43"/>
  <c r="R249" i="43"/>
  <c r="J876" i="43"/>
  <c r="J908" i="43"/>
  <c r="J825" i="43"/>
  <c r="J510" i="43"/>
  <c r="J674" i="43"/>
  <c r="J820" i="43"/>
  <c r="K820" i="43"/>
  <c r="J1123" i="11"/>
  <c r="J1122" i="11" s="1"/>
  <c r="J954" i="43"/>
  <c r="J953" i="43" s="1"/>
  <c r="J23" i="11"/>
  <c r="E6" i="50" s="1"/>
  <c r="J22" i="43"/>
  <c r="J1263" i="43"/>
  <c r="F342" i="43"/>
  <c r="F337" i="43"/>
  <c r="J1480" i="11"/>
  <c r="F463" i="43"/>
  <c r="J1266" i="43"/>
  <c r="J558" i="43"/>
  <c r="K547" i="43"/>
  <c r="K253" i="43"/>
  <c r="J266" i="43"/>
  <c r="J533" i="43"/>
  <c r="K533" i="43"/>
  <c r="L533" i="43"/>
  <c r="M533" i="43"/>
  <c r="N533" i="43"/>
  <c r="O533" i="43"/>
  <c r="P533" i="43"/>
  <c r="Q533" i="43"/>
  <c r="R533" i="43"/>
  <c r="S533" i="43"/>
  <c r="T533" i="43"/>
  <c r="J732" i="43"/>
  <c r="M732" i="43"/>
  <c r="O732" i="43"/>
  <c r="J737" i="43"/>
  <c r="K254" i="43"/>
  <c r="J267" i="43"/>
  <c r="J405" i="11"/>
  <c r="J406" i="11" s="1"/>
  <c r="J330" i="43"/>
  <c r="J331" i="43" s="1"/>
  <c r="J945" i="43"/>
  <c r="K262" i="43"/>
  <c r="J275" i="43"/>
  <c r="J1013" i="11"/>
  <c r="J844" i="43"/>
  <c r="J504" i="43"/>
  <c r="N504" i="43"/>
  <c r="K539" i="43"/>
  <c r="J550" i="43"/>
  <c r="J1100" i="11"/>
  <c r="J931" i="43"/>
  <c r="J756" i="11"/>
  <c r="J587" i="43"/>
  <c r="J779" i="43"/>
  <c r="K779" i="43" s="1"/>
  <c r="L779" i="43" s="1"/>
  <c r="M779" i="43" s="1"/>
  <c r="N779" i="43" s="1"/>
  <c r="O779" i="43" s="1"/>
  <c r="P779" i="43" s="1"/>
  <c r="Q779" i="43" s="1"/>
  <c r="R779" i="43" s="1"/>
  <c r="S779" i="43" s="1"/>
  <c r="T779" i="43" s="1"/>
  <c r="U779" i="43" s="1"/>
  <c r="V779" i="43" s="1"/>
  <c r="J765" i="43"/>
  <c r="J641" i="43"/>
  <c r="J636" i="43"/>
  <c r="K636" i="43"/>
  <c r="L636" i="43"/>
  <c r="M636" i="43"/>
  <c r="N636" i="43"/>
  <c r="O636" i="43"/>
  <c r="V264" i="14"/>
  <c r="V54" i="15" s="1"/>
  <c r="J1479" i="11"/>
  <c r="I274" i="41" s="1"/>
  <c r="J1265" i="43"/>
  <c r="K546" i="43"/>
  <c r="J557" i="43"/>
  <c r="J202" i="43"/>
  <c r="K201" i="43"/>
  <c r="J741" i="11"/>
  <c r="J572" i="43"/>
  <c r="J992" i="43"/>
  <c r="K264" i="14"/>
  <c r="K54" i="15" s="1"/>
  <c r="U264" i="14"/>
  <c r="U54" i="15" s="1"/>
  <c r="M264" i="14"/>
  <c r="M54" i="15" s="1"/>
  <c r="N264" i="14"/>
  <c r="N54" i="15" s="1"/>
  <c r="L264" i="14"/>
  <c r="L54" i="15" s="1"/>
  <c r="S264" i="14"/>
  <c r="S54" i="15" s="1"/>
  <c r="J264" i="14"/>
  <c r="J54" i="15" s="1"/>
  <c r="R264" i="14"/>
  <c r="R54" i="15" s="1"/>
  <c r="Q264" i="14"/>
  <c r="Q54" i="15" s="1"/>
  <c r="P264" i="14"/>
  <c r="P54" i="15" s="1"/>
  <c r="O264" i="14"/>
  <c r="O54" i="15" s="1"/>
  <c r="T264" i="14"/>
  <c r="T54" i="15" s="1"/>
  <c r="M285" i="43"/>
  <c r="M286" i="43" s="1"/>
  <c r="L328" i="43"/>
  <c r="K26" i="43"/>
  <c r="L25" i="43"/>
  <c r="J286" i="43"/>
  <c r="K286" i="43"/>
  <c r="L286" i="43"/>
  <c r="K404" i="11"/>
  <c r="K408" i="11" s="1"/>
  <c r="J1094" i="11"/>
  <c r="J1096" i="11" s="1"/>
  <c r="J1113" i="11"/>
  <c r="J1115" i="11" s="1"/>
  <c r="J360" i="11"/>
  <c r="I195" i="14"/>
  <c r="I78" i="14"/>
  <c r="K6" i="25"/>
  <c r="K7" i="25" s="1"/>
  <c r="K8" i="25" s="1"/>
  <c r="K36" i="25" s="1"/>
  <c r="F12" i="28"/>
  <c r="F12" i="36"/>
  <c r="F12" i="35"/>
  <c r="E12" i="28"/>
  <c r="E12" i="36"/>
  <c r="E12" i="35"/>
  <c r="J9" i="35"/>
  <c r="J8" i="35"/>
  <c r="K6" i="35"/>
  <c r="K7" i="35" s="1"/>
  <c r="J9" i="36"/>
  <c r="K6" i="36"/>
  <c r="K7" i="36" s="1"/>
  <c r="J8" i="36"/>
  <c r="F21" i="35"/>
  <c r="T22" i="35"/>
  <c r="F21" i="36"/>
  <c r="T22" i="36"/>
  <c r="J56" i="25"/>
  <c r="J56" i="24"/>
  <c r="J6" i="28"/>
  <c r="J7" i="28" s="1"/>
  <c r="J9" i="28" s="1"/>
  <c r="I9" i="28"/>
  <c r="J9" i="25"/>
  <c r="J104" i="15"/>
  <c r="K1515" i="11"/>
  <c r="K1517" i="11" s="1"/>
  <c r="O56" i="25"/>
  <c r="Q56" i="25"/>
  <c r="K56" i="25"/>
  <c r="R56" i="25"/>
  <c r="S56" i="25"/>
  <c r="P56" i="25"/>
  <c r="L1147" i="6"/>
  <c r="L1146" i="6" s="1"/>
  <c r="N665" i="11"/>
  <c r="O658" i="11"/>
  <c r="P658" i="11"/>
  <c r="J37" i="23"/>
  <c r="J105" i="23" s="1"/>
  <c r="J513" i="11"/>
  <c r="J514" i="11" s="1"/>
  <c r="J1006" i="11"/>
  <c r="J1473" i="11"/>
  <c r="J9" i="11"/>
  <c r="J1460" i="11" s="1"/>
  <c r="J1099" i="11"/>
  <c r="J1103" i="11" s="1"/>
  <c r="J1106" i="11"/>
  <c r="J1110" i="11" s="1"/>
  <c r="K6" i="11"/>
  <c r="K7" i="11" s="1"/>
  <c r="K8" i="11" s="1"/>
  <c r="R16" i="13"/>
  <c r="J1016" i="11"/>
  <c r="J1017" i="11" s="1"/>
  <c r="K137" i="23"/>
  <c r="O11" i="13"/>
  <c r="V665" i="11"/>
  <c r="P11" i="13"/>
  <c r="S665" i="11"/>
  <c r="R37" i="23"/>
  <c r="R105" i="23" s="1"/>
  <c r="R147" i="23"/>
  <c r="J8" i="24"/>
  <c r="J36" i="24" s="1"/>
  <c r="M1147" i="6"/>
  <c r="M1146" i="6" s="1"/>
  <c r="K6" i="24"/>
  <c r="K7" i="24" s="1"/>
  <c r="K8" i="24" s="1"/>
  <c r="K36" i="24" s="1"/>
  <c r="T660" i="11"/>
  <c r="N37" i="23"/>
  <c r="N40" i="23" s="1"/>
  <c r="N43" i="23" s="1"/>
  <c r="N134" i="28" s="1"/>
  <c r="T665" i="11"/>
  <c r="P12" i="13"/>
  <c r="O12" i="13"/>
  <c r="O137" i="23"/>
  <c r="J8" i="23"/>
  <c r="J47" i="23" s="1"/>
  <c r="S146" i="23"/>
  <c r="K8" i="23"/>
  <c r="K47" i="23" s="1"/>
  <c r="N137" i="23"/>
  <c r="R658" i="11"/>
  <c r="V37" i="23"/>
  <c r="V105" i="23" s="1"/>
  <c r="J9" i="23"/>
  <c r="K146" i="23"/>
  <c r="K9" i="23"/>
  <c r="J8" i="19"/>
  <c r="K11" i="6"/>
  <c r="I34" i="23"/>
  <c r="T146" i="23"/>
  <c r="T147" i="23" s="1"/>
  <c r="L147" i="23"/>
  <c r="J9" i="19"/>
  <c r="N1172" i="6"/>
  <c r="M32" i="11" s="1"/>
  <c r="M137" i="23"/>
  <c r="J9" i="15"/>
  <c r="U49" i="23"/>
  <c r="U147" i="23" s="1"/>
  <c r="U37" i="23"/>
  <c r="M49" i="23"/>
  <c r="M147" i="23" s="1"/>
  <c r="M37" i="23"/>
  <c r="Q146" i="23"/>
  <c r="Q147" i="23" s="1"/>
  <c r="Q137" i="23"/>
  <c r="L25" i="19"/>
  <c r="M23" i="19"/>
  <c r="H6" i="39" s="1"/>
  <c r="P105" i="23"/>
  <c r="P40" i="23"/>
  <c r="P43" i="23" s="1"/>
  <c r="P134" i="28" s="1"/>
  <c r="T105" i="23"/>
  <c r="T40" i="23"/>
  <c r="T43" i="23" s="1"/>
  <c r="T134" i="28" s="1"/>
  <c r="M658" i="11"/>
  <c r="M665" i="11"/>
  <c r="J11" i="11"/>
  <c r="J12" i="11" s="1"/>
  <c r="J1475" i="11"/>
  <c r="I69" i="41" s="1"/>
  <c r="F374" i="11"/>
  <c r="F369" i="11"/>
  <c r="E132" i="40" s="1"/>
  <c r="F132" i="40" s="1"/>
  <c r="F389" i="11"/>
  <c r="J408" i="11"/>
  <c r="J8" i="14"/>
  <c r="J108" i="14" s="1"/>
  <c r="K6" i="14"/>
  <c r="K7" i="14" s="1"/>
  <c r="J9" i="14"/>
  <c r="I3" i="41" s="1"/>
  <c r="P146" i="23"/>
  <c r="P147" i="23" s="1"/>
  <c r="P137" i="23"/>
  <c r="S49" i="23"/>
  <c r="S37" i="23"/>
  <c r="L105" i="23"/>
  <c r="L40" i="23"/>
  <c r="L43" i="23" s="1"/>
  <c r="L134" i="28" s="1"/>
  <c r="F12" i="25"/>
  <c r="F12" i="15"/>
  <c r="F12" i="24"/>
  <c r="F12" i="23"/>
  <c r="F12" i="19"/>
  <c r="J8" i="15"/>
  <c r="J62" i="15" s="1"/>
  <c r="T137" i="23"/>
  <c r="K49" i="23"/>
  <c r="K37" i="23"/>
  <c r="J1476" i="11"/>
  <c r="I110" i="41" s="1"/>
  <c r="F417" i="11"/>
  <c r="F412" i="11"/>
  <c r="E133" i="40" s="1"/>
  <c r="F133" i="40" s="1"/>
  <c r="E12" i="25"/>
  <c r="E12" i="15"/>
  <c r="E12" i="24"/>
  <c r="E12" i="23"/>
  <c r="E12" i="19"/>
  <c r="M6" i="6"/>
  <c r="M7" i="6" s="1"/>
  <c r="L11" i="6"/>
  <c r="L9" i="6"/>
  <c r="L8" i="6"/>
  <c r="L137" i="23"/>
  <c r="O49" i="23"/>
  <c r="O147" i="23" s="1"/>
  <c r="O37" i="23"/>
  <c r="Q105" i="23"/>
  <c r="Q40" i="23"/>
  <c r="Q43" i="23" s="1"/>
  <c r="Q134" i="28" s="1"/>
  <c r="Q665" i="11"/>
  <c r="Q658" i="11"/>
  <c r="K399" i="6"/>
  <c r="L399" i="6" s="1"/>
  <c r="M399" i="6" s="1"/>
  <c r="N399" i="6" s="1"/>
  <c r="O399" i="6" s="1"/>
  <c r="P399" i="6" s="1"/>
  <c r="Q399" i="6" s="1"/>
  <c r="R399" i="6" s="1"/>
  <c r="S399" i="6" s="1"/>
  <c r="T399" i="6" s="1"/>
  <c r="K35" i="6"/>
  <c r="L35" i="6" s="1"/>
  <c r="M35" i="6" s="1"/>
  <c r="N35" i="6" s="1"/>
  <c r="O35" i="6" s="1"/>
  <c r="P35" i="6" s="1"/>
  <c r="Q35" i="6" s="1"/>
  <c r="R35" i="6" s="1"/>
  <c r="S35" i="6" s="1"/>
  <c r="T35" i="6" s="1"/>
  <c r="U35" i="6" s="1"/>
  <c r="V35" i="6" s="1"/>
  <c r="W35" i="6" s="1"/>
  <c r="K203" i="6"/>
  <c r="L203" i="6" s="1"/>
  <c r="M203" i="6" s="1"/>
  <c r="N203" i="6" s="1"/>
  <c r="O203" i="6" s="1"/>
  <c r="P203" i="6" s="1"/>
  <c r="Q203" i="6" s="1"/>
  <c r="R203" i="6" s="1"/>
  <c r="S203" i="6" s="1"/>
  <c r="T203" i="6" s="1"/>
  <c r="T56" i="25"/>
  <c r="I149" i="14"/>
  <c r="L6" i="19"/>
  <c r="L7" i="19" s="1"/>
  <c r="K8" i="19"/>
  <c r="K9" i="19"/>
  <c r="I125" i="14"/>
  <c r="I172" i="14"/>
  <c r="K9" i="15"/>
  <c r="L6" i="15"/>
  <c r="L7" i="15" s="1"/>
  <c r="K8" i="15"/>
  <c r="K62" i="15" s="1"/>
  <c r="V56" i="25"/>
  <c r="U56" i="25"/>
  <c r="L9" i="23"/>
  <c r="L8" i="23"/>
  <c r="L47" i="23" s="1"/>
  <c r="M6" i="23"/>
  <c r="M7" i="23" s="1"/>
  <c r="R3" i="13"/>
  <c r="Q10" i="13"/>
  <c r="P10" i="13"/>
  <c r="O10" i="13"/>
  <c r="O28" i="25" l="1"/>
  <c r="O51" i="36" s="1"/>
  <c r="R62" i="14"/>
  <c r="O49" i="14"/>
  <c r="I100" i="40" s="1"/>
  <c r="O61" i="14"/>
  <c r="M49" i="14"/>
  <c r="G100" i="40" s="1"/>
  <c r="M61" i="14"/>
  <c r="V62" i="14"/>
  <c r="I46" i="14"/>
  <c r="J61" i="14"/>
  <c r="I61" i="14" s="1"/>
  <c r="J49" i="14"/>
  <c r="D100" i="40" s="1"/>
  <c r="Q62" i="14"/>
  <c r="T61" i="14"/>
  <c r="T49" i="14"/>
  <c r="N100" i="40" s="1"/>
  <c r="L49" i="14"/>
  <c r="F100" i="40" s="1"/>
  <c r="L61" i="14"/>
  <c r="S62" i="14"/>
  <c r="N49" i="14"/>
  <c r="H100" i="40" s="1"/>
  <c r="N61" i="14"/>
  <c r="P62" i="14"/>
  <c r="U62" i="14"/>
  <c r="K61" i="14"/>
  <c r="K49" i="14"/>
  <c r="E100" i="40" s="1"/>
  <c r="P893" i="43"/>
  <c r="U908" i="43"/>
  <c r="Q893" i="43"/>
  <c r="O198" i="43"/>
  <c r="M198" i="43"/>
  <c r="N928" i="43"/>
  <c r="N732" i="43"/>
  <c r="N198" i="43"/>
  <c r="N659" i="43"/>
  <c r="Q918" i="43"/>
  <c r="K641" i="43"/>
  <c r="K742" i="43"/>
  <c r="K46" i="43"/>
  <c r="L46" i="43" s="1"/>
  <c r="P727" i="43"/>
  <c r="O516" i="43"/>
  <c r="N516" i="43"/>
  <c r="N193" i="43"/>
  <c r="N219" i="43" s="1"/>
  <c r="M516" i="43"/>
  <c r="L742" i="43"/>
  <c r="U876" i="43"/>
  <c r="U893" i="43"/>
  <c r="N752" i="43"/>
  <c r="T876" i="43"/>
  <c r="T893" i="43"/>
  <c r="L752" i="43"/>
  <c r="L641" i="43"/>
  <c r="R893" i="43"/>
  <c r="K752" i="43"/>
  <c r="J59" i="19"/>
  <c r="J54" i="19"/>
  <c r="Q654" i="43"/>
  <c r="M504" i="43"/>
  <c r="P820" i="43"/>
  <c r="T747" i="43"/>
  <c r="S209" i="43"/>
  <c r="Q209" i="43"/>
  <c r="R654" i="43"/>
  <c r="T636" i="43"/>
  <c r="P209" i="43"/>
  <c r="S636" i="43"/>
  <c r="O209" i="43"/>
  <c r="N209" i="43"/>
  <c r="M209" i="43"/>
  <c r="U533" i="43"/>
  <c r="U636" i="43"/>
  <c r="U747" i="43"/>
  <c r="J46" i="11"/>
  <c r="J48" i="11" s="1"/>
  <c r="J13" i="11"/>
  <c r="M969" i="43"/>
  <c r="L664" i="43"/>
  <c r="K198" i="43"/>
  <c r="S913" i="43"/>
  <c r="N727" i="43"/>
  <c r="K732" i="43"/>
  <c r="T820" i="43"/>
  <c r="K510" i="43"/>
  <c r="L876" i="43"/>
  <c r="U669" i="43"/>
  <c r="L913" i="43"/>
  <c r="T486" i="43"/>
  <c r="R198" i="43"/>
  <c r="M959" i="43"/>
  <c r="P482" i="43"/>
  <c r="O742" i="43"/>
  <c r="L788" i="43"/>
  <c r="V523" i="43"/>
  <c r="T33" i="11"/>
  <c r="O969" i="43"/>
  <c r="M918" i="43"/>
  <c r="R876" i="43"/>
  <c r="U913" i="43"/>
  <c r="T913" i="43"/>
  <c r="S659" i="43"/>
  <c r="U742" i="43"/>
  <c r="S788" i="43"/>
  <c r="P83" i="43"/>
  <c r="U193" i="43"/>
  <c r="U219" i="43" s="1"/>
  <c r="U220" i="43" s="1"/>
  <c r="O727" i="43"/>
  <c r="O898" i="43"/>
  <c r="R788" i="43"/>
  <c r="L732" i="43"/>
  <c r="Q413" i="43"/>
  <c r="Q417" i="43" s="1"/>
  <c r="M510" i="43"/>
  <c r="Q913" i="43"/>
  <c r="T903" i="43"/>
  <c r="U947" i="43"/>
  <c r="U978" i="43" s="1"/>
  <c r="L510" i="43"/>
  <c r="R193" i="43"/>
  <c r="R219" i="43" s="1"/>
  <c r="R220" i="43" s="1"/>
  <c r="U198" i="43"/>
  <c r="L83" i="43"/>
  <c r="O509" i="43"/>
  <c r="P509" i="43" s="1"/>
  <c r="O820" i="43"/>
  <c r="P918" i="43"/>
  <c r="L820" i="43"/>
  <c r="O918" i="43"/>
  <c r="N918" i="43"/>
  <c r="S876" i="43"/>
  <c r="Q876" i="43"/>
  <c r="P876" i="43"/>
  <c r="R413" i="43"/>
  <c r="R417" i="43" s="1"/>
  <c r="T742" i="43"/>
  <c r="O876" i="43"/>
  <c r="R913" i="43"/>
  <c r="U903" i="43"/>
  <c r="N898" i="43"/>
  <c r="S742" i="43"/>
  <c r="P788" i="43"/>
  <c r="T1268" i="43"/>
  <c r="T1270" i="43" s="1"/>
  <c r="T1306" i="43" s="1"/>
  <c r="N876" i="43"/>
  <c r="M727" i="43"/>
  <c r="R742" i="43"/>
  <c r="N788" i="43"/>
  <c r="U820" i="43"/>
  <c r="M876" i="43"/>
  <c r="P913" i="43"/>
  <c r="U486" i="43"/>
  <c r="K959" i="43"/>
  <c r="Q742" i="43"/>
  <c r="M788" i="43"/>
  <c r="S820" i="43"/>
  <c r="K876" i="43"/>
  <c r="K913" i="43"/>
  <c r="Q198" i="43"/>
  <c r="P959" i="43"/>
  <c r="O482" i="43"/>
  <c r="L964" i="43"/>
  <c r="N742" i="43"/>
  <c r="Q820" i="43"/>
  <c r="M477" i="43"/>
  <c r="R209" i="43"/>
  <c r="P198" i="43"/>
  <c r="S959" i="43"/>
  <c r="R918" i="43"/>
  <c r="M742" i="43"/>
  <c r="R475" i="43"/>
  <c r="S475" i="43" s="1"/>
  <c r="T475" i="43" s="1"/>
  <c r="U475" i="43" s="1"/>
  <c r="Q477" i="43"/>
  <c r="S639" i="43"/>
  <c r="R641" i="43"/>
  <c r="O964" i="43"/>
  <c r="O664" i="43"/>
  <c r="P674" i="43"/>
  <c r="U825" i="43"/>
  <c r="O908" i="43"/>
  <c r="L209" i="43"/>
  <c r="N220" i="43"/>
  <c r="U492" i="43"/>
  <c r="O486" i="43"/>
  <c r="L659" i="43"/>
  <c r="U964" i="43"/>
  <c r="N664" i="43"/>
  <c r="R969" i="43"/>
  <c r="R636" i="43"/>
  <c r="U732" i="43"/>
  <c r="R820" i="43"/>
  <c r="O674" i="43"/>
  <c r="T825" i="43"/>
  <c r="N908" i="43"/>
  <c r="V969" i="43"/>
  <c r="K209" i="43"/>
  <c r="M193" i="43"/>
  <c r="M219" i="43" s="1"/>
  <c r="M220" i="43" s="1"/>
  <c r="N492" i="43"/>
  <c r="P898" i="43"/>
  <c r="N486" i="43"/>
  <c r="S893" i="43"/>
  <c r="K659" i="43"/>
  <c r="M964" i="43"/>
  <c r="M664" i="43"/>
  <c r="U752" i="43"/>
  <c r="N83" i="43"/>
  <c r="S83" i="43"/>
  <c r="R659" i="43"/>
  <c r="T908" i="43"/>
  <c r="Q659" i="43"/>
  <c r="Q959" i="43"/>
  <c r="P659" i="43"/>
  <c r="U737" i="43"/>
  <c r="S674" i="43"/>
  <c r="R908" i="43"/>
  <c r="M747" i="43"/>
  <c r="Q486" i="43"/>
  <c r="P664" i="43"/>
  <c r="R725" i="43"/>
  <c r="S725" i="43" s="1"/>
  <c r="T725" i="43" s="1"/>
  <c r="U725" i="43" s="1"/>
  <c r="V725" i="43" s="1"/>
  <c r="V727" i="43" s="1"/>
  <c r="V722" i="43" s="1"/>
  <c r="T732" i="43"/>
  <c r="N674" i="43"/>
  <c r="O825" i="43"/>
  <c r="M908" i="43"/>
  <c r="K969" i="43"/>
  <c r="L193" i="43"/>
  <c r="L219" i="43" s="1"/>
  <c r="L220" i="43" s="1"/>
  <c r="M492" i="43"/>
  <c r="M486" i="43"/>
  <c r="T752" i="43"/>
  <c r="M674" i="43"/>
  <c r="L486" i="43"/>
  <c r="S752" i="43"/>
  <c r="R732" i="43"/>
  <c r="L674" i="43"/>
  <c r="M825" i="43"/>
  <c r="U249" i="43"/>
  <c r="P969" i="43"/>
  <c r="M898" i="43"/>
  <c r="U413" i="43"/>
  <c r="U415" i="43" s="1"/>
  <c r="U434" i="43" s="1"/>
  <c r="U440" i="43" s="1"/>
  <c r="S34" i="43"/>
  <c r="Q732" i="43"/>
  <c r="N820" i="43"/>
  <c r="K674" i="43"/>
  <c r="L825" i="43"/>
  <c r="T249" i="43"/>
  <c r="L969" i="43"/>
  <c r="O477" i="43"/>
  <c r="U654" i="43"/>
  <c r="L898" i="43"/>
  <c r="T198" i="43"/>
  <c r="T413" i="43"/>
  <c r="T415" i="43" s="1"/>
  <c r="T434" i="43" s="1"/>
  <c r="T440" i="43" s="1"/>
  <c r="T918" i="43"/>
  <c r="P742" i="43"/>
  <c r="U788" i="43"/>
  <c r="Q752" i="43"/>
  <c r="U674" i="43"/>
  <c r="S908" i="43"/>
  <c r="S747" i="43"/>
  <c r="S486" i="43"/>
  <c r="L727" i="43"/>
  <c r="R486" i="43"/>
  <c r="O659" i="43"/>
  <c r="L708" i="43"/>
  <c r="M708" i="43" s="1"/>
  <c r="N708" i="43" s="1"/>
  <c r="O708" i="43" s="1"/>
  <c r="P708" i="43" s="1"/>
  <c r="L737" i="43"/>
  <c r="R674" i="43"/>
  <c r="Q908" i="43"/>
  <c r="L747" i="43"/>
  <c r="K727" i="43"/>
  <c r="O959" i="43"/>
  <c r="Q964" i="43"/>
  <c r="K737" i="43"/>
  <c r="Q674" i="43"/>
  <c r="P908" i="43"/>
  <c r="K747" i="43"/>
  <c r="P486" i="43"/>
  <c r="S732" i="43"/>
  <c r="N825" i="43"/>
  <c r="L908" i="43"/>
  <c r="L492" i="43"/>
  <c r="K964" i="43"/>
  <c r="K908" i="43"/>
  <c r="P477" i="43"/>
  <c r="K492" i="43"/>
  <c r="K486" i="43"/>
  <c r="P964" i="43"/>
  <c r="R752" i="43"/>
  <c r="P732" i="43"/>
  <c r="M820" i="43"/>
  <c r="K825" i="43"/>
  <c r="S249" i="43"/>
  <c r="T969" i="43"/>
  <c r="N477" i="43"/>
  <c r="U209" i="43"/>
  <c r="T654" i="43"/>
  <c r="K898" i="43"/>
  <c r="S198" i="43"/>
  <c r="L959" i="43"/>
  <c r="T659" i="43"/>
  <c r="S413" i="43"/>
  <c r="S415" i="43" s="1"/>
  <c r="S434" i="43" s="1"/>
  <c r="S440" i="43" s="1"/>
  <c r="S918" i="43"/>
  <c r="T788" i="43"/>
  <c r="P752" i="43"/>
  <c r="U660" i="11"/>
  <c r="F11" i="19"/>
  <c r="J11" i="19" s="1"/>
  <c r="J12" i="19" s="1"/>
  <c r="J26" i="19" s="1"/>
  <c r="M660" i="11"/>
  <c r="F11" i="24"/>
  <c r="J11" i="24" s="1"/>
  <c r="J12" i="24" s="1"/>
  <c r="J14" i="24" s="1"/>
  <c r="F11" i="15"/>
  <c r="J11" i="15" s="1"/>
  <c r="J12" i="15" s="1"/>
  <c r="J96" i="15" s="1"/>
  <c r="F11" i="36"/>
  <c r="J11" i="36" s="1"/>
  <c r="J12" i="36" s="1"/>
  <c r="J21" i="36" s="1"/>
  <c r="F11" i="35"/>
  <c r="J11" i="35" s="1"/>
  <c r="J12" i="35" s="1"/>
  <c r="J21" i="35" s="1"/>
  <c r="F11" i="23"/>
  <c r="L11" i="23" s="1"/>
  <c r="L12" i="23" s="1"/>
  <c r="F11" i="28"/>
  <c r="J11" i="28" s="1"/>
  <c r="J12" i="28" s="1"/>
  <c r="J14" i="28" s="1"/>
  <c r="S660" i="11"/>
  <c r="J11" i="14"/>
  <c r="J12" i="14" s="1"/>
  <c r="J14" i="14" s="1"/>
  <c r="J33" i="11"/>
  <c r="E10" i="50"/>
  <c r="M15" i="40"/>
  <c r="N9" i="50"/>
  <c r="N33" i="11"/>
  <c r="I10" i="50"/>
  <c r="L33" i="11"/>
  <c r="G10" i="50"/>
  <c r="S33" i="11"/>
  <c r="N10" i="50"/>
  <c r="M33" i="11"/>
  <c r="H10" i="50"/>
  <c r="K33" i="11"/>
  <c r="F10" i="50"/>
  <c r="R33" i="11"/>
  <c r="M10" i="50"/>
  <c r="P33" i="11"/>
  <c r="K10" i="50"/>
  <c r="Q33" i="11"/>
  <c r="L10" i="50"/>
  <c r="O33" i="11"/>
  <c r="J10" i="50"/>
  <c r="J1275" i="11"/>
  <c r="J551" i="11"/>
  <c r="J223" i="11"/>
  <c r="J700" i="11"/>
  <c r="F138" i="40"/>
  <c r="F139" i="40" s="1"/>
  <c r="H1126" i="11"/>
  <c r="P523" i="43"/>
  <c r="V83" i="43"/>
  <c r="I240" i="48"/>
  <c r="J11" i="48"/>
  <c r="J12" i="48" s="1"/>
  <c r="K11" i="48"/>
  <c r="K12" i="48" s="1"/>
  <c r="L11" i="48"/>
  <c r="L12" i="48" s="1"/>
  <c r="M11" i="48"/>
  <c r="M12" i="48" s="1"/>
  <c r="N11" i="48"/>
  <c r="N12" i="48" s="1"/>
  <c r="O11" i="48"/>
  <c r="O12" i="48" s="1"/>
  <c r="P11" i="48"/>
  <c r="P12" i="48" s="1"/>
  <c r="Q11" i="48"/>
  <c r="Q12" i="48" s="1"/>
  <c r="R11" i="48"/>
  <c r="R12" i="48" s="1"/>
  <c r="S11" i="48"/>
  <c r="S12" i="48" s="1"/>
  <c r="T11" i="48"/>
  <c r="T12" i="48" s="1"/>
  <c r="U11" i="48"/>
  <c r="U12" i="48" s="1"/>
  <c r="V11" i="48"/>
  <c r="V12" i="48" s="1"/>
  <c r="P1268" i="43"/>
  <c r="P1270" i="43" s="1"/>
  <c r="P1273" i="43" s="1"/>
  <c r="S1268" i="43"/>
  <c r="S1270" i="43" s="1"/>
  <c r="S1306" i="43" s="1"/>
  <c r="N1268" i="43"/>
  <c r="N1270" i="43" s="1"/>
  <c r="N1306" i="43" s="1"/>
  <c r="N924" i="43"/>
  <c r="P924" i="43"/>
  <c r="P660" i="11"/>
  <c r="J357" i="41"/>
  <c r="V660" i="11"/>
  <c r="O660" i="11"/>
  <c r="N660" i="11"/>
  <c r="L1128" i="11"/>
  <c r="V1128" i="11"/>
  <c r="N1482" i="11"/>
  <c r="R660" i="11"/>
  <c r="R1482" i="11"/>
  <c r="R1484" i="11" s="1"/>
  <c r="R1487" i="11" s="1"/>
  <c r="S1482" i="11"/>
  <c r="S1484" i="11" s="1"/>
  <c r="S1487" i="11" s="1"/>
  <c r="T1128" i="11"/>
  <c r="M1128" i="11"/>
  <c r="V1482" i="11"/>
  <c r="V1484" i="11" s="1"/>
  <c r="V1487" i="11" s="1"/>
  <c r="U1128" i="11"/>
  <c r="F1131" i="11"/>
  <c r="S1133" i="11" s="1"/>
  <c r="T1482" i="11"/>
  <c r="T1484" i="11" s="1"/>
  <c r="T1487" i="11" s="1"/>
  <c r="U1482" i="11"/>
  <c r="U1484" i="11" s="1"/>
  <c r="U1487" i="11" s="1"/>
  <c r="Q1093" i="11"/>
  <c r="Q1482" i="11"/>
  <c r="Q1484" i="11" s="1"/>
  <c r="Q1521" i="11" s="1"/>
  <c r="Q1524" i="11" s="1"/>
  <c r="K1128" i="11"/>
  <c r="M1482" i="11"/>
  <c r="P1482" i="11"/>
  <c r="P1484" i="11" s="1"/>
  <c r="P1487" i="11" s="1"/>
  <c r="Q523" i="43"/>
  <c r="T805" i="43"/>
  <c r="J598" i="43"/>
  <c r="K598" i="43"/>
  <c r="L598" i="43"/>
  <c r="M598" i="43"/>
  <c r="N598" i="43"/>
  <c r="O598" i="43"/>
  <c r="P598" i="43"/>
  <c r="Q598" i="43"/>
  <c r="R598" i="43"/>
  <c r="S598" i="43"/>
  <c r="T598" i="43"/>
  <c r="U598" i="43"/>
  <c r="V598" i="43"/>
  <c r="R903" i="43"/>
  <c r="Q903" i="43"/>
  <c r="U399" i="6"/>
  <c r="V399" i="6" s="1"/>
  <c r="W399" i="6" s="1"/>
  <c r="P669" i="43"/>
  <c r="P903" i="43"/>
  <c r="L710" i="43"/>
  <c r="P636" i="43"/>
  <c r="O669" i="43"/>
  <c r="O903" i="43"/>
  <c r="N669" i="43"/>
  <c r="S964" i="43"/>
  <c r="S969" i="43"/>
  <c r="U898" i="43"/>
  <c r="O893" i="43"/>
  <c r="U664" i="43"/>
  <c r="P737" i="43"/>
  <c r="R492" i="43"/>
  <c r="L805" i="43"/>
  <c r="R523" i="43"/>
  <c r="U1268" i="43"/>
  <c r="U1270" i="43" s="1"/>
  <c r="R1128" i="11"/>
  <c r="N1093" i="11"/>
  <c r="Q504" i="43"/>
  <c r="O737" i="43"/>
  <c r="R825" i="43"/>
  <c r="P747" i="43"/>
  <c r="Q969" i="43"/>
  <c r="M654" i="43"/>
  <c r="K669" i="43"/>
  <c r="Q193" i="43"/>
  <c r="Q219" i="43" s="1"/>
  <c r="Q220" i="43" s="1"/>
  <c r="O913" i="43"/>
  <c r="Q492" i="43"/>
  <c r="K903" i="43"/>
  <c r="S898" i="43"/>
  <c r="R959" i="43"/>
  <c r="M893" i="43"/>
  <c r="K805" i="43"/>
  <c r="S482" i="43"/>
  <c r="Q516" i="43"/>
  <c r="V964" i="43"/>
  <c r="S664" i="43"/>
  <c r="Q788" i="43"/>
  <c r="O752" i="43"/>
  <c r="U83" i="43"/>
  <c r="M523" i="43"/>
  <c r="U523" i="43"/>
  <c r="V31" i="43"/>
  <c r="V34" i="43" s="1"/>
  <c r="V947" i="43"/>
  <c r="V978" i="43" s="1"/>
  <c r="R1268" i="43"/>
  <c r="R1270" i="43" s="1"/>
  <c r="K1268" i="43"/>
  <c r="K1270" i="43" s="1"/>
  <c r="L1100" i="11"/>
  <c r="L931" i="43"/>
  <c r="M1093" i="11"/>
  <c r="U805" i="43"/>
  <c r="O83" i="43"/>
  <c r="M945" i="43"/>
  <c r="G32" i="40"/>
  <c r="L504" i="43"/>
  <c r="T669" i="43"/>
  <c r="N482" i="43"/>
  <c r="V1268" i="43"/>
  <c r="V1270" i="43" s="1"/>
  <c r="K504" i="43"/>
  <c r="S669" i="43"/>
  <c r="S903" i="43"/>
  <c r="S805" i="43"/>
  <c r="M482" i="43"/>
  <c r="O927" i="43"/>
  <c r="O928" i="43" s="1"/>
  <c r="P925" i="43"/>
  <c r="M83" i="43"/>
  <c r="U203" i="6"/>
  <c r="V203" i="6" s="1"/>
  <c r="W203" i="6" s="1"/>
  <c r="N1128" i="11"/>
  <c r="O1482" i="11"/>
  <c r="O1484" i="11" s="1"/>
  <c r="O1487" i="11" s="1"/>
  <c r="Q641" i="43"/>
  <c r="N969" i="43"/>
  <c r="T209" i="43"/>
  <c r="R669" i="43"/>
  <c r="K193" i="43"/>
  <c r="K219" i="43" s="1"/>
  <c r="K220" i="43" s="1"/>
  <c r="R805" i="43"/>
  <c r="L482" i="43"/>
  <c r="T964" i="43"/>
  <c r="Q941" i="43"/>
  <c r="R937" i="43"/>
  <c r="R83" i="43"/>
  <c r="O31" i="43"/>
  <c r="O34" i="43" s="1"/>
  <c r="O947" i="43"/>
  <c r="O978" i="43" s="1"/>
  <c r="M838" i="43"/>
  <c r="M840" i="43" s="1"/>
  <c r="N837" i="43"/>
  <c r="P641" i="43"/>
  <c r="Q669" i="43"/>
  <c r="Q805" i="43"/>
  <c r="K482" i="43"/>
  <c r="Q83" i="43"/>
  <c r="P31" i="43"/>
  <c r="P34" i="43" s="1"/>
  <c r="P947" i="43"/>
  <c r="P978" i="43" s="1"/>
  <c r="N1056" i="6"/>
  <c r="N1055" i="6" s="1"/>
  <c r="M847" i="43"/>
  <c r="O1128" i="11"/>
  <c r="Q636" i="43"/>
  <c r="O641" i="43"/>
  <c r="T737" i="43"/>
  <c r="V193" i="43"/>
  <c r="V219" i="43" s="1"/>
  <c r="V220" i="43" s="1"/>
  <c r="T959" i="43"/>
  <c r="P805" i="43"/>
  <c r="R964" i="43"/>
  <c r="T31" i="43"/>
  <c r="T34" i="43" s="1"/>
  <c r="T947" i="43"/>
  <c r="T978" i="43" s="1"/>
  <c r="P934" i="43"/>
  <c r="Q930" i="43"/>
  <c r="Q660" i="11"/>
  <c r="P1128" i="11"/>
  <c r="P1093" i="11"/>
  <c r="N641" i="43"/>
  <c r="U504" i="43"/>
  <c r="S737" i="43"/>
  <c r="O805" i="43"/>
  <c r="U516" i="43"/>
  <c r="O523" i="43"/>
  <c r="Q31" i="43"/>
  <c r="Q34" i="43" s="1"/>
  <c r="Q947" i="43"/>
  <c r="Q978" i="43" s="1"/>
  <c r="L1160" i="6"/>
  <c r="L1159" i="6" s="1"/>
  <c r="K931" i="43"/>
  <c r="M641" i="43"/>
  <c r="T504" i="43"/>
  <c r="R737" i="43"/>
  <c r="U969" i="43"/>
  <c r="P654" i="43"/>
  <c r="T492" i="43"/>
  <c r="N903" i="43"/>
  <c r="N805" i="43"/>
  <c r="T516" i="43"/>
  <c r="L918" i="43"/>
  <c r="K83" i="43"/>
  <c r="Q1128" i="11"/>
  <c r="O1093" i="11"/>
  <c r="S504" i="43"/>
  <c r="Q737" i="43"/>
  <c r="R747" i="43"/>
  <c r="O654" i="43"/>
  <c r="M669" i="43"/>
  <c r="S193" i="43"/>
  <c r="S219" i="43" s="1"/>
  <c r="S220" i="43" s="1"/>
  <c r="S492" i="43"/>
  <c r="M903" i="43"/>
  <c r="M805" i="43"/>
  <c r="U482" i="43"/>
  <c r="S516" i="43"/>
  <c r="K918" i="43"/>
  <c r="Q924" i="43"/>
  <c r="K1482" i="11"/>
  <c r="K1484" i="11" s="1"/>
  <c r="K1487" i="11" s="1"/>
  <c r="R504" i="43"/>
  <c r="S825" i="43"/>
  <c r="Q747" i="43"/>
  <c r="N654" i="43"/>
  <c r="L669" i="43"/>
  <c r="L903" i="43"/>
  <c r="T898" i="43"/>
  <c r="N959" i="43"/>
  <c r="N893" i="43"/>
  <c r="T482" i="43"/>
  <c r="R516" i="43"/>
  <c r="I42" i="11"/>
  <c r="N964" i="43"/>
  <c r="T664" i="43"/>
  <c r="L1268" i="43"/>
  <c r="L1270" i="43" s="1"/>
  <c r="L1306" i="43" s="1"/>
  <c r="P504" i="43"/>
  <c r="N737" i="43"/>
  <c r="Q825" i="43"/>
  <c r="O747" i="43"/>
  <c r="S477" i="43"/>
  <c r="L654" i="43"/>
  <c r="P193" i="43"/>
  <c r="P219" i="43" s="1"/>
  <c r="P220" i="43" s="1"/>
  <c r="N913" i="43"/>
  <c r="P492" i="43"/>
  <c r="R898" i="43"/>
  <c r="V959" i="43"/>
  <c r="L893" i="43"/>
  <c r="R482" i="43"/>
  <c r="P516" i="43"/>
  <c r="R664" i="43"/>
  <c r="M1268" i="43"/>
  <c r="M1270" i="43" s="1"/>
  <c r="M1273" i="43" s="1"/>
  <c r="O924" i="43"/>
  <c r="K377" i="43"/>
  <c r="K378" i="43"/>
  <c r="Q1268" i="43"/>
  <c r="Q1270" i="43" s="1"/>
  <c r="N31" i="43"/>
  <c r="N34" i="43" s="1"/>
  <c r="N947" i="43"/>
  <c r="N978" i="43" s="1"/>
  <c r="O1268" i="43"/>
  <c r="O1270" i="43" s="1"/>
  <c r="S1128" i="11"/>
  <c r="F423" i="43"/>
  <c r="M425" i="43" s="1"/>
  <c r="O504" i="43"/>
  <c r="M737" i="43"/>
  <c r="T674" i="43"/>
  <c r="P825" i="43"/>
  <c r="N747" i="43"/>
  <c r="K654" i="43"/>
  <c r="O193" i="43"/>
  <c r="O219" i="43" s="1"/>
  <c r="O220" i="43" s="1"/>
  <c r="M913" i="43"/>
  <c r="O492" i="43"/>
  <c r="Q898" i="43"/>
  <c r="U959" i="43"/>
  <c r="U659" i="43"/>
  <c r="Q482" i="43"/>
  <c r="U918" i="43"/>
  <c r="Q664" i="43"/>
  <c r="O788" i="43"/>
  <c r="M752" i="43"/>
  <c r="N523" i="43"/>
  <c r="M924" i="43"/>
  <c r="M928" i="43"/>
  <c r="S523" i="43"/>
  <c r="R31" i="43"/>
  <c r="R34" i="43" s="1"/>
  <c r="R947" i="43"/>
  <c r="R978" i="43" s="1"/>
  <c r="M1390" i="11"/>
  <c r="N1390" i="11"/>
  <c r="O1390" i="11" s="1"/>
  <c r="J187" i="43"/>
  <c r="J226" i="43" s="1"/>
  <c r="J555" i="11"/>
  <c r="J1391" i="11"/>
  <c r="J1394" i="11" s="1"/>
  <c r="J1138" i="43"/>
  <c r="J1227" i="43" s="1"/>
  <c r="J1229" i="43" s="1"/>
  <c r="J1232" i="43" s="1"/>
  <c r="V888" i="43"/>
  <c r="S810" i="43"/>
  <c r="Q810" i="43"/>
  <c r="L180" i="43"/>
  <c r="M180" i="43" s="1"/>
  <c r="N810" i="43"/>
  <c r="J193" i="43"/>
  <c r="J219" i="43" s="1"/>
  <c r="J220" i="43" s="1"/>
  <c r="K181" i="43"/>
  <c r="K185" i="43" s="1"/>
  <c r="T810" i="43"/>
  <c r="L20" i="43"/>
  <c r="V649" i="43"/>
  <c r="J969" i="43"/>
  <c r="U810" i="43"/>
  <c r="R810" i="43"/>
  <c r="P810" i="43"/>
  <c r="V800" i="43"/>
  <c r="O810" i="43"/>
  <c r="M810" i="43"/>
  <c r="L810" i="43"/>
  <c r="J1019" i="11"/>
  <c r="J566" i="43"/>
  <c r="J568" i="43" s="1"/>
  <c r="K565" i="43"/>
  <c r="J766" i="43"/>
  <c r="J768" i="43" s="1"/>
  <c r="K765" i="43"/>
  <c r="K726" i="6"/>
  <c r="K725" i="6" s="1"/>
  <c r="J744" i="11" s="1"/>
  <c r="J745" i="11" s="1"/>
  <c r="J747" i="11" s="1"/>
  <c r="J788" i="11" s="1"/>
  <c r="J790" i="11" s="1"/>
  <c r="J570" i="43"/>
  <c r="L235" i="43"/>
  <c r="K236" i="43"/>
  <c r="N415" i="43"/>
  <c r="N434" i="43" s="1"/>
  <c r="N440" i="43" s="1"/>
  <c r="N417" i="43"/>
  <c r="J1062" i="43"/>
  <c r="J998" i="43"/>
  <c r="J1009" i="43"/>
  <c r="J995" i="43"/>
  <c r="J997" i="43"/>
  <c r="J1007" i="43"/>
  <c r="J1001" i="43"/>
  <c r="J1005" i="43"/>
  <c r="J1061" i="43"/>
  <c r="J1058" i="43"/>
  <c r="J1006" i="43"/>
  <c r="J1000" i="43"/>
  <c r="J1008" i="43"/>
  <c r="J1059" i="43"/>
  <c r="J1060" i="43"/>
  <c r="J996" i="43"/>
  <c r="J999" i="43"/>
  <c r="L223" i="43"/>
  <c r="K224" i="43"/>
  <c r="K309" i="43" s="1"/>
  <c r="J888" i="43"/>
  <c r="L257" i="43"/>
  <c r="K270" i="43"/>
  <c r="L417" i="43"/>
  <c r="L415" i="43"/>
  <c r="L434" i="43" s="1"/>
  <c r="L440" i="43" s="1"/>
  <c r="J28" i="43"/>
  <c r="J417" i="43"/>
  <c r="J415" i="43"/>
  <c r="J518" i="43"/>
  <c r="J319" i="43"/>
  <c r="K119" i="43"/>
  <c r="L105" i="43"/>
  <c r="I597" i="11"/>
  <c r="L201" i="43"/>
  <c r="K202" i="43"/>
  <c r="K304" i="43" s="1"/>
  <c r="F468" i="43"/>
  <c r="K465" i="43"/>
  <c r="J465" i="43"/>
  <c r="L465" i="43"/>
  <c r="M465" i="43"/>
  <c r="N465" i="43"/>
  <c r="O465" i="43"/>
  <c r="P465" i="43"/>
  <c r="Q465" i="43"/>
  <c r="R465" i="43"/>
  <c r="S465" i="43"/>
  <c r="T465" i="43"/>
  <c r="U465" i="43"/>
  <c r="V465" i="43"/>
  <c r="K810" i="43"/>
  <c r="K58" i="43"/>
  <c r="L57" i="43"/>
  <c r="L260" i="43"/>
  <c r="K273" i="43"/>
  <c r="J722" i="43"/>
  <c r="L545" i="43"/>
  <c r="K556" i="43"/>
  <c r="L259" i="43"/>
  <c r="K272" i="43"/>
  <c r="V415" i="43"/>
  <c r="V434" i="43" s="1"/>
  <c r="V440" i="43" s="1"/>
  <c r="V417" i="43"/>
  <c r="L212" i="43"/>
  <c r="K213" i="43"/>
  <c r="K319" i="43" s="1"/>
  <c r="J316" i="43"/>
  <c r="K316" i="43"/>
  <c r="L316" i="43"/>
  <c r="M316" i="43"/>
  <c r="N316" i="43"/>
  <c r="O316" i="43"/>
  <c r="P316" i="43"/>
  <c r="Q316" i="43"/>
  <c r="R316" i="43"/>
  <c r="S316" i="43"/>
  <c r="T316" i="43"/>
  <c r="U316" i="43"/>
  <c r="V316" i="43"/>
  <c r="J111" i="43"/>
  <c r="I42" i="43"/>
  <c r="J43" i="43"/>
  <c r="J125" i="43" s="1"/>
  <c r="L263" i="43"/>
  <c r="K276" i="43"/>
  <c r="L448" i="43"/>
  <c r="K449" i="43"/>
  <c r="J31" i="43"/>
  <c r="J1071" i="43" s="1"/>
  <c r="J947" i="43"/>
  <c r="J535" i="43"/>
  <c r="L109" i="43"/>
  <c r="K123" i="43"/>
  <c r="L74" i="43"/>
  <c r="K75" i="43"/>
  <c r="K114" i="43"/>
  <c r="L100" i="43"/>
  <c r="K115" i="43"/>
  <c r="L101" i="43"/>
  <c r="K269" i="43"/>
  <c r="L256" i="43"/>
  <c r="J685" i="43"/>
  <c r="J692" i="43"/>
  <c r="O417" i="43"/>
  <c r="O415" i="43"/>
  <c r="O434" i="43" s="1"/>
  <c r="O440" i="43" s="1"/>
  <c r="L542" i="43"/>
  <c r="K553" i="43"/>
  <c r="J1125" i="43"/>
  <c r="J1118" i="43"/>
  <c r="J1120" i="43"/>
  <c r="J1117" i="43"/>
  <c r="J1165" i="43"/>
  <c r="J1126" i="43"/>
  <c r="J1116" i="43"/>
  <c r="J1119" i="43"/>
  <c r="J1127" i="43"/>
  <c r="J1121" i="43"/>
  <c r="J1129" i="43"/>
  <c r="J1128" i="43"/>
  <c r="J1115" i="43"/>
  <c r="F524" i="11"/>
  <c r="F529" i="11" s="1"/>
  <c r="L253" i="43"/>
  <c r="K266" i="43"/>
  <c r="J649" i="43"/>
  <c r="K843" i="43"/>
  <c r="L842" i="43"/>
  <c r="K116" i="43"/>
  <c r="L102" i="43"/>
  <c r="J1128" i="11"/>
  <c r="L541" i="43"/>
  <c r="K552" i="43"/>
  <c r="M417" i="43"/>
  <c r="M415" i="43"/>
  <c r="M434" i="43" s="1"/>
  <c r="M440" i="43" s="1"/>
  <c r="K551" i="43"/>
  <c r="L540" i="43"/>
  <c r="L51" i="43"/>
  <c r="K52" i="43"/>
  <c r="J959" i="43"/>
  <c r="L106" i="43"/>
  <c r="K120" i="43"/>
  <c r="J549" i="43"/>
  <c r="L544" i="43"/>
  <c r="K555" i="43"/>
  <c r="J1097" i="11"/>
  <c r="K550" i="43"/>
  <c r="L539" i="43"/>
  <c r="J494" i="43"/>
  <c r="J265" i="43"/>
  <c r="J301" i="43"/>
  <c r="K301" i="43"/>
  <c r="L301" i="43"/>
  <c r="M301" i="43"/>
  <c r="N301" i="43"/>
  <c r="O301" i="43"/>
  <c r="P301" i="43"/>
  <c r="Q301" i="43"/>
  <c r="R301" i="43"/>
  <c r="S301" i="43"/>
  <c r="T301" i="43"/>
  <c r="U301" i="43"/>
  <c r="V301" i="43"/>
  <c r="J304" i="43"/>
  <c r="J810" i="43"/>
  <c r="J800" i="43" s="1"/>
  <c r="L261" i="43"/>
  <c r="K274" i="43"/>
  <c r="J1268" i="43"/>
  <c r="J964" i="43"/>
  <c r="K853" i="43"/>
  <c r="K855" i="43" s="1"/>
  <c r="L852" i="43"/>
  <c r="J23" i="43"/>
  <c r="J1016" i="43"/>
  <c r="L108" i="43"/>
  <c r="K122" i="43"/>
  <c r="L241" i="43"/>
  <c r="K242" i="43"/>
  <c r="P417" i="43"/>
  <c r="P415" i="43"/>
  <c r="P434" i="43" s="1"/>
  <c r="P440" i="43" s="1"/>
  <c r="J1114" i="43"/>
  <c r="J185" i="43"/>
  <c r="J845" i="43"/>
  <c r="J858" i="43"/>
  <c r="J506" i="43"/>
  <c r="J377" i="43"/>
  <c r="J378" i="43"/>
  <c r="I373" i="43"/>
  <c r="J488" i="43"/>
  <c r="K415" i="43"/>
  <c r="K434" i="43" s="1"/>
  <c r="K440" i="43" s="1"/>
  <c r="K417" i="43"/>
  <c r="L107" i="43"/>
  <c r="K121" i="43"/>
  <c r="J339" i="43"/>
  <c r="K339" i="43"/>
  <c r="L339" i="43"/>
  <c r="M339" i="43"/>
  <c r="N339" i="43"/>
  <c r="O339" i="43"/>
  <c r="P339" i="43"/>
  <c r="Q339" i="43"/>
  <c r="R339" i="43"/>
  <c r="S339" i="43"/>
  <c r="T339" i="43"/>
  <c r="U339" i="43"/>
  <c r="V339" i="43"/>
  <c r="J512" i="43"/>
  <c r="K230" i="43"/>
  <c r="L229" i="43"/>
  <c r="L255" i="43"/>
  <c r="K268" i="43"/>
  <c r="J452" i="43"/>
  <c r="L103" i="43"/>
  <c r="K117" i="43"/>
  <c r="J855" i="43"/>
  <c r="K688" i="43"/>
  <c r="K690" i="43" s="1"/>
  <c r="L687" i="43"/>
  <c r="K683" i="43"/>
  <c r="L682" i="43"/>
  <c r="L543" i="43"/>
  <c r="K554" i="43"/>
  <c r="J522" i="43"/>
  <c r="J523" i="43" s="1"/>
  <c r="I460" i="43"/>
  <c r="L547" i="43"/>
  <c r="K558" i="43"/>
  <c r="L104" i="43"/>
  <c r="K118" i="43"/>
  <c r="K761" i="43"/>
  <c r="L760" i="43"/>
  <c r="K267" i="43"/>
  <c r="L254" i="43"/>
  <c r="J763" i="43"/>
  <c r="L86" i="43"/>
  <c r="K87" i="43"/>
  <c r="K296" i="43"/>
  <c r="J296" i="43"/>
  <c r="L296" i="43"/>
  <c r="M296" i="43"/>
  <c r="N296" i="43"/>
  <c r="O296" i="43"/>
  <c r="P296" i="43"/>
  <c r="Q296" i="43"/>
  <c r="R296" i="43"/>
  <c r="S296" i="43"/>
  <c r="T296" i="43"/>
  <c r="U296" i="43"/>
  <c r="V296" i="43"/>
  <c r="K271" i="43"/>
  <c r="L258" i="43"/>
  <c r="L546" i="43"/>
  <c r="K557" i="43"/>
  <c r="K275" i="43"/>
  <c r="L262" i="43"/>
  <c r="F167" i="43"/>
  <c r="F353" i="43"/>
  <c r="F397" i="43"/>
  <c r="J344" i="43"/>
  <c r="K344" i="43"/>
  <c r="L344" i="43"/>
  <c r="M344" i="43"/>
  <c r="N344" i="43"/>
  <c r="O344" i="43"/>
  <c r="P344" i="43"/>
  <c r="Q344" i="43"/>
  <c r="R344" i="43"/>
  <c r="S344" i="43"/>
  <c r="T344" i="43"/>
  <c r="U344" i="43"/>
  <c r="V344" i="43"/>
  <c r="L98" i="43"/>
  <c r="K112" i="43"/>
  <c r="K1016" i="43"/>
  <c r="K23" i="43"/>
  <c r="L63" i="43"/>
  <c r="K65" i="43"/>
  <c r="K93" i="43"/>
  <c r="L92" i="43"/>
  <c r="J690" i="43"/>
  <c r="L329" i="43"/>
  <c r="L333" i="43" s="1"/>
  <c r="L403" i="11"/>
  <c r="L404" i="11" s="1"/>
  <c r="J362" i="14"/>
  <c r="J316" i="14"/>
  <c r="J523" i="14"/>
  <c r="K406" i="11"/>
  <c r="J224" i="14"/>
  <c r="J247" i="14"/>
  <c r="J477" i="11"/>
  <c r="I140" i="41"/>
  <c r="I142" i="41" s="1"/>
  <c r="E26" i="40"/>
  <c r="N285" i="43"/>
  <c r="M328" i="43"/>
  <c r="L26" i="43"/>
  <c r="M25" i="43"/>
  <c r="K992" i="43"/>
  <c r="K28" i="43"/>
  <c r="M290" i="43"/>
  <c r="M288" i="43"/>
  <c r="L288" i="43"/>
  <c r="L290" i="43"/>
  <c r="K290" i="43"/>
  <c r="K288" i="43"/>
  <c r="J290" i="43"/>
  <c r="J288" i="43"/>
  <c r="J177" i="43"/>
  <c r="J176" i="43" s="1"/>
  <c r="K333" i="43"/>
  <c r="K331" i="43"/>
  <c r="K1113" i="11"/>
  <c r="K1115" i="11" s="1"/>
  <c r="J21" i="11"/>
  <c r="J1163" i="11"/>
  <c r="I132" i="41"/>
  <c r="J201" i="14"/>
  <c r="I2" i="41"/>
  <c r="J1482" i="11"/>
  <c r="I357" i="41"/>
  <c r="J92" i="11"/>
  <c r="J93" i="11" s="1"/>
  <c r="J441" i="11"/>
  <c r="J170" i="11"/>
  <c r="J184" i="11"/>
  <c r="J215" i="11" s="1"/>
  <c r="J176" i="11"/>
  <c r="J213" i="11" s="1"/>
  <c r="J217" i="11" s="1"/>
  <c r="J516" i="11"/>
  <c r="D30" i="40"/>
  <c r="D7" i="40" s="1"/>
  <c r="J84" i="14"/>
  <c r="K9" i="25"/>
  <c r="L6" i="25"/>
  <c r="L7" i="25" s="1"/>
  <c r="M6" i="25" s="1"/>
  <c r="M7" i="25" s="1"/>
  <c r="K9" i="36"/>
  <c r="L6" i="36"/>
  <c r="L7" i="36" s="1"/>
  <c r="K8" i="36"/>
  <c r="K9" i="35"/>
  <c r="L6" i="35"/>
  <c r="L7" i="35" s="1"/>
  <c r="K8" i="35"/>
  <c r="T34" i="35"/>
  <c r="T69" i="35"/>
  <c r="T57" i="35" s="1"/>
  <c r="T21" i="36"/>
  <c r="T21" i="35"/>
  <c r="J78" i="24"/>
  <c r="J78" i="25" s="1"/>
  <c r="K6" i="28"/>
  <c r="K7" i="28" s="1"/>
  <c r="K9" i="28" s="1"/>
  <c r="K35" i="28" s="1"/>
  <c r="J8" i="28"/>
  <c r="J52" i="28" s="1"/>
  <c r="I35" i="28"/>
  <c r="I45" i="28"/>
  <c r="J45" i="28"/>
  <c r="J88" i="23" s="1"/>
  <c r="J35" i="28"/>
  <c r="J40" i="28"/>
  <c r="K104" i="15"/>
  <c r="L1515" i="11"/>
  <c r="L1517" i="11" s="1"/>
  <c r="K1100" i="11"/>
  <c r="L1173" i="6"/>
  <c r="L1172" i="6" s="1"/>
  <c r="K32" i="11" s="1"/>
  <c r="J40" i="23"/>
  <c r="J43" i="23" s="1"/>
  <c r="I1467" i="11"/>
  <c r="N105" i="23"/>
  <c r="N106" i="23" s="1"/>
  <c r="N110" i="23" s="1"/>
  <c r="N113" i="23" s="1"/>
  <c r="R40" i="23"/>
  <c r="R43" i="23" s="1"/>
  <c r="J518" i="11"/>
  <c r="J100" i="11"/>
  <c r="J114" i="11" s="1"/>
  <c r="J361" i="11"/>
  <c r="K11" i="11"/>
  <c r="K12" i="11" s="1"/>
  <c r="K9" i="11"/>
  <c r="K1460" i="11" s="1"/>
  <c r="L6" i="11"/>
  <c r="L7" i="11" s="1"/>
  <c r="L8" i="11" s="1"/>
  <c r="M1173" i="6"/>
  <c r="M1172" i="6" s="1"/>
  <c r="L32" i="11" s="1"/>
  <c r="M1160" i="6"/>
  <c r="M1159" i="6" s="1"/>
  <c r="K147" i="23"/>
  <c r="J904" i="11"/>
  <c r="J906" i="11" s="1"/>
  <c r="K9" i="24"/>
  <c r="L6" i="24"/>
  <c r="L7" i="24" s="1"/>
  <c r="M6" i="24" s="1"/>
  <c r="M7" i="24" s="1"/>
  <c r="J676" i="11"/>
  <c r="J98" i="11"/>
  <c r="J112" i="11" s="1"/>
  <c r="J104" i="11"/>
  <c r="J118" i="11" s="1"/>
  <c r="J310" i="11"/>
  <c r="J109" i="11"/>
  <c r="J108" i="11"/>
  <c r="J122" i="11" s="1"/>
  <c r="J680" i="11"/>
  <c r="J739" i="11"/>
  <c r="J740" i="11" s="1"/>
  <c r="J742" i="11" s="1"/>
  <c r="J783" i="11" s="1"/>
  <c r="J785" i="11" s="1"/>
  <c r="V40" i="23"/>
  <c r="V43" i="23" s="1"/>
  <c r="J101" i="11"/>
  <c r="J115" i="11" s="1"/>
  <c r="J63" i="11"/>
  <c r="J322" i="11"/>
  <c r="J877" i="11"/>
  <c r="J879" i="11" s="1"/>
  <c r="S147" i="23"/>
  <c r="J51" i="11"/>
  <c r="J304" i="11"/>
  <c r="J305" i="11" s="1"/>
  <c r="J331" i="11"/>
  <c r="J344" i="11" s="1"/>
  <c r="J74" i="11"/>
  <c r="J316" i="11"/>
  <c r="J317" i="11" s="1"/>
  <c r="J684" i="11"/>
  <c r="J337" i="11"/>
  <c r="J350" i="11" s="1"/>
  <c r="J333" i="11"/>
  <c r="J335" i="11"/>
  <c r="J914" i="11"/>
  <c r="O28" i="24"/>
  <c r="J12" i="25"/>
  <c r="J14" i="25" s="1"/>
  <c r="J477" i="14"/>
  <c r="J36" i="14"/>
  <c r="J500" i="14"/>
  <c r="J270" i="14"/>
  <c r="J293" i="14"/>
  <c r="J131" i="14"/>
  <c r="J454" i="14"/>
  <c r="J339" i="14"/>
  <c r="J155" i="14"/>
  <c r="J385" i="14"/>
  <c r="J178" i="14"/>
  <c r="J408" i="14"/>
  <c r="J431" i="14"/>
  <c r="J162" i="14"/>
  <c r="J138" i="48" s="1"/>
  <c r="D48" i="40" s="1"/>
  <c r="J1053" i="11"/>
  <c r="J997" i="11"/>
  <c r="J982" i="11"/>
  <c r="J887" i="11"/>
  <c r="J961" i="11"/>
  <c r="J41" i="11"/>
  <c r="J68" i="11"/>
  <c r="J99" i="11"/>
  <c r="J15" i="11"/>
  <c r="K12" i="6"/>
  <c r="J622" i="11"/>
  <c r="J948" i="11"/>
  <c r="J400" i="11"/>
  <c r="J510" i="11"/>
  <c r="J831" i="11"/>
  <c r="J965" i="11"/>
  <c r="J1085" i="11"/>
  <c r="J679" i="11"/>
  <c r="J867" i="11"/>
  <c r="J1033" i="11"/>
  <c r="J445" i="14" s="1"/>
  <c r="J421" i="48" s="1"/>
  <c r="J955" i="11"/>
  <c r="J870" i="11"/>
  <c r="J357" i="11"/>
  <c r="J391" i="11" s="1"/>
  <c r="J734" i="11"/>
  <c r="J735" i="11" s="1"/>
  <c r="J737" i="11" s="1"/>
  <c r="J328" i="11"/>
  <c r="J634" i="11"/>
  <c r="J103" i="11"/>
  <c r="J271" i="11"/>
  <c r="J669" i="11"/>
  <c r="J677" i="11"/>
  <c r="J977" i="11"/>
  <c r="J683" i="11"/>
  <c r="J1011" i="11"/>
  <c r="J1012" i="11" s="1"/>
  <c r="J1014" i="11" s="1"/>
  <c r="J851" i="11"/>
  <c r="J852" i="11" s="1"/>
  <c r="J276" i="11"/>
  <c r="J803" i="11"/>
  <c r="J612" i="11"/>
  <c r="J681" i="11"/>
  <c r="J987" i="11"/>
  <c r="J1043" i="11"/>
  <c r="J282" i="11"/>
  <c r="J826" i="11"/>
  <c r="J1021" i="11"/>
  <c r="J1022" i="11" s="1"/>
  <c r="J1024" i="11" s="1"/>
  <c r="J582" i="11"/>
  <c r="J617" i="11"/>
  <c r="J338" i="11"/>
  <c r="J298" i="11"/>
  <c r="J640" i="11"/>
  <c r="J992" i="11"/>
  <c r="J1060" i="11"/>
  <c r="J945" i="11"/>
  <c r="J26" i="11"/>
  <c r="J1036" i="11"/>
  <c r="J1091" i="11"/>
  <c r="J31" i="11" s="1"/>
  <c r="J336" i="11"/>
  <c r="J821" i="11"/>
  <c r="J330" i="11"/>
  <c r="J652" i="11"/>
  <c r="J841" i="11"/>
  <c r="J1065" i="11"/>
  <c r="J934" i="11"/>
  <c r="J935" i="11" s="1"/>
  <c r="J937" i="11" s="1"/>
  <c r="J1538" i="11"/>
  <c r="J1542" i="11" s="1"/>
  <c r="J585" i="11"/>
  <c r="J586" i="11" s="1"/>
  <c r="J1003" i="11"/>
  <c r="J1007" i="11" s="1"/>
  <c r="J926" i="11"/>
  <c r="J731" i="11"/>
  <c r="J836" i="11"/>
  <c r="J255" i="11"/>
  <c r="J646" i="11"/>
  <c r="J107" i="11"/>
  <c r="J332" i="11"/>
  <c r="J57" i="11"/>
  <c r="J1070" i="11"/>
  <c r="J771" i="11"/>
  <c r="J334" i="11"/>
  <c r="J848" i="11"/>
  <c r="J287" i="11"/>
  <c r="J105" i="11"/>
  <c r="J808" i="11"/>
  <c r="J266" i="11"/>
  <c r="J268" i="11" s="1"/>
  <c r="J628" i="11"/>
  <c r="J813" i="11"/>
  <c r="J972" i="11"/>
  <c r="J1080" i="11"/>
  <c r="J1075" i="11"/>
  <c r="P106" i="23"/>
  <c r="P110" i="23" s="1"/>
  <c r="P113" i="23" s="1"/>
  <c r="J919" i="11"/>
  <c r="J767" i="11"/>
  <c r="R106" i="23"/>
  <c r="R110" i="23" s="1"/>
  <c r="R113" i="23" s="1"/>
  <c r="M25" i="19"/>
  <c r="N23" i="19"/>
  <c r="F428" i="11"/>
  <c r="K1094" i="11"/>
  <c r="K1096" i="11" s="1"/>
  <c r="K1097" i="11" s="1"/>
  <c r="K1016" i="11"/>
  <c r="K1017" i="11" s="1"/>
  <c r="K1019" i="11" s="1"/>
  <c r="K1106" i="11"/>
  <c r="K1110" i="11" s="1"/>
  <c r="K1099" i="11"/>
  <c r="K1103" i="11" s="1"/>
  <c r="K1473" i="11"/>
  <c r="K1006" i="11"/>
  <c r="K513" i="11"/>
  <c r="K514" i="11" s="1"/>
  <c r="K1391" i="11" s="1"/>
  <c r="L50" i="23"/>
  <c r="L128" i="23"/>
  <c r="L55" i="23"/>
  <c r="J682" i="11"/>
  <c r="J894" i="11"/>
  <c r="J329" i="11"/>
  <c r="U105" i="23"/>
  <c r="U40" i="23"/>
  <c r="U43" i="23" s="1"/>
  <c r="U134" i="28" s="1"/>
  <c r="J929" i="11"/>
  <c r="J930" i="11" s="1"/>
  <c r="Q50" i="23"/>
  <c r="Q55" i="23"/>
  <c r="Q128" i="23"/>
  <c r="F605" i="11"/>
  <c r="L106" i="23"/>
  <c r="L110" i="23" s="1"/>
  <c r="L113" i="23" s="1"/>
  <c r="Q106" i="23"/>
  <c r="Q110" i="23" s="1"/>
  <c r="Q113" i="23" s="1"/>
  <c r="K105" i="23"/>
  <c r="K40" i="23"/>
  <c r="K43" i="23" s="1"/>
  <c r="K134" i="28" s="1"/>
  <c r="J909" i="11"/>
  <c r="S105" i="23"/>
  <c r="S40" i="23"/>
  <c r="S43" i="23" s="1"/>
  <c r="S134" i="28" s="1"/>
  <c r="J102" i="11"/>
  <c r="J106" i="11"/>
  <c r="T50" i="23"/>
  <c r="T128" i="23"/>
  <c r="T55" i="23"/>
  <c r="I37" i="23"/>
  <c r="N50" i="23"/>
  <c r="N128" i="23"/>
  <c r="N55" i="23"/>
  <c r="V106" i="23"/>
  <c r="V110" i="23" s="1"/>
  <c r="V113" i="23" s="1"/>
  <c r="M11" i="6"/>
  <c r="N6" i="6"/>
  <c r="N7" i="6" s="1"/>
  <c r="M9" i="6"/>
  <c r="M8" i="6"/>
  <c r="T106" i="23"/>
  <c r="T110" i="23" s="1"/>
  <c r="T113" i="23" s="1"/>
  <c r="O105" i="23"/>
  <c r="O40" i="23"/>
  <c r="O43" i="23" s="1"/>
  <c r="O134" i="28" s="1"/>
  <c r="J86" i="11"/>
  <c r="K11" i="25"/>
  <c r="K12" i="25" s="1"/>
  <c r="L6" i="14"/>
  <c r="L7" i="14" s="1"/>
  <c r="K9" i="14"/>
  <c r="J3" i="41" s="1"/>
  <c r="K11" i="14"/>
  <c r="K12" i="14" s="1"/>
  <c r="K8" i="14"/>
  <c r="K108" i="14" s="1"/>
  <c r="J678" i="11"/>
  <c r="P50" i="23"/>
  <c r="P55" i="23"/>
  <c r="P128" i="23"/>
  <c r="M105" i="23"/>
  <c r="M40" i="23"/>
  <c r="M43" i="23" s="1"/>
  <c r="M134" i="28" s="1"/>
  <c r="J899" i="11"/>
  <c r="J106" i="23"/>
  <c r="J110" i="23" s="1"/>
  <c r="J113" i="23" s="1"/>
  <c r="J856" i="11"/>
  <c r="J857" i="11" s="1"/>
  <c r="J859" i="11" s="1"/>
  <c r="L8" i="19"/>
  <c r="L9" i="19"/>
  <c r="M6" i="19"/>
  <c r="M7" i="19" s="1"/>
  <c r="L28" i="25"/>
  <c r="L51" i="36" s="1"/>
  <c r="L28" i="24"/>
  <c r="Q28" i="24"/>
  <c r="Q28" i="25"/>
  <c r="Q51" i="36" s="1"/>
  <c r="J28" i="25"/>
  <c r="J51" i="36" s="1"/>
  <c r="J28" i="24"/>
  <c r="I54" i="15"/>
  <c r="T28" i="25"/>
  <c r="T51" i="36" s="1"/>
  <c r="T28" i="24"/>
  <c r="M28" i="25"/>
  <c r="M51" i="36" s="1"/>
  <c r="M28" i="24"/>
  <c r="U28" i="25"/>
  <c r="U51" i="36" s="1"/>
  <c r="U28" i="24"/>
  <c r="P28" i="24"/>
  <c r="P28" i="25"/>
  <c r="P51" i="36" s="1"/>
  <c r="K28" i="25"/>
  <c r="K51" i="36" s="1"/>
  <c r="K28" i="24"/>
  <c r="N28" i="25"/>
  <c r="N51" i="36" s="1"/>
  <c r="N28" i="24"/>
  <c r="V28" i="25"/>
  <c r="V51" i="36" s="1"/>
  <c r="V28" i="24"/>
  <c r="R28" i="25"/>
  <c r="R51" i="36" s="1"/>
  <c r="R28" i="24"/>
  <c r="I264" i="14"/>
  <c r="S28" i="25"/>
  <c r="S51" i="36" s="1"/>
  <c r="S28" i="24"/>
  <c r="L8" i="15"/>
  <c r="L62" i="15" s="1"/>
  <c r="L9" i="15"/>
  <c r="M6" i="15"/>
  <c r="M7" i="15" s="1"/>
  <c r="M8" i="23"/>
  <c r="M47" i="23" s="1"/>
  <c r="N6" i="23"/>
  <c r="N7" i="23" s="1"/>
  <c r="M9" i="23"/>
  <c r="K62" i="14" l="1"/>
  <c r="I49" i="14"/>
  <c r="J62" i="14"/>
  <c r="N62" i="14"/>
  <c r="M62" i="14"/>
  <c r="O62" i="14"/>
  <c r="L62" i="14"/>
  <c r="T62" i="14"/>
  <c r="J197" i="11"/>
  <c r="J199" i="11" s="1"/>
  <c r="J194" i="11"/>
  <c r="M1498" i="11"/>
  <c r="M1494" i="11" s="1"/>
  <c r="M44" i="19" s="1"/>
  <c r="S727" i="43"/>
  <c r="K649" i="43"/>
  <c r="K48" i="43"/>
  <c r="N1484" i="11"/>
  <c r="N1487" i="11" s="1"/>
  <c r="N1494" i="11"/>
  <c r="N44" i="19" s="1"/>
  <c r="M1484" i="11"/>
  <c r="M1487" i="11" s="1"/>
  <c r="L11" i="19"/>
  <c r="L12" i="19" s="1"/>
  <c r="L26" i="19" s="1"/>
  <c r="L649" i="43"/>
  <c r="U727" i="43"/>
  <c r="U722" i="43" s="1"/>
  <c r="J572" i="11"/>
  <c r="I6" i="39"/>
  <c r="J1152" i="43"/>
  <c r="T1273" i="43"/>
  <c r="K11" i="19"/>
  <c r="K12" i="19" s="1"/>
  <c r="K26" i="19" s="1"/>
  <c r="P952" i="43"/>
  <c r="O800" i="43"/>
  <c r="R477" i="43"/>
  <c r="T477" i="43"/>
  <c r="J1155" i="43"/>
  <c r="M888" i="43"/>
  <c r="K722" i="43"/>
  <c r="K888" i="43"/>
  <c r="Q649" i="43"/>
  <c r="S888" i="43"/>
  <c r="S417" i="43"/>
  <c r="R649" i="43"/>
  <c r="K360" i="11"/>
  <c r="K361" i="11" s="1"/>
  <c r="K13" i="11"/>
  <c r="K952" i="43"/>
  <c r="K11" i="36"/>
  <c r="K12" i="36" s="1"/>
  <c r="K21" i="36" s="1"/>
  <c r="U14" i="48"/>
  <c r="T14" i="48"/>
  <c r="S14" i="48"/>
  <c r="R14" i="48"/>
  <c r="L952" i="43"/>
  <c r="S952" i="43"/>
  <c r="O952" i="43"/>
  <c r="Q509" i="43"/>
  <c r="P510" i="43"/>
  <c r="P800" i="43"/>
  <c r="O510" i="43"/>
  <c r="L888" i="43"/>
  <c r="R415" i="43"/>
  <c r="R434" i="43" s="1"/>
  <c r="R440" i="43" s="1"/>
  <c r="T800" i="43"/>
  <c r="J1142" i="43"/>
  <c r="Q415" i="43"/>
  <c r="Q434" i="43" s="1"/>
  <c r="Q440" i="43" s="1"/>
  <c r="R727" i="43"/>
  <c r="R722" i="43" s="1"/>
  <c r="R952" i="43"/>
  <c r="N888" i="43"/>
  <c r="N722" i="43"/>
  <c r="N649" i="43"/>
  <c r="S722" i="43"/>
  <c r="L722" i="43"/>
  <c r="T417" i="43"/>
  <c r="O649" i="43"/>
  <c r="R888" i="43"/>
  <c r="M952" i="43"/>
  <c r="J232" i="43"/>
  <c r="J1153" i="43"/>
  <c r="J1146" i="43"/>
  <c r="P888" i="43"/>
  <c r="N800" i="43"/>
  <c r="U649" i="43"/>
  <c r="J244" i="43"/>
  <c r="U417" i="43"/>
  <c r="N710" i="43"/>
  <c r="O710" i="43"/>
  <c r="T888" i="43"/>
  <c r="M710" i="43"/>
  <c r="T639" i="43"/>
  <c r="S641" i="43"/>
  <c r="Q952" i="43"/>
  <c r="K800" i="43"/>
  <c r="R800" i="43"/>
  <c r="J204" i="43"/>
  <c r="Q888" i="43"/>
  <c r="Q708" i="43"/>
  <c r="P710" i="43"/>
  <c r="J215" i="43"/>
  <c r="J238" i="43"/>
  <c r="M800" i="43"/>
  <c r="T727" i="43"/>
  <c r="T722" i="43" s="1"/>
  <c r="V475" i="43"/>
  <c r="V477" i="43" s="1"/>
  <c r="U477" i="43"/>
  <c r="K11" i="35"/>
  <c r="K12" i="35" s="1"/>
  <c r="K22" i="35" s="1"/>
  <c r="L11" i="15"/>
  <c r="L12" i="15" s="1"/>
  <c r="J11" i="23"/>
  <c r="J12" i="23" s="1"/>
  <c r="J14" i="23" s="1"/>
  <c r="K11" i="23"/>
  <c r="K12" i="23" s="1"/>
  <c r="T1133" i="11"/>
  <c r="G15" i="40"/>
  <c r="H9" i="50"/>
  <c r="M11" i="23"/>
  <c r="M12" i="23" s="1"/>
  <c r="L1133" i="11"/>
  <c r="K11" i="24"/>
  <c r="K12" i="24" s="1"/>
  <c r="K14" i="24" s="1"/>
  <c r="K11" i="15"/>
  <c r="K12" i="15" s="1"/>
  <c r="K14" i="15" s="1"/>
  <c r="V14" i="48"/>
  <c r="I15" i="40"/>
  <c r="J9" i="50"/>
  <c r="N15" i="40"/>
  <c r="O9" i="50"/>
  <c r="K15" i="40"/>
  <c r="L9" i="50"/>
  <c r="L15" i="40"/>
  <c r="M9" i="50"/>
  <c r="J15" i="40"/>
  <c r="K9" i="50"/>
  <c r="H15" i="40"/>
  <c r="I9" i="50"/>
  <c r="K1275" i="11"/>
  <c r="K700" i="11"/>
  <c r="M722" i="43"/>
  <c r="T649" i="43"/>
  <c r="Q722" i="43"/>
  <c r="T952" i="43"/>
  <c r="O722" i="43"/>
  <c r="S649" i="43"/>
  <c r="M649" i="43"/>
  <c r="P722" i="43"/>
  <c r="O888" i="43"/>
  <c r="U888" i="43"/>
  <c r="P649" i="43"/>
  <c r="J14" i="48"/>
  <c r="L14" i="48"/>
  <c r="K14" i="48"/>
  <c r="N14" i="48"/>
  <c r="M14" i="48"/>
  <c r="O14" i="48"/>
  <c r="P14" i="48"/>
  <c r="Q14" i="48"/>
  <c r="N1273" i="43"/>
  <c r="M1306" i="43"/>
  <c r="M1309" i="43" s="1"/>
  <c r="T1521" i="11"/>
  <c r="T1523" i="11" s="1"/>
  <c r="P1306" i="43"/>
  <c r="P1308" i="43" s="1"/>
  <c r="S1273" i="43"/>
  <c r="L425" i="43"/>
  <c r="S1521" i="11"/>
  <c r="S1524" i="11" s="1"/>
  <c r="N952" i="43"/>
  <c r="U952" i="43"/>
  <c r="V952" i="43"/>
  <c r="K162" i="14"/>
  <c r="K138" i="48" s="1"/>
  <c r="E48" i="40" s="1"/>
  <c r="J535" i="11"/>
  <c r="J541" i="11" s="1"/>
  <c r="R1521" i="11"/>
  <c r="R1523" i="11" s="1"/>
  <c r="Q1487" i="11"/>
  <c r="Q77" i="15"/>
  <c r="Q51" i="24" s="1"/>
  <c r="Q52" i="24" s="1"/>
  <c r="T77" i="15"/>
  <c r="T51" i="24" s="1"/>
  <c r="T99" i="24" s="1"/>
  <c r="S77" i="15"/>
  <c r="S51" i="24" s="1"/>
  <c r="U1521" i="11"/>
  <c r="U1523" i="11" s="1"/>
  <c r="U77" i="15"/>
  <c r="U51" i="24" s="1"/>
  <c r="R77" i="15"/>
  <c r="R51" i="24" s="1"/>
  <c r="N1133" i="11"/>
  <c r="V1133" i="11"/>
  <c r="G35" i="40"/>
  <c r="O1133" i="11"/>
  <c r="M1133" i="11"/>
  <c r="U1133" i="11"/>
  <c r="P1133" i="11"/>
  <c r="Q1133" i="11"/>
  <c r="V1521" i="11"/>
  <c r="V1524" i="11" s="1"/>
  <c r="J1133" i="11"/>
  <c r="F1136" i="11"/>
  <c r="J1138" i="11" s="1"/>
  <c r="V77" i="15"/>
  <c r="V51" i="24" s="1"/>
  <c r="R1133" i="11"/>
  <c r="K1133" i="11"/>
  <c r="P1521" i="11"/>
  <c r="P1523" i="11" s="1"/>
  <c r="P77" i="15"/>
  <c r="P51" i="24" s="1"/>
  <c r="K425" i="43"/>
  <c r="V425" i="43"/>
  <c r="K1521" i="11"/>
  <c r="K1523" i="11" s="1"/>
  <c r="K77" i="15"/>
  <c r="J1363" i="11"/>
  <c r="J1435" i="11" s="1"/>
  <c r="D29" i="40"/>
  <c r="D9" i="40" s="1"/>
  <c r="R425" i="43"/>
  <c r="I969" i="43"/>
  <c r="P425" i="43"/>
  <c r="N1308" i="43"/>
  <c r="N1309" i="43"/>
  <c r="J244" i="11"/>
  <c r="J99" i="14" s="1"/>
  <c r="J721" i="11"/>
  <c r="J726" i="11"/>
  <c r="J249" i="11"/>
  <c r="J577" i="11"/>
  <c r="O425" i="43"/>
  <c r="I959" i="43"/>
  <c r="Q800" i="43"/>
  <c r="I598" i="43"/>
  <c r="V1273" i="43"/>
  <c r="V1306" i="43"/>
  <c r="J425" i="43"/>
  <c r="K945" i="43"/>
  <c r="O1273" i="43"/>
  <c r="O1306" i="43"/>
  <c r="U1273" i="43"/>
  <c r="U1306" i="43"/>
  <c r="F428" i="43"/>
  <c r="V430" i="43" s="1"/>
  <c r="L1273" i="43"/>
  <c r="M848" i="43"/>
  <c r="M850" i="43" s="1"/>
  <c r="N847" i="43"/>
  <c r="R941" i="43"/>
  <c r="S937" i="43"/>
  <c r="U425" i="43"/>
  <c r="Q1306" i="43"/>
  <c r="Q1273" i="43"/>
  <c r="K1107" i="11"/>
  <c r="K938" i="43"/>
  <c r="Q934" i="43"/>
  <c r="R930" i="43"/>
  <c r="T425" i="43"/>
  <c r="P927" i="43"/>
  <c r="P928" i="43" s="1"/>
  <c r="Q925" i="43"/>
  <c r="M31" i="43"/>
  <c r="M34" i="43" s="1"/>
  <c r="M947" i="43"/>
  <c r="M978" i="43" s="1"/>
  <c r="O1521" i="11"/>
  <c r="O1524" i="11" s="1"/>
  <c r="S425" i="43"/>
  <c r="U800" i="43"/>
  <c r="K1306" i="43"/>
  <c r="K1273" i="43"/>
  <c r="O77" i="15"/>
  <c r="O51" i="24" s="1"/>
  <c r="I1128" i="11"/>
  <c r="R1306" i="43"/>
  <c r="R1273" i="43"/>
  <c r="Q425" i="43"/>
  <c r="L1107" i="11"/>
  <c r="L938" i="43"/>
  <c r="N425" i="43"/>
  <c r="I964" i="43"/>
  <c r="K223" i="11"/>
  <c r="L945" i="43"/>
  <c r="L800" i="43"/>
  <c r="S800" i="43"/>
  <c r="N838" i="43"/>
  <c r="N840" i="43" s="1"/>
  <c r="O837" i="43"/>
  <c r="S1309" i="43"/>
  <c r="S1308" i="43"/>
  <c r="K551" i="11"/>
  <c r="T1308" i="43"/>
  <c r="T1309" i="43"/>
  <c r="J564" i="11"/>
  <c r="J558" i="11"/>
  <c r="K1394" i="11"/>
  <c r="J1396" i="11"/>
  <c r="J1398" i="11" s="1"/>
  <c r="J1144" i="43"/>
  <c r="J1147" i="43"/>
  <c r="J439" i="43"/>
  <c r="J1145" i="43"/>
  <c r="J1143" i="43"/>
  <c r="J1151" i="43"/>
  <c r="J1141" i="43"/>
  <c r="L1309" i="43"/>
  <c r="L1308" i="43"/>
  <c r="J859" i="43"/>
  <c r="J868" i="43" s="1"/>
  <c r="J870" i="43" s="1"/>
  <c r="L184" i="43"/>
  <c r="L1114" i="43" s="1"/>
  <c r="L181" i="43"/>
  <c r="L177" i="43" s="1"/>
  <c r="L176" i="43" s="1"/>
  <c r="K1112" i="43"/>
  <c r="K1121" i="43" s="1"/>
  <c r="K1138" i="43"/>
  <c r="K1144" i="43" s="1"/>
  <c r="K177" i="43"/>
  <c r="K176" i="43" s="1"/>
  <c r="J278" i="43"/>
  <c r="K187" i="43"/>
  <c r="K238" i="43" s="1"/>
  <c r="I193" i="43"/>
  <c r="I344" i="43"/>
  <c r="I316" i="43"/>
  <c r="K549" i="43"/>
  <c r="M20" i="43"/>
  <c r="L21" i="43"/>
  <c r="J1346" i="11"/>
  <c r="J1353" i="11" s="1"/>
  <c r="J1178" i="43"/>
  <c r="J1180" i="43" s="1"/>
  <c r="J1186" i="43" s="1"/>
  <c r="J531" i="11"/>
  <c r="E137" i="40"/>
  <c r="J1088" i="43"/>
  <c r="J1085" i="43"/>
  <c r="J1079" i="43"/>
  <c r="J1075" i="43"/>
  <c r="J1077" i="43"/>
  <c r="J1074" i="43"/>
  <c r="J1076" i="43"/>
  <c r="J1216" i="43"/>
  <c r="J1218" i="43" s="1"/>
  <c r="J1078" i="43"/>
  <c r="J1087" i="43"/>
  <c r="J1086" i="43"/>
  <c r="J1080" i="43"/>
  <c r="J1084" i="43"/>
  <c r="L112" i="43"/>
  <c r="M98" i="43"/>
  <c r="L843" i="43"/>
  <c r="M842" i="43"/>
  <c r="K355" i="43"/>
  <c r="J355" i="43"/>
  <c r="L355" i="43"/>
  <c r="M355" i="43"/>
  <c r="N355" i="43"/>
  <c r="O355" i="43"/>
  <c r="P355" i="43"/>
  <c r="Q355" i="43"/>
  <c r="R355" i="43"/>
  <c r="S355" i="43"/>
  <c r="T355" i="43"/>
  <c r="U355" i="43"/>
  <c r="V355" i="43"/>
  <c r="L213" i="43"/>
  <c r="L319" i="43" s="1"/>
  <c r="M212" i="43"/>
  <c r="L122" i="43"/>
  <c r="M108" i="43"/>
  <c r="L275" i="43"/>
  <c r="M262" i="43"/>
  <c r="J1031" i="43"/>
  <c r="J1024" i="43"/>
  <c r="J1032" i="43"/>
  <c r="J1025" i="43"/>
  <c r="J1029" i="43"/>
  <c r="J1033" i="43"/>
  <c r="J1019" i="43"/>
  <c r="J1020" i="43"/>
  <c r="J1023" i="43"/>
  <c r="J1030" i="43"/>
  <c r="J1021" i="43"/>
  <c r="J1022" i="43"/>
  <c r="L555" i="43"/>
  <c r="M544" i="43"/>
  <c r="M256" i="43"/>
  <c r="L269" i="43"/>
  <c r="K766" i="43"/>
  <c r="K768" i="43" s="1"/>
  <c r="L765" i="43"/>
  <c r="L761" i="43"/>
  <c r="M760" i="43"/>
  <c r="I339" i="43"/>
  <c r="L123" i="43"/>
  <c r="M109" i="43"/>
  <c r="M263" i="43"/>
  <c r="L276" i="43"/>
  <c r="K265" i="43"/>
  <c r="K439" i="43" s="1"/>
  <c r="K441" i="43" s="1"/>
  <c r="K278" i="43"/>
  <c r="F527" i="43"/>
  <c r="J470" i="43"/>
  <c r="J472" i="43" s="1"/>
  <c r="K470" i="43"/>
  <c r="K472" i="43" s="1"/>
  <c r="L470" i="43"/>
  <c r="L472" i="43" s="1"/>
  <c r="M470" i="43"/>
  <c r="M472" i="43" s="1"/>
  <c r="N470" i="43"/>
  <c r="N472" i="43" s="1"/>
  <c r="O470" i="43"/>
  <c r="O472" i="43" s="1"/>
  <c r="P470" i="43"/>
  <c r="P472" i="43" s="1"/>
  <c r="Q470" i="43"/>
  <c r="Q472" i="43" s="1"/>
  <c r="R470" i="43"/>
  <c r="R472" i="43" s="1"/>
  <c r="S470" i="43"/>
  <c r="S472" i="43" s="1"/>
  <c r="T470" i="43"/>
  <c r="T472" i="43" s="1"/>
  <c r="U470" i="43"/>
  <c r="U472" i="43" s="1"/>
  <c r="V470" i="43"/>
  <c r="V472" i="43" s="1"/>
  <c r="M63" i="43"/>
  <c r="L65" i="43"/>
  <c r="K763" i="43"/>
  <c r="J37" i="43"/>
  <c r="M253" i="43"/>
  <c r="L266" i="43"/>
  <c r="J1130" i="43"/>
  <c r="J81" i="43"/>
  <c r="J83" i="43" s="1"/>
  <c r="I43" i="43"/>
  <c r="L272" i="43"/>
  <c r="M259" i="43"/>
  <c r="I465" i="43"/>
  <c r="M257" i="43"/>
  <c r="L270" i="43"/>
  <c r="J1057" i="43"/>
  <c r="M541" i="43"/>
  <c r="L552" i="43"/>
  <c r="L115" i="43"/>
  <c r="M101" i="43"/>
  <c r="J978" i="43"/>
  <c r="J434" i="43"/>
  <c r="J440" i="43" s="1"/>
  <c r="L550" i="43"/>
  <c r="M539" i="43"/>
  <c r="M103" i="43"/>
  <c r="L117" i="43"/>
  <c r="M261" i="43"/>
  <c r="L274" i="43"/>
  <c r="M546" i="43"/>
  <c r="L557" i="43"/>
  <c r="J1122" i="43"/>
  <c r="J34" i="43"/>
  <c r="J1045" i="43"/>
  <c r="K347" i="43"/>
  <c r="K350" i="43" s="1"/>
  <c r="K161" i="43"/>
  <c r="K164" i="43" s="1"/>
  <c r="K391" i="43"/>
  <c r="K394" i="43" s="1"/>
  <c r="J498" i="43"/>
  <c r="J500" i="43" s="1"/>
  <c r="M235" i="43"/>
  <c r="L236" i="43"/>
  <c r="M86" i="43"/>
  <c r="L87" i="43"/>
  <c r="M46" i="43"/>
  <c r="L48" i="43"/>
  <c r="M105" i="43"/>
  <c r="L119" i="43"/>
  <c r="J770" i="43"/>
  <c r="L688" i="43"/>
  <c r="L690" i="43" s="1"/>
  <c r="M687" i="43"/>
  <c r="M255" i="43"/>
  <c r="L268" i="43"/>
  <c r="M51" i="43"/>
  <c r="L52" i="43"/>
  <c r="M102" i="43"/>
  <c r="L116" i="43"/>
  <c r="K454" i="43"/>
  <c r="K452" i="43"/>
  <c r="K498" i="43" s="1"/>
  <c r="K500" i="43" s="1"/>
  <c r="M260" i="43"/>
  <c r="L273" i="43"/>
  <c r="K125" i="43"/>
  <c r="K111" i="43"/>
  <c r="L224" i="43"/>
  <c r="L309" i="43" s="1"/>
  <c r="L311" i="43" s="1"/>
  <c r="M223" i="43"/>
  <c r="I1002" i="43"/>
  <c r="J1002" i="43"/>
  <c r="K399" i="43"/>
  <c r="J399" i="43"/>
  <c r="L399" i="43"/>
  <c r="M399" i="43"/>
  <c r="N399" i="43"/>
  <c r="O399" i="43"/>
  <c r="P399" i="43"/>
  <c r="Q399" i="43"/>
  <c r="R399" i="43"/>
  <c r="S399" i="43"/>
  <c r="T399" i="43"/>
  <c r="U399" i="43"/>
  <c r="V399" i="43"/>
  <c r="L230" i="43"/>
  <c r="M229" i="43"/>
  <c r="M540" i="43"/>
  <c r="L551" i="43"/>
  <c r="K402" i="43"/>
  <c r="K405" i="43" s="1"/>
  <c r="K172" i="43"/>
  <c r="K175" i="43" s="1"/>
  <c r="K358" i="43"/>
  <c r="K361" i="43" s="1"/>
  <c r="J402" i="43"/>
  <c r="J405" i="43" s="1"/>
  <c r="J358" i="43"/>
  <c r="J361" i="43" s="1"/>
  <c r="J172" i="43"/>
  <c r="J175" i="43" s="1"/>
  <c r="J571" i="43"/>
  <c r="J573" i="43" s="1"/>
  <c r="J614" i="43" s="1"/>
  <c r="J616" i="43" s="1"/>
  <c r="K570" i="43"/>
  <c r="M254" i="43"/>
  <c r="L267" i="43"/>
  <c r="K845" i="43"/>
  <c r="K859" i="43" s="1"/>
  <c r="K858" i="43"/>
  <c r="M74" i="43"/>
  <c r="L75" i="43"/>
  <c r="J575" i="43"/>
  <c r="K739" i="6"/>
  <c r="K738" i="6" s="1"/>
  <c r="J169" i="43"/>
  <c r="K169" i="43"/>
  <c r="L169" i="43"/>
  <c r="M169" i="43"/>
  <c r="N169" i="43"/>
  <c r="O169" i="43"/>
  <c r="P169" i="43"/>
  <c r="Q169" i="43"/>
  <c r="R169" i="43"/>
  <c r="S169" i="43"/>
  <c r="T169" i="43"/>
  <c r="U169" i="43"/>
  <c r="V169" i="43"/>
  <c r="J391" i="43"/>
  <c r="J394" i="43" s="1"/>
  <c r="J347" i="43"/>
  <c r="J350" i="43" s="1"/>
  <c r="J161" i="43"/>
  <c r="J164" i="43" s="1"/>
  <c r="I301" i="43"/>
  <c r="M104" i="43"/>
  <c r="L118" i="43"/>
  <c r="M543" i="43"/>
  <c r="L554" i="43"/>
  <c r="M107" i="43"/>
  <c r="L121" i="43"/>
  <c r="L853" i="43"/>
  <c r="L855" i="43" s="1"/>
  <c r="M852" i="43"/>
  <c r="L120" i="43"/>
  <c r="M106" i="43"/>
  <c r="M542" i="43"/>
  <c r="L553" i="43"/>
  <c r="J1010" i="43"/>
  <c r="K566" i="43"/>
  <c r="K568" i="43" s="1"/>
  <c r="K609" i="43" s="1"/>
  <c r="K611" i="43" s="1"/>
  <c r="L565" i="43"/>
  <c r="L93" i="43"/>
  <c r="M92" i="43"/>
  <c r="K1019" i="43"/>
  <c r="K1022" i="43"/>
  <c r="K1021" i="43"/>
  <c r="K1025" i="43"/>
  <c r="K1030" i="43"/>
  <c r="K1033" i="43"/>
  <c r="K1029" i="43"/>
  <c r="K1023" i="43"/>
  <c r="K1024" i="43"/>
  <c r="K1020" i="43"/>
  <c r="K1032" i="43"/>
  <c r="K1031" i="43"/>
  <c r="L271" i="43"/>
  <c r="M258" i="43"/>
  <c r="L683" i="43"/>
  <c r="M682" i="43"/>
  <c r="M100" i="43"/>
  <c r="L114" i="43"/>
  <c r="M545" i="43"/>
  <c r="L556" i="43"/>
  <c r="M201" i="43"/>
  <c r="L202" i="43"/>
  <c r="L304" i="43" s="1"/>
  <c r="L306" i="43" s="1"/>
  <c r="J609" i="43"/>
  <c r="J611" i="43" s="1"/>
  <c r="K685" i="43"/>
  <c r="K693" i="43" s="1"/>
  <c r="K692" i="43"/>
  <c r="I296" i="43"/>
  <c r="L558" i="43"/>
  <c r="M547" i="43"/>
  <c r="J1270" i="43"/>
  <c r="H1268" i="43"/>
  <c r="J952" i="43"/>
  <c r="J771" i="43"/>
  <c r="M241" i="43"/>
  <c r="L242" i="43"/>
  <c r="J693" i="43"/>
  <c r="M448" i="43"/>
  <c r="L449" i="43"/>
  <c r="M57" i="43"/>
  <c r="L58" i="43"/>
  <c r="J704" i="11"/>
  <c r="J591" i="11"/>
  <c r="J589" i="11"/>
  <c r="E30" i="40"/>
  <c r="E7" i="40" s="1"/>
  <c r="K555" i="11"/>
  <c r="K558" i="11" s="1"/>
  <c r="L331" i="43"/>
  <c r="M329" i="43"/>
  <c r="M333" i="43" s="1"/>
  <c r="M403" i="11"/>
  <c r="M404" i="11" s="1"/>
  <c r="G26" i="40" s="1"/>
  <c r="K362" i="14"/>
  <c r="K316" i="14"/>
  <c r="K523" i="14"/>
  <c r="I137" i="41"/>
  <c r="I144" i="41" s="1"/>
  <c r="I89" i="41"/>
  <c r="I91" i="41" s="1"/>
  <c r="J480" i="11"/>
  <c r="J481" i="11" s="1"/>
  <c r="K224" i="14"/>
  <c r="K247" i="14"/>
  <c r="J445" i="11"/>
  <c r="J449" i="11" s="1"/>
  <c r="J451" i="11" s="1"/>
  <c r="J498" i="11"/>
  <c r="J503" i="11"/>
  <c r="K477" i="11"/>
  <c r="F26" i="40"/>
  <c r="L408" i="11"/>
  <c r="L406" i="11"/>
  <c r="N328" i="43"/>
  <c r="N286" i="43"/>
  <c r="O285" i="43"/>
  <c r="M184" i="43"/>
  <c r="N180" i="43"/>
  <c r="M181" i="43"/>
  <c r="K1062" i="43"/>
  <c r="K1060" i="43"/>
  <c r="K997" i="43"/>
  <c r="K1005" i="43"/>
  <c r="K1000" i="43"/>
  <c r="K1001" i="43"/>
  <c r="K1008" i="43"/>
  <c r="K1009" i="43"/>
  <c r="K1059" i="43"/>
  <c r="K1061" i="43"/>
  <c r="K1007" i="43"/>
  <c r="K1006" i="43"/>
  <c r="K1058" i="43"/>
  <c r="K996" i="43"/>
  <c r="K999" i="43"/>
  <c r="K998" i="43"/>
  <c r="K995" i="43"/>
  <c r="M26" i="43"/>
  <c r="N25" i="43"/>
  <c r="L992" i="43"/>
  <c r="L28" i="43"/>
  <c r="K311" i="43"/>
  <c r="K321" i="43"/>
  <c r="K306" i="43"/>
  <c r="J321" i="43"/>
  <c r="J311" i="43"/>
  <c r="J306" i="43"/>
  <c r="K1163" i="11"/>
  <c r="J277" i="14"/>
  <c r="J132" i="41"/>
  <c r="J137" i="41"/>
  <c r="J142" i="41"/>
  <c r="K201" i="14"/>
  <c r="J2" i="41"/>
  <c r="K961" i="11"/>
  <c r="K170" i="11"/>
  <c r="K441" i="11"/>
  <c r="K176" i="11"/>
  <c r="K213" i="11" s="1"/>
  <c r="K184" i="11"/>
  <c r="K215" i="11" s="1"/>
  <c r="J68" i="14"/>
  <c r="J44" i="48" s="1"/>
  <c r="H48" i="48" s="1"/>
  <c r="J188" i="11"/>
  <c r="J468" i="11"/>
  <c r="J463" i="11"/>
  <c r="J414" i="11"/>
  <c r="L8" i="25"/>
  <c r="L36" i="25" s="1"/>
  <c r="J210" i="11"/>
  <c r="J72" i="14" s="1"/>
  <c r="J363" i="11"/>
  <c r="D25" i="40"/>
  <c r="L11" i="25"/>
  <c r="L12" i="25" s="1"/>
  <c r="L14" i="25" s="1"/>
  <c r="L9" i="25"/>
  <c r="K84" i="14"/>
  <c r="K11" i="28"/>
  <c r="K12" i="28" s="1"/>
  <c r="K14" i="28" s="1"/>
  <c r="L9" i="35"/>
  <c r="L8" i="35"/>
  <c r="M6" i="35"/>
  <c r="M7" i="35" s="1"/>
  <c r="L11" i="35"/>
  <c r="L12" i="35" s="1"/>
  <c r="J14" i="36"/>
  <c r="L9" i="36"/>
  <c r="L8" i="36"/>
  <c r="L11" i="36"/>
  <c r="L12" i="36" s="1"/>
  <c r="M6" i="36"/>
  <c r="M7" i="36" s="1"/>
  <c r="J14" i="35"/>
  <c r="T58" i="35"/>
  <c r="T61" i="35"/>
  <c r="K78" i="24"/>
  <c r="K78" i="25" s="1"/>
  <c r="J70" i="24"/>
  <c r="J70" i="25" s="1"/>
  <c r="T58" i="23"/>
  <c r="N58" i="23"/>
  <c r="Q58" i="23"/>
  <c r="P58" i="23"/>
  <c r="L58" i="23"/>
  <c r="H63" i="28"/>
  <c r="I64" i="28" s="1"/>
  <c r="K45" i="23"/>
  <c r="K96" i="23" s="1"/>
  <c r="O45" i="23"/>
  <c r="O96" i="23" s="1"/>
  <c r="U45" i="23"/>
  <c r="U96" i="23" s="1"/>
  <c r="R45" i="23"/>
  <c r="R96" i="23" s="1"/>
  <c r="T45" i="23"/>
  <c r="T96" i="23" s="1"/>
  <c r="Q45" i="23"/>
  <c r="Q96" i="23" s="1"/>
  <c r="L45" i="23"/>
  <c r="L96" i="23" s="1"/>
  <c r="P45" i="23"/>
  <c r="P96" i="23" s="1"/>
  <c r="S45" i="23"/>
  <c r="S96" i="23" s="1"/>
  <c r="V45" i="23"/>
  <c r="V96" i="23" s="1"/>
  <c r="N45" i="23"/>
  <c r="N96" i="23" s="1"/>
  <c r="M45" i="23"/>
  <c r="M96" i="23" s="1"/>
  <c r="J134" i="28"/>
  <c r="J45" i="23"/>
  <c r="J96" i="23" s="1"/>
  <c r="I88" i="23"/>
  <c r="I89" i="28"/>
  <c r="I82" i="23"/>
  <c r="I47" i="28"/>
  <c r="J47" i="28" s="1"/>
  <c r="K8" i="28"/>
  <c r="K52" i="28" s="1"/>
  <c r="L6" i="28"/>
  <c r="L7" i="28" s="1"/>
  <c r="L8" i="28" s="1"/>
  <c r="L52" i="28" s="1"/>
  <c r="K40" i="28"/>
  <c r="K45" i="28"/>
  <c r="K88" i="23" s="1"/>
  <c r="V50" i="23"/>
  <c r="V134" i="28"/>
  <c r="R55" i="23"/>
  <c r="R134" i="28"/>
  <c r="L104" i="15"/>
  <c r="M1515" i="11"/>
  <c r="M1517" i="11" s="1"/>
  <c r="L357" i="41" s="1"/>
  <c r="Q1523" i="11"/>
  <c r="Q1525" i="11" s="1"/>
  <c r="R128" i="23"/>
  <c r="R50" i="23"/>
  <c r="V55" i="23"/>
  <c r="K310" i="11"/>
  <c r="K914" i="11"/>
  <c r="K916" i="11" s="1"/>
  <c r="K965" i="11"/>
  <c r="K15" i="11"/>
  <c r="K266" i="11"/>
  <c r="K268" i="11" s="1"/>
  <c r="K294" i="11" s="1"/>
  <c r="K295" i="11" s="1"/>
  <c r="K63" i="11"/>
  <c r="K767" i="11"/>
  <c r="K376" i="14" s="1"/>
  <c r="K352" i="48" s="1"/>
  <c r="J365" i="11"/>
  <c r="L11" i="11"/>
  <c r="L12" i="11" s="1"/>
  <c r="L441" i="11" s="1"/>
  <c r="J1484" i="11"/>
  <c r="L9" i="11"/>
  <c r="L1460" i="11" s="1"/>
  <c r="M6" i="11"/>
  <c r="M7" i="11" s="1"/>
  <c r="M8" i="11" s="1"/>
  <c r="K904" i="11"/>
  <c r="K906" i="11" s="1"/>
  <c r="K92" i="11"/>
  <c r="K93" i="11" s="1"/>
  <c r="K400" i="11"/>
  <c r="K104" i="11"/>
  <c r="K118" i="11" s="1"/>
  <c r="K510" i="11"/>
  <c r="K526" i="11" s="1"/>
  <c r="K926" i="11"/>
  <c r="K1036" i="11"/>
  <c r="K870" i="11"/>
  <c r="K1538" i="11"/>
  <c r="K1542" i="11" s="1"/>
  <c r="K335" i="11"/>
  <c r="K877" i="11"/>
  <c r="K744" i="11"/>
  <c r="K745" i="11" s="1"/>
  <c r="K747" i="11" s="1"/>
  <c r="K788" i="11" s="1"/>
  <c r="K790" i="11" s="1"/>
  <c r="K867" i="11"/>
  <c r="K399" i="14" s="1"/>
  <c r="K375" i="48" s="1"/>
  <c r="K945" i="11"/>
  <c r="K422" i="14" s="1"/>
  <c r="K398" i="48" s="1"/>
  <c r="K100" i="11"/>
  <c r="K731" i="11"/>
  <c r="K108" i="11"/>
  <c r="K813" i="11"/>
  <c r="K771" i="11"/>
  <c r="K948" i="11"/>
  <c r="K1033" i="11"/>
  <c r="K445" i="14" s="1"/>
  <c r="K421" i="48" s="1"/>
  <c r="K582" i="11"/>
  <c r="K848" i="11"/>
  <c r="K634" i="11"/>
  <c r="K887" i="11"/>
  <c r="L12" i="6"/>
  <c r="L14" i="6" s="1"/>
  <c r="K357" i="11"/>
  <c r="K391" i="11" s="1"/>
  <c r="K1091" i="11"/>
  <c r="K31" i="11" s="1"/>
  <c r="K1003" i="11"/>
  <c r="K1007" i="11" s="1"/>
  <c r="K41" i="11"/>
  <c r="K43" i="11" s="1"/>
  <c r="K81" i="11" s="1"/>
  <c r="K83" i="11" s="1"/>
  <c r="K684" i="11"/>
  <c r="K74" i="11"/>
  <c r="K680" i="11"/>
  <c r="K691" i="11" s="1"/>
  <c r="K333" i="11"/>
  <c r="K346" i="11" s="1"/>
  <c r="K851" i="11"/>
  <c r="K852" i="11" s="1"/>
  <c r="K854" i="11" s="1"/>
  <c r="K322" i="11"/>
  <c r="K109" i="11"/>
  <c r="K101" i="11"/>
  <c r="J691" i="11"/>
  <c r="L11" i="24"/>
  <c r="L12" i="24" s="1"/>
  <c r="K51" i="11"/>
  <c r="K52" i="11" s="1"/>
  <c r="K98" i="11"/>
  <c r="K112" i="11" s="1"/>
  <c r="K676" i="11"/>
  <c r="K687" i="11" s="1"/>
  <c r="K1021" i="11"/>
  <c r="K1022" i="11" s="1"/>
  <c r="K1024" i="11" s="1"/>
  <c r="J311" i="11"/>
  <c r="J65" i="11"/>
  <c r="V128" i="23"/>
  <c r="J346" i="11"/>
  <c r="L9" i="24"/>
  <c r="L8" i="24"/>
  <c r="L36" i="24" s="1"/>
  <c r="J324" i="11"/>
  <c r="K304" i="11"/>
  <c r="K305" i="11" s="1"/>
  <c r="K331" i="11"/>
  <c r="K739" i="11"/>
  <c r="K740" i="11" s="1"/>
  <c r="K742" i="11" s="1"/>
  <c r="K783" i="11" s="1"/>
  <c r="K785" i="11" s="1"/>
  <c r="J687" i="11"/>
  <c r="K734" i="11"/>
  <c r="K735" i="11" s="1"/>
  <c r="K737" i="11" s="1"/>
  <c r="K778" i="11" s="1"/>
  <c r="K780" i="11" s="1"/>
  <c r="J52" i="11"/>
  <c r="K337" i="11"/>
  <c r="K934" i="11"/>
  <c r="K935" i="11" s="1"/>
  <c r="K937" i="11" s="1"/>
  <c r="K1011" i="11"/>
  <c r="K1012" i="11" s="1"/>
  <c r="K1014" i="11" s="1"/>
  <c r="J123" i="11"/>
  <c r="J348" i="11"/>
  <c r="J695" i="11"/>
  <c r="J376" i="11"/>
  <c r="J916" i="11"/>
  <c r="J75" i="11"/>
  <c r="J419" i="11"/>
  <c r="K46" i="11"/>
  <c r="K48" i="11" s="1"/>
  <c r="J371" i="11"/>
  <c r="J602" i="11"/>
  <c r="K316" i="11"/>
  <c r="J526" i="11"/>
  <c r="K929" i="11"/>
  <c r="K930" i="11" s="1"/>
  <c r="J115" i="23"/>
  <c r="J116" i="23" s="1"/>
  <c r="K678" i="11"/>
  <c r="J689" i="11"/>
  <c r="K50" i="23"/>
  <c r="K128" i="23"/>
  <c r="K55" i="23"/>
  <c r="J607" i="11"/>
  <c r="F664" i="11"/>
  <c r="U106" i="23"/>
  <c r="U110" i="23" s="1"/>
  <c r="U113" i="23" s="1"/>
  <c r="K1075" i="11"/>
  <c r="J1077" i="11"/>
  <c r="K287" i="11"/>
  <c r="J288" i="11"/>
  <c r="K646" i="11"/>
  <c r="J647" i="11"/>
  <c r="K338" i="11"/>
  <c r="J351" i="11"/>
  <c r="J550" i="11" s="1"/>
  <c r="K681" i="11"/>
  <c r="J692" i="11"/>
  <c r="K677" i="11"/>
  <c r="J688" i="11"/>
  <c r="K831" i="11"/>
  <c r="J833" i="11"/>
  <c r="K982" i="11"/>
  <c r="J984" i="11"/>
  <c r="K106" i="23"/>
  <c r="K110" i="23" s="1"/>
  <c r="K113" i="23" s="1"/>
  <c r="K329" i="11"/>
  <c r="J342" i="11"/>
  <c r="L1094" i="11"/>
  <c r="L1096" i="11" s="1"/>
  <c r="L1097" i="11" s="1"/>
  <c r="L1106" i="11"/>
  <c r="L1099" i="11"/>
  <c r="L1103" i="11" s="1"/>
  <c r="L1473" i="11"/>
  <c r="L1006" i="11"/>
  <c r="L513" i="11"/>
  <c r="K1080" i="11"/>
  <c r="J1082" i="11"/>
  <c r="J256" i="11"/>
  <c r="J442" i="11" s="1"/>
  <c r="K255" i="11"/>
  <c r="K1065" i="11"/>
  <c r="J1067" i="11"/>
  <c r="J22" i="11"/>
  <c r="K21" i="11"/>
  <c r="K22" i="11" s="1"/>
  <c r="K617" i="11"/>
  <c r="J619" i="11"/>
  <c r="K612" i="11"/>
  <c r="J614" i="11"/>
  <c r="K669" i="11"/>
  <c r="J670" i="11"/>
  <c r="K997" i="11"/>
  <c r="J999" i="11"/>
  <c r="K899" i="11"/>
  <c r="J901" i="11"/>
  <c r="K86" i="11"/>
  <c r="J87" i="11"/>
  <c r="S50" i="23"/>
  <c r="S128" i="23"/>
  <c r="S55" i="23"/>
  <c r="K894" i="11"/>
  <c r="J896" i="11"/>
  <c r="K518" i="11"/>
  <c r="K516" i="11"/>
  <c r="J14" i="15"/>
  <c r="N6" i="25"/>
  <c r="N7" i="25" s="1"/>
  <c r="M9" i="25"/>
  <c r="M11" i="25"/>
  <c r="M12" i="25" s="1"/>
  <c r="M8" i="25"/>
  <c r="M36" i="25" s="1"/>
  <c r="K972" i="11"/>
  <c r="J974" i="11"/>
  <c r="K334" i="11"/>
  <c r="J347" i="11"/>
  <c r="K836" i="11"/>
  <c r="J838" i="11"/>
  <c r="K841" i="11"/>
  <c r="J843" i="11"/>
  <c r="J27" i="11"/>
  <c r="K26" i="11"/>
  <c r="K803" i="11"/>
  <c r="J805" i="11"/>
  <c r="K271" i="11"/>
  <c r="J273" i="11"/>
  <c r="K955" i="11"/>
  <c r="J957" i="11"/>
  <c r="K1053" i="11"/>
  <c r="M50" i="23"/>
  <c r="M128" i="23"/>
  <c r="M55" i="23"/>
  <c r="K500" i="14"/>
  <c r="K270" i="14"/>
  <c r="K293" i="14"/>
  <c r="K131" i="14"/>
  <c r="K454" i="14"/>
  <c r="K339" i="14"/>
  <c r="K155" i="14"/>
  <c r="K385" i="14"/>
  <c r="K178" i="14"/>
  <c r="K408" i="14"/>
  <c r="K431" i="14"/>
  <c r="K477" i="14"/>
  <c r="K36" i="14"/>
  <c r="O50" i="23"/>
  <c r="O55" i="23"/>
  <c r="O128" i="23"/>
  <c r="K106" i="11"/>
  <c r="J120" i="11"/>
  <c r="S106" i="23"/>
  <c r="S110" i="23" s="1"/>
  <c r="S113" i="23" s="1"/>
  <c r="J14" i="19"/>
  <c r="J42" i="19" s="1"/>
  <c r="K652" i="11"/>
  <c r="J653" i="11"/>
  <c r="J422" i="14"/>
  <c r="J398" i="48" s="1"/>
  <c r="K276" i="11"/>
  <c r="J277" i="11"/>
  <c r="K103" i="11"/>
  <c r="J117" i="11"/>
  <c r="K99" i="11"/>
  <c r="J113" i="11"/>
  <c r="M106" i="23"/>
  <c r="M110" i="23" s="1"/>
  <c r="M113" i="23" s="1"/>
  <c r="O106" i="23"/>
  <c r="O110" i="23" s="1"/>
  <c r="O113" i="23" s="1"/>
  <c r="K14" i="25"/>
  <c r="K102" i="11"/>
  <c r="J116" i="11"/>
  <c r="K909" i="11"/>
  <c r="J911" i="11"/>
  <c r="J939" i="11"/>
  <c r="J932" i="11"/>
  <c r="K856" i="11"/>
  <c r="K857" i="11" s="1"/>
  <c r="K859" i="11" s="1"/>
  <c r="K628" i="11"/>
  <c r="J629" i="11"/>
  <c r="K1070" i="11"/>
  <c r="J1072" i="11"/>
  <c r="K330" i="11"/>
  <c r="J343" i="11"/>
  <c r="K1060" i="11"/>
  <c r="J1062" i="11"/>
  <c r="K826" i="11"/>
  <c r="J828" i="11"/>
  <c r="J861" i="11"/>
  <c r="J854" i="11"/>
  <c r="J399" i="14"/>
  <c r="J375" i="48" s="1"/>
  <c r="K622" i="11"/>
  <c r="J623" i="11"/>
  <c r="K68" i="11"/>
  <c r="J69" i="11"/>
  <c r="N9" i="6"/>
  <c r="N11" i="6"/>
  <c r="O6" i="6"/>
  <c r="O7" i="6" s="1"/>
  <c r="N8" i="6"/>
  <c r="K14" i="14"/>
  <c r="K682" i="11"/>
  <c r="J693" i="11"/>
  <c r="K919" i="11"/>
  <c r="J921" i="11"/>
  <c r="J294" i="11"/>
  <c r="J295" i="11" s="1"/>
  <c r="K57" i="11"/>
  <c r="J58" i="11"/>
  <c r="J1027" i="11"/>
  <c r="J1009" i="11"/>
  <c r="K821" i="11"/>
  <c r="J823" i="11"/>
  <c r="K992" i="11"/>
  <c r="J994" i="11"/>
  <c r="K282" i="11"/>
  <c r="J284" i="11"/>
  <c r="J476" i="11" s="1"/>
  <c r="J699" i="11" s="1"/>
  <c r="K328" i="11"/>
  <c r="J341" i="11"/>
  <c r="K679" i="11"/>
  <c r="J690" i="11"/>
  <c r="K14" i="6"/>
  <c r="J43" i="11"/>
  <c r="M6" i="14"/>
  <c r="M7" i="14" s="1"/>
  <c r="L9" i="14"/>
  <c r="K3" i="41" s="1"/>
  <c r="L11" i="14"/>
  <c r="L12" i="14" s="1"/>
  <c r="L8" i="14"/>
  <c r="L108" i="14" s="1"/>
  <c r="I40" i="23"/>
  <c r="N25" i="19"/>
  <c r="O23" i="19"/>
  <c r="K808" i="11"/>
  <c r="J810" i="11"/>
  <c r="K332" i="11"/>
  <c r="J345" i="11"/>
  <c r="K585" i="11"/>
  <c r="K336" i="11"/>
  <c r="J349" i="11"/>
  <c r="K640" i="11"/>
  <c r="J641" i="11"/>
  <c r="K1043" i="11"/>
  <c r="J1045" i="11"/>
  <c r="K683" i="11"/>
  <c r="J694" i="11"/>
  <c r="J778" i="11"/>
  <c r="J780" i="11" s="1"/>
  <c r="K1085" i="11"/>
  <c r="J1087" i="11"/>
  <c r="J50" i="23"/>
  <c r="J128" i="23"/>
  <c r="I43" i="23"/>
  <c r="J55" i="23"/>
  <c r="U50" i="23"/>
  <c r="U128" i="23"/>
  <c r="U55" i="23"/>
  <c r="J430" i="11"/>
  <c r="J376" i="14"/>
  <c r="J352" i="48" s="1"/>
  <c r="K105" i="11"/>
  <c r="J119" i="11"/>
  <c r="K107" i="11"/>
  <c r="J121" i="11"/>
  <c r="J299" i="11"/>
  <c r="K298" i="11"/>
  <c r="K987" i="11"/>
  <c r="J989" i="11"/>
  <c r="K977" i="11"/>
  <c r="J979" i="11"/>
  <c r="M11" i="19"/>
  <c r="M8" i="19"/>
  <c r="N6" i="19"/>
  <c r="N7" i="19" s="1"/>
  <c r="M9" i="19"/>
  <c r="I28" i="24"/>
  <c r="I28" i="25"/>
  <c r="M8" i="15"/>
  <c r="M62" i="15" s="1"/>
  <c r="M11" i="15"/>
  <c r="M12" i="15" s="1"/>
  <c r="N6" i="15"/>
  <c r="N7" i="15" s="1"/>
  <c r="M9" i="15"/>
  <c r="N8" i="23"/>
  <c r="N47" i="23" s="1"/>
  <c r="O6" i="23"/>
  <c r="O7" i="23" s="1"/>
  <c r="N9" i="23"/>
  <c r="N11" i="23"/>
  <c r="N12" i="23" s="1"/>
  <c r="N6" i="24"/>
  <c r="N7" i="24" s="1"/>
  <c r="M9" i="24"/>
  <c r="M11" i="24"/>
  <c r="M12" i="24" s="1"/>
  <c r="M8" i="24"/>
  <c r="M36" i="24" s="1"/>
  <c r="K217" i="11" l="1"/>
  <c r="K210" i="11"/>
  <c r="K194" i="11"/>
  <c r="K197" i="11"/>
  <c r="K199" i="11" s="1"/>
  <c r="I17" i="41"/>
  <c r="M442" i="11"/>
  <c r="J259" i="11"/>
  <c r="J1280" i="11" s="1"/>
  <c r="M1521" i="11"/>
  <c r="M1523" i="11" s="1"/>
  <c r="M77" i="15"/>
  <c r="M78" i="15" s="1"/>
  <c r="M46" i="19"/>
  <c r="H15" i="39" s="1"/>
  <c r="H8" i="39"/>
  <c r="H9" i="39" s="1"/>
  <c r="M45" i="19"/>
  <c r="H14" i="39" s="1"/>
  <c r="N77" i="15"/>
  <c r="N78" i="15" s="1"/>
  <c r="N1521" i="11"/>
  <c r="N1523" i="11" s="1"/>
  <c r="N46" i="19"/>
  <c r="I15" i="39" s="1"/>
  <c r="N45" i="19"/>
  <c r="I14" i="39" s="1"/>
  <c r="I8" i="39"/>
  <c r="I9" i="39" s="1"/>
  <c r="J29" i="19"/>
  <c r="K21" i="35"/>
  <c r="E139" i="40"/>
  <c r="E140" i="40"/>
  <c r="J6" i="39"/>
  <c r="K51" i="24"/>
  <c r="K52" i="24" s="1"/>
  <c r="K123" i="15"/>
  <c r="L14" i="36"/>
  <c r="M1308" i="43"/>
  <c r="M1310" i="43" s="1"/>
  <c r="K14" i="36"/>
  <c r="E8" i="50"/>
  <c r="J1108" i="11"/>
  <c r="K14" i="35"/>
  <c r="F5" i="50"/>
  <c r="K1101" i="11"/>
  <c r="T1524" i="11"/>
  <c r="T1525" i="11" s="1"/>
  <c r="L1110" i="11"/>
  <c r="L1113" i="11"/>
  <c r="L1115" i="11" s="1"/>
  <c r="E5" i="50"/>
  <c r="J1101" i="11"/>
  <c r="K22" i="36"/>
  <c r="M14" i="23"/>
  <c r="L1016" i="11"/>
  <c r="L1017" i="11" s="1"/>
  <c r="L1019" i="11" s="1"/>
  <c r="L13" i="11"/>
  <c r="L14" i="35"/>
  <c r="K572" i="11"/>
  <c r="K96" i="15"/>
  <c r="L96" i="15" s="1"/>
  <c r="L14" i="24"/>
  <c r="L14" i="23"/>
  <c r="I415" i="43"/>
  <c r="T430" i="43"/>
  <c r="T419" i="43" s="1"/>
  <c r="P1309" i="43"/>
  <c r="P1310" i="43" s="1"/>
  <c r="J189" i="43"/>
  <c r="J433" i="43" s="1"/>
  <c r="J435" i="43" s="1"/>
  <c r="J421" i="43" s="1"/>
  <c r="R509" i="43"/>
  <c r="Q510" i="43"/>
  <c r="J441" i="43"/>
  <c r="S430" i="43"/>
  <c r="S419" i="43" s="1"/>
  <c r="U639" i="43"/>
  <c r="T641" i="43"/>
  <c r="R708" i="43"/>
  <c r="Q710" i="43"/>
  <c r="K14" i="23"/>
  <c r="J89" i="41"/>
  <c r="J91" i="41" s="1"/>
  <c r="L514" i="11"/>
  <c r="F30" i="40" s="1"/>
  <c r="F7" i="40" s="1"/>
  <c r="L14" i="15"/>
  <c r="D5" i="46"/>
  <c r="L1275" i="11"/>
  <c r="L223" i="11"/>
  <c r="L700" i="11"/>
  <c r="S1523" i="11"/>
  <c r="S1525" i="11" s="1"/>
  <c r="K444" i="48"/>
  <c r="J444" i="48"/>
  <c r="I253" i="41"/>
  <c r="I255" i="41" s="1"/>
  <c r="J253" i="48"/>
  <c r="D54" i="40" s="1"/>
  <c r="R430" i="43"/>
  <c r="R419" i="43" s="1"/>
  <c r="U430" i="43"/>
  <c r="U419" i="43" s="1"/>
  <c r="J139" i="14"/>
  <c r="J115" i="48" s="1"/>
  <c r="D47" i="40" s="1"/>
  <c r="J215" i="14"/>
  <c r="J238" i="14"/>
  <c r="J214" i="48" s="1"/>
  <c r="V419" i="43"/>
  <c r="T123" i="15"/>
  <c r="J69" i="14"/>
  <c r="L162" i="14"/>
  <c r="L138" i="48" s="1"/>
  <c r="F48" i="40" s="1"/>
  <c r="I425" i="43"/>
  <c r="S1310" i="43"/>
  <c r="R1524" i="11"/>
  <c r="R1525" i="11" s="1"/>
  <c r="U78" i="15"/>
  <c r="U51" i="25"/>
  <c r="U52" i="25" s="1"/>
  <c r="U52" i="36" s="1"/>
  <c r="Q78" i="15"/>
  <c r="R1138" i="11"/>
  <c r="R1121" i="11" s="1"/>
  <c r="Q123" i="15"/>
  <c r="T52" i="24"/>
  <c r="L1138" i="11"/>
  <c r="L1121" i="11" s="1"/>
  <c r="S51" i="25"/>
  <c r="S99" i="25" s="1"/>
  <c r="S78" i="15"/>
  <c r="S123" i="15"/>
  <c r="Q51" i="25"/>
  <c r="Q52" i="25" s="1"/>
  <c r="Q52" i="36" s="1"/>
  <c r="R123" i="15"/>
  <c r="R78" i="15"/>
  <c r="U1524" i="11"/>
  <c r="U1525" i="11" s="1"/>
  <c r="R51" i="25"/>
  <c r="R99" i="25" s="1"/>
  <c r="P1524" i="11"/>
  <c r="P1525" i="11" s="1"/>
  <c r="V51" i="25"/>
  <c r="V99" i="25" s="1"/>
  <c r="P123" i="15"/>
  <c r="U123" i="15"/>
  <c r="O1523" i="11"/>
  <c r="O1525" i="11" s="1"/>
  <c r="V78" i="15"/>
  <c r="T51" i="25"/>
  <c r="T99" i="25" s="1"/>
  <c r="I1133" i="11"/>
  <c r="V123" i="15"/>
  <c r="T78" i="15"/>
  <c r="O51" i="25"/>
  <c r="O52" i="25" s="1"/>
  <c r="O52" i="36" s="1"/>
  <c r="P78" i="15"/>
  <c r="P51" i="25"/>
  <c r="P52" i="25" s="1"/>
  <c r="P52" i="36" s="1"/>
  <c r="K1138" i="11"/>
  <c r="K1121" i="11" s="1"/>
  <c r="S1138" i="11"/>
  <c r="S1121" i="11" s="1"/>
  <c r="N1138" i="11"/>
  <c r="N1121" i="11" s="1"/>
  <c r="V1523" i="11"/>
  <c r="V1525" i="11" s="1"/>
  <c r="T1138" i="11"/>
  <c r="T1121" i="11" s="1"/>
  <c r="M1138" i="11"/>
  <c r="M1121" i="11" s="1"/>
  <c r="V1138" i="11"/>
  <c r="V1121" i="11" s="1"/>
  <c r="O1138" i="11"/>
  <c r="O1121" i="11" s="1"/>
  <c r="U1138" i="11"/>
  <c r="U1121" i="11" s="1"/>
  <c r="P1138" i="11"/>
  <c r="P1121" i="11" s="1"/>
  <c r="Q1138" i="11"/>
  <c r="Q1121" i="11" s="1"/>
  <c r="J1370" i="11"/>
  <c r="K721" i="11"/>
  <c r="K244" i="11"/>
  <c r="K99" i="14" s="1"/>
  <c r="K249" i="11"/>
  <c r="K726" i="11"/>
  <c r="K718" i="11" s="1"/>
  <c r="K577" i="11"/>
  <c r="N848" i="43"/>
  <c r="N850" i="43" s="1"/>
  <c r="O847" i="43"/>
  <c r="N1310" i="43"/>
  <c r="Q927" i="43"/>
  <c r="Q928" i="43" s="1"/>
  <c r="R925" i="43"/>
  <c r="V1308" i="43"/>
  <c r="V1309" i="43"/>
  <c r="T1310" i="43"/>
  <c r="Q430" i="43"/>
  <c r="Q419" i="43" s="1"/>
  <c r="U1308" i="43"/>
  <c r="U1309" i="43"/>
  <c r="P430" i="43"/>
  <c r="P419" i="43" s="1"/>
  <c r="R934" i="43"/>
  <c r="S930" i="43"/>
  <c r="O430" i="43"/>
  <c r="O419" i="43" s="1"/>
  <c r="R1309" i="43"/>
  <c r="R1308" i="43"/>
  <c r="N430" i="43"/>
  <c r="N419" i="43" s="1"/>
  <c r="J1369" i="11"/>
  <c r="O838" i="43"/>
  <c r="O840" i="43" s="1"/>
  <c r="P837" i="43"/>
  <c r="M430" i="43"/>
  <c r="M419" i="43" s="1"/>
  <c r="J1374" i="11"/>
  <c r="O1308" i="43"/>
  <c r="O1309" i="43"/>
  <c r="K78" i="15"/>
  <c r="L430" i="43"/>
  <c r="L419" i="43" s="1"/>
  <c r="J1368" i="11"/>
  <c r="K51" i="25"/>
  <c r="K52" i="25" s="1"/>
  <c r="K52" i="36" s="1"/>
  <c r="J430" i="43"/>
  <c r="J419" i="43" s="1"/>
  <c r="J1366" i="11"/>
  <c r="K1309" i="43"/>
  <c r="K1308" i="43"/>
  <c r="Q1308" i="43"/>
  <c r="Q1309" i="43"/>
  <c r="K31" i="43"/>
  <c r="K947" i="43"/>
  <c r="K1524" i="11"/>
  <c r="K1525" i="11" s="1"/>
  <c r="K430" i="43"/>
  <c r="K419" i="43" s="1"/>
  <c r="L31" i="43"/>
  <c r="L1071" i="43" s="1"/>
  <c r="L947" i="43"/>
  <c r="L978" i="43" s="1"/>
  <c r="J569" i="11"/>
  <c r="J307" i="14" s="1"/>
  <c r="O123" i="15"/>
  <c r="S941" i="43"/>
  <c r="T937" i="43"/>
  <c r="J353" i="14"/>
  <c r="J329" i="48" s="1"/>
  <c r="J718" i="11"/>
  <c r="O78" i="15"/>
  <c r="J1148" i="43"/>
  <c r="J1166" i="43" s="1"/>
  <c r="D76" i="42" s="1"/>
  <c r="L551" i="11"/>
  <c r="L572" i="11" s="1"/>
  <c r="J75" i="48"/>
  <c r="J241" i="11"/>
  <c r="K561" i="11"/>
  <c r="K300" i="14" s="1"/>
  <c r="K560" i="11"/>
  <c r="E102" i="45" s="1"/>
  <c r="E110" i="45" s="1"/>
  <c r="J560" i="11"/>
  <c r="J561" i="11"/>
  <c r="J300" i="14" s="1"/>
  <c r="J1400" i="11"/>
  <c r="J1402" i="11" s="1"/>
  <c r="K1396" i="11"/>
  <c r="K1398" i="11" s="1"/>
  <c r="J879" i="43"/>
  <c r="J881" i="43" s="1"/>
  <c r="J861" i="43" s="1"/>
  <c r="L1310" i="43"/>
  <c r="K1153" i="43"/>
  <c r="K1227" i="43"/>
  <c r="K1229" i="43" s="1"/>
  <c r="K1232" i="43" s="1"/>
  <c r="K1165" i="43"/>
  <c r="K1129" i="43"/>
  <c r="K1118" i="43"/>
  <c r="L1138" i="43"/>
  <c r="L1143" i="43" s="1"/>
  <c r="L1112" i="43"/>
  <c r="L1127" i="43" s="1"/>
  <c r="J707" i="11"/>
  <c r="J711" i="11"/>
  <c r="J1352" i="11"/>
  <c r="J1351" i="11"/>
  <c r="J1349" i="11"/>
  <c r="J1357" i="11"/>
  <c r="J520" i="11"/>
  <c r="K1117" i="43"/>
  <c r="L185" i="43"/>
  <c r="K1143" i="43"/>
  <c r="L187" i="43"/>
  <c r="L232" i="43" s="1"/>
  <c r="K1128" i="43"/>
  <c r="K1125" i="43"/>
  <c r="K1120" i="43"/>
  <c r="K1126" i="43"/>
  <c r="K1155" i="43"/>
  <c r="K1115" i="43"/>
  <c r="K1147" i="43"/>
  <c r="K204" i="43"/>
  <c r="K1119" i="43"/>
  <c r="K1116" i="43"/>
  <c r="K1142" i="43"/>
  <c r="K1152" i="43"/>
  <c r="K1127" i="43"/>
  <c r="K1145" i="43"/>
  <c r="K1151" i="43"/>
  <c r="M331" i="43"/>
  <c r="K1146" i="43"/>
  <c r="K232" i="43"/>
  <c r="K244" i="43"/>
  <c r="K226" i="43"/>
  <c r="K1141" i="43"/>
  <c r="K215" i="43"/>
  <c r="L1016" i="43"/>
  <c r="L23" i="43"/>
  <c r="M21" i="43"/>
  <c r="M37" i="43" s="1"/>
  <c r="N20" i="43"/>
  <c r="K1034" i="43"/>
  <c r="J484" i="11"/>
  <c r="J453" i="11"/>
  <c r="J455" i="11"/>
  <c r="J149" i="43"/>
  <c r="M853" i="43"/>
  <c r="M855" i="43" s="1"/>
  <c r="N852" i="43"/>
  <c r="N105" i="43"/>
  <c r="M119" i="43"/>
  <c r="J580" i="43"/>
  <c r="J749" i="11"/>
  <c r="K752" i="6"/>
  <c r="K751" i="6" s="1"/>
  <c r="J1081" i="43"/>
  <c r="J713" i="11"/>
  <c r="N57" i="43"/>
  <c r="M58" i="43"/>
  <c r="M683" i="43"/>
  <c r="N682" i="43"/>
  <c r="I169" i="43"/>
  <c r="J576" i="43"/>
  <c r="J578" i="43" s="1"/>
  <c r="K575" i="43"/>
  <c r="K494" i="43"/>
  <c r="K488" i="43"/>
  <c r="K512" i="43"/>
  <c r="K506" i="43"/>
  <c r="K518" i="43"/>
  <c r="K535" i="43"/>
  <c r="N46" i="43"/>
  <c r="M48" i="43"/>
  <c r="N541" i="43"/>
  <c r="M552" i="43"/>
  <c r="M761" i="43"/>
  <c r="N760" i="43"/>
  <c r="J1026" i="43"/>
  <c r="L172" i="43"/>
  <c r="L175" i="43" s="1"/>
  <c r="L402" i="43"/>
  <c r="L405" i="43" s="1"/>
  <c r="L358" i="43"/>
  <c r="L361" i="43" s="1"/>
  <c r="L454" i="43"/>
  <c r="L452" i="43"/>
  <c r="L498" i="43" s="1"/>
  <c r="L500" i="43" s="1"/>
  <c r="N547" i="43"/>
  <c r="M558" i="43"/>
  <c r="L685" i="43"/>
  <c r="L692" i="43"/>
  <c r="K1026" i="43"/>
  <c r="N261" i="43"/>
  <c r="M274" i="43"/>
  <c r="K771" i="43"/>
  <c r="L763" i="43"/>
  <c r="M843" i="43"/>
  <c r="N842" i="43"/>
  <c r="M449" i="43"/>
  <c r="N448" i="43"/>
  <c r="N258" i="43"/>
  <c r="M271" i="43"/>
  <c r="N92" i="43"/>
  <c r="M93" i="43"/>
  <c r="M121" i="43"/>
  <c r="N107" i="43"/>
  <c r="N74" i="43"/>
  <c r="M75" i="43"/>
  <c r="N540" i="43"/>
  <c r="M551" i="43"/>
  <c r="M116" i="43"/>
  <c r="N102" i="43"/>
  <c r="N86" i="43"/>
  <c r="M87" i="43"/>
  <c r="K770" i="43"/>
  <c r="L766" i="43"/>
  <c r="L768" i="43" s="1"/>
  <c r="M765" i="43"/>
  <c r="J1034" i="43"/>
  <c r="I355" i="43"/>
  <c r="L845" i="43"/>
  <c r="L859" i="43" s="1"/>
  <c r="L858" i="43"/>
  <c r="L549" i="43"/>
  <c r="J1083" i="43"/>
  <c r="J1054" i="43"/>
  <c r="J1053" i="43"/>
  <c r="J1052" i="43"/>
  <c r="J1049" i="43"/>
  <c r="J1048" i="43"/>
  <c r="J1050" i="43"/>
  <c r="J1051" i="43"/>
  <c r="J1211" i="43"/>
  <c r="M122" i="43"/>
  <c r="N108" i="43"/>
  <c r="J1306" i="43"/>
  <c r="J1273" i="43"/>
  <c r="M213" i="43"/>
  <c r="M319" i="43" s="1"/>
  <c r="N212" i="43"/>
  <c r="N229" i="43"/>
  <c r="M230" i="43"/>
  <c r="N98" i="43"/>
  <c r="M112" i="43"/>
  <c r="L566" i="43"/>
  <c r="L568" i="43" s="1"/>
  <c r="M565" i="43"/>
  <c r="K868" i="43"/>
  <c r="K870" i="43" s="1"/>
  <c r="K879" i="43"/>
  <c r="K881" i="43" s="1"/>
  <c r="M52" i="43"/>
  <c r="N51" i="43"/>
  <c r="N257" i="43"/>
  <c r="M270" i="43"/>
  <c r="N241" i="43"/>
  <c r="M242" i="43"/>
  <c r="L347" i="43"/>
  <c r="L350" i="43" s="1"/>
  <c r="L391" i="43"/>
  <c r="L394" i="43" s="1"/>
  <c r="L161" i="43"/>
  <c r="L164" i="43" s="1"/>
  <c r="K571" i="43"/>
  <c r="K573" i="43" s="1"/>
  <c r="K614" i="43" s="1"/>
  <c r="K616" i="43" s="1"/>
  <c r="L570" i="43"/>
  <c r="N223" i="43"/>
  <c r="M224" i="43"/>
  <c r="M309" i="43" s="1"/>
  <c r="M311" i="43" s="1"/>
  <c r="N255" i="43"/>
  <c r="M268" i="43"/>
  <c r="L278" i="43"/>
  <c r="L265" i="43"/>
  <c r="N544" i="43"/>
  <c r="M555" i="43"/>
  <c r="N106" i="43"/>
  <c r="M120" i="43"/>
  <c r="N109" i="43"/>
  <c r="M123" i="43"/>
  <c r="J791" i="43"/>
  <c r="J793" i="43" s="1"/>
  <c r="J780" i="43"/>
  <c r="J782" i="43" s="1"/>
  <c r="M556" i="43"/>
  <c r="N545" i="43"/>
  <c r="J1098" i="43"/>
  <c r="J335" i="43"/>
  <c r="L125" i="43"/>
  <c r="L111" i="43"/>
  <c r="J1170" i="43"/>
  <c r="D63" i="42" s="1"/>
  <c r="J1133" i="43"/>
  <c r="N101" i="43"/>
  <c r="M115" i="43"/>
  <c r="J38" i="43"/>
  <c r="M114" i="43"/>
  <c r="N100" i="43"/>
  <c r="N260" i="43"/>
  <c r="M273" i="43"/>
  <c r="N253" i="43"/>
  <c r="M266" i="43"/>
  <c r="N546" i="43"/>
  <c r="M557" i="43"/>
  <c r="J932" i="43"/>
  <c r="J71" i="43"/>
  <c r="J89" i="43"/>
  <c r="J54" i="43"/>
  <c r="J95" i="43"/>
  <c r="J60" i="43"/>
  <c r="J77" i="43"/>
  <c r="N103" i="43"/>
  <c r="M117" i="43"/>
  <c r="I470" i="43"/>
  <c r="L321" i="43"/>
  <c r="L292" i="43" s="1"/>
  <c r="M554" i="43"/>
  <c r="N543" i="43"/>
  <c r="M236" i="43"/>
  <c r="N235" i="43"/>
  <c r="M550" i="43"/>
  <c r="N539" i="43"/>
  <c r="M65" i="43"/>
  <c r="N63" i="43"/>
  <c r="K527" i="43"/>
  <c r="K529" i="43" s="1"/>
  <c r="P527" i="43"/>
  <c r="P529" i="43" s="1"/>
  <c r="U527" i="43"/>
  <c r="U529" i="43" s="1"/>
  <c r="V527" i="43"/>
  <c r="V529" i="43" s="1"/>
  <c r="O527" i="43"/>
  <c r="O529" i="43" s="1"/>
  <c r="N527" i="43"/>
  <c r="N529" i="43" s="1"/>
  <c r="M527" i="43"/>
  <c r="M529" i="43" s="1"/>
  <c r="R527" i="43"/>
  <c r="R529" i="43" s="1"/>
  <c r="T527" i="43"/>
  <c r="T529" i="43" s="1"/>
  <c r="L527" i="43"/>
  <c r="L529" i="43" s="1"/>
  <c r="J527" i="43"/>
  <c r="J529" i="43" s="1"/>
  <c r="J456" i="43" s="1"/>
  <c r="S527" i="43"/>
  <c r="S529" i="43" s="1"/>
  <c r="Q527" i="43"/>
  <c r="Q529" i="43" s="1"/>
  <c r="J713" i="43"/>
  <c r="J715" i="43" s="1"/>
  <c r="J702" i="43"/>
  <c r="J704" i="43" s="1"/>
  <c r="K713" i="43"/>
  <c r="K715" i="43" s="1"/>
  <c r="K702" i="43"/>
  <c r="K704" i="43" s="1"/>
  <c r="I399" i="43"/>
  <c r="J1013" i="43"/>
  <c r="N104" i="43"/>
  <c r="M118" i="43"/>
  <c r="M267" i="43"/>
  <c r="N254" i="43"/>
  <c r="N259" i="43"/>
  <c r="M272" i="43"/>
  <c r="N256" i="43"/>
  <c r="M269" i="43"/>
  <c r="N201" i="43"/>
  <c r="M202" i="43"/>
  <c r="M304" i="43" s="1"/>
  <c r="N542" i="43"/>
  <c r="M553" i="43"/>
  <c r="M688" i="43"/>
  <c r="M690" i="43" s="1"/>
  <c r="N687" i="43"/>
  <c r="M276" i="43"/>
  <c r="N263" i="43"/>
  <c r="N262" i="43"/>
  <c r="M275" i="43"/>
  <c r="J440" i="11"/>
  <c r="J1302" i="11"/>
  <c r="J1278" i="11"/>
  <c r="M408" i="11"/>
  <c r="J1182" i="43"/>
  <c r="J1184" i="43" s="1"/>
  <c r="J1187" i="43" s="1"/>
  <c r="J1188" i="43" s="1"/>
  <c r="M406" i="11"/>
  <c r="K564" i="11"/>
  <c r="J292" i="43"/>
  <c r="N329" i="43"/>
  <c r="N331" i="43" s="1"/>
  <c r="N403" i="11"/>
  <c r="N404" i="11" s="1"/>
  <c r="L362" i="14"/>
  <c r="L316" i="14"/>
  <c r="L523" i="14"/>
  <c r="D27" i="40"/>
  <c r="J490" i="11"/>
  <c r="K1280" i="11"/>
  <c r="K480" i="11"/>
  <c r="K481" i="11" s="1"/>
  <c r="L224" i="14"/>
  <c r="L247" i="14"/>
  <c r="K445" i="11"/>
  <c r="K449" i="11" s="1"/>
  <c r="K498" i="11"/>
  <c r="K503" i="11"/>
  <c r="L477" i="11"/>
  <c r="J495" i="11"/>
  <c r="P285" i="43"/>
  <c r="O328" i="43"/>
  <c r="O286" i="43"/>
  <c r="N288" i="43"/>
  <c r="N290" i="43"/>
  <c r="M1138" i="43"/>
  <c r="M1112" i="43"/>
  <c r="M187" i="43"/>
  <c r="M185" i="43"/>
  <c r="M177" i="43"/>
  <c r="M176" i="43" s="1"/>
  <c r="N181" i="43"/>
  <c r="O180" i="43"/>
  <c r="N184" i="43"/>
  <c r="K1010" i="43"/>
  <c r="N26" i="43"/>
  <c r="O25" i="43"/>
  <c r="M1045" i="43"/>
  <c r="M992" i="43"/>
  <c r="M28" i="43"/>
  <c r="L1062" i="43"/>
  <c r="L996" i="43"/>
  <c r="L997" i="43"/>
  <c r="L1058" i="43"/>
  <c r="L1001" i="43"/>
  <c r="L999" i="43"/>
  <c r="L1009" i="43"/>
  <c r="L998" i="43"/>
  <c r="L1060" i="43"/>
  <c r="L1005" i="43"/>
  <c r="L1007" i="43"/>
  <c r="L995" i="43"/>
  <c r="L1059" i="43"/>
  <c r="L1061" i="43"/>
  <c r="L1006" i="43"/>
  <c r="L1000" i="43"/>
  <c r="L1008" i="43"/>
  <c r="K1002" i="43"/>
  <c r="K1057" i="43"/>
  <c r="E25" i="40"/>
  <c r="K292" i="43"/>
  <c r="K335" i="43"/>
  <c r="K149" i="43"/>
  <c r="J1188" i="11"/>
  <c r="J1202" i="11" s="1"/>
  <c r="J1166" i="11"/>
  <c r="D14" i="40"/>
  <c r="L1163" i="11"/>
  <c r="K188" i="11"/>
  <c r="L201" i="14"/>
  <c r="K2" i="41"/>
  <c r="J144" i="41"/>
  <c r="J145" i="41" s="1"/>
  <c r="J152" i="41" s="1"/>
  <c r="I145" i="41"/>
  <c r="I152" i="41" s="1"/>
  <c r="J169" i="14"/>
  <c r="L360" i="11"/>
  <c r="L361" i="11" s="1"/>
  <c r="L184" i="11"/>
  <c r="L176" i="11"/>
  <c r="L213" i="11" s="1"/>
  <c r="L170" i="11"/>
  <c r="K68" i="14"/>
  <c r="K44" i="48" s="1"/>
  <c r="K463" i="11"/>
  <c r="K468" i="11"/>
  <c r="I7" i="41"/>
  <c r="I9" i="41" s="1"/>
  <c r="K419" i="11"/>
  <c r="J191" i="11"/>
  <c r="J460" i="11"/>
  <c r="J29" i="11"/>
  <c r="D13" i="40"/>
  <c r="J252" i="11"/>
  <c r="J251" i="11" s="1"/>
  <c r="D17" i="40"/>
  <c r="K363" i="11"/>
  <c r="L84" i="14"/>
  <c r="K59" i="19"/>
  <c r="L27" i="19"/>
  <c r="L14" i="19"/>
  <c r="K62" i="19"/>
  <c r="M12" i="19"/>
  <c r="M26" i="19" s="1"/>
  <c r="K14" i="19"/>
  <c r="K54" i="19"/>
  <c r="M11" i="36"/>
  <c r="M12" i="36" s="1"/>
  <c r="M14" i="36" s="1"/>
  <c r="N6" i="36"/>
  <c r="N7" i="36" s="1"/>
  <c r="M9" i="36"/>
  <c r="M8" i="36"/>
  <c r="K34" i="35"/>
  <c r="K69" i="35"/>
  <c r="L22" i="36"/>
  <c r="L21" i="36"/>
  <c r="L22" i="35"/>
  <c r="L21" i="35"/>
  <c r="M9" i="35"/>
  <c r="M8" i="35"/>
  <c r="M11" i="35"/>
  <c r="M12" i="35" s="1"/>
  <c r="M14" i="35" s="1"/>
  <c r="N6" i="35"/>
  <c r="N7" i="35" s="1"/>
  <c r="J62" i="19"/>
  <c r="I77" i="24"/>
  <c r="I77" i="25"/>
  <c r="L78" i="24"/>
  <c r="L78" i="25" s="1"/>
  <c r="I71" i="24"/>
  <c r="I71" i="25"/>
  <c r="K58" i="23"/>
  <c r="V58" i="23"/>
  <c r="O58" i="23"/>
  <c r="M58" i="23"/>
  <c r="R58" i="23"/>
  <c r="S58" i="23"/>
  <c r="U58" i="23"/>
  <c r="J58" i="23"/>
  <c r="J89" i="28"/>
  <c r="K89" i="28" s="1"/>
  <c r="L89" i="28" s="1"/>
  <c r="M89" i="28" s="1"/>
  <c r="N89" i="28" s="1"/>
  <c r="O89" i="28" s="1"/>
  <c r="P89" i="28" s="1"/>
  <c r="Q89" i="28" s="1"/>
  <c r="R89" i="28" s="1"/>
  <c r="S89" i="28" s="1"/>
  <c r="T89" i="28" s="1"/>
  <c r="U89" i="28" s="1"/>
  <c r="V89" i="28" s="1"/>
  <c r="I90" i="23"/>
  <c r="I79" i="25" s="1"/>
  <c r="J64" i="28"/>
  <c r="K64" i="28" s="1"/>
  <c r="L64" i="28" s="1"/>
  <c r="M64" i="28" s="1"/>
  <c r="N64" i="28" s="1"/>
  <c r="O64" i="28" s="1"/>
  <c r="P64" i="28" s="1"/>
  <c r="Q64" i="28" s="1"/>
  <c r="R64" i="28" s="1"/>
  <c r="S64" i="28" s="1"/>
  <c r="T64" i="28" s="1"/>
  <c r="U64" i="28" s="1"/>
  <c r="V64" i="28" s="1"/>
  <c r="I84" i="23"/>
  <c r="I73" i="25" s="1"/>
  <c r="K47" i="28"/>
  <c r="J36" i="28"/>
  <c r="L9" i="28"/>
  <c r="L35" i="28" s="1"/>
  <c r="L11" i="28"/>
  <c r="L12" i="28" s="1"/>
  <c r="L14" i="28" s="1"/>
  <c r="M6" i="28"/>
  <c r="M7" i="28" s="1"/>
  <c r="M9" i="28" s="1"/>
  <c r="M35" i="28" s="1"/>
  <c r="M104" i="15"/>
  <c r="N1515" i="11"/>
  <c r="N1517" i="11" s="1"/>
  <c r="M357" i="41" s="1"/>
  <c r="J77" i="15"/>
  <c r="J1487" i="11"/>
  <c r="L767" i="11"/>
  <c r="L376" i="14" s="1"/>
  <c r="L352" i="48" s="1"/>
  <c r="L41" i="11"/>
  <c r="L43" i="11" s="1"/>
  <c r="L81" i="11" s="1"/>
  <c r="L83" i="11" s="1"/>
  <c r="L945" i="11"/>
  <c r="L422" i="14" s="1"/>
  <c r="L398" i="48" s="1"/>
  <c r="L510" i="11"/>
  <c r="L526" i="11" s="1"/>
  <c r="L1538" i="11"/>
  <c r="L1542" i="11" s="1"/>
  <c r="L1033" i="11"/>
  <c r="L445" i="14" s="1"/>
  <c r="L421" i="48" s="1"/>
  <c r="L400" i="11"/>
  <c r="J1521" i="11"/>
  <c r="J1523" i="11" s="1"/>
  <c r="L98" i="11"/>
  <c r="L112" i="11" s="1"/>
  <c r="K365" i="11"/>
  <c r="L337" i="11"/>
  <c r="L350" i="11" s="1"/>
  <c r="L333" i="11"/>
  <c r="L346" i="11" s="1"/>
  <c r="L813" i="11"/>
  <c r="K371" i="11"/>
  <c r="L1003" i="11"/>
  <c r="L1007" i="11" s="1"/>
  <c r="L926" i="11"/>
  <c r="L1036" i="11"/>
  <c r="L965" i="11"/>
  <c r="L322" i="11"/>
  <c r="L324" i="11" s="1"/>
  <c r="L948" i="11"/>
  <c r="K376" i="11"/>
  <c r="K607" i="11"/>
  <c r="L310" i="11"/>
  <c r="L311" i="11" s="1"/>
  <c r="K311" i="11"/>
  <c r="L731" i="11"/>
  <c r="L867" i="11"/>
  <c r="L399" i="14" s="1"/>
  <c r="L375" i="48" s="1"/>
  <c r="K531" i="11"/>
  <c r="K520" i="11" s="1"/>
  <c r="L771" i="11"/>
  <c r="L63" i="11"/>
  <c r="L65" i="11" s="1"/>
  <c r="L266" i="11"/>
  <c r="L268" i="11" s="1"/>
  <c r="L294" i="11" s="1"/>
  <c r="L295" i="11" s="1"/>
  <c r="L582" i="11"/>
  <c r="L1091" i="11"/>
  <c r="L31" i="11" s="1"/>
  <c r="L101" i="11"/>
  <c r="L357" i="11"/>
  <c r="L371" i="11" s="1"/>
  <c r="L851" i="11"/>
  <c r="L852" i="11" s="1"/>
  <c r="L854" i="11" s="1"/>
  <c r="L848" i="11"/>
  <c r="L914" i="11"/>
  <c r="L916" i="11" s="1"/>
  <c r="L109" i="11"/>
  <c r="L123" i="11" s="1"/>
  <c r="L15" i="11"/>
  <c r="L870" i="11"/>
  <c r="M12" i="6"/>
  <c r="M14" i="6" s="1"/>
  <c r="L331" i="11"/>
  <c r="L344" i="11" s="1"/>
  <c r="L961" i="11"/>
  <c r="L316" i="11"/>
  <c r="L317" i="11" s="1"/>
  <c r="L887" i="11"/>
  <c r="L108" i="11"/>
  <c r="L122" i="11" s="1"/>
  <c r="K65" i="11"/>
  <c r="K122" i="11"/>
  <c r="L304" i="11"/>
  <c r="L305" i="11" s="1"/>
  <c r="L680" i="11"/>
  <c r="L51" i="11"/>
  <c r="K602" i="11"/>
  <c r="L904" i="11"/>
  <c r="L906" i="11" s="1"/>
  <c r="L74" i="11"/>
  <c r="L75" i="11" s="1"/>
  <c r="L634" i="11"/>
  <c r="L684" i="11"/>
  <c r="L695" i="11" s="1"/>
  <c r="L100" i="11"/>
  <c r="L114" i="11" s="1"/>
  <c r="M11" i="11"/>
  <c r="M12" i="11" s="1"/>
  <c r="M13" i="11" s="1"/>
  <c r="L877" i="11"/>
  <c r="L879" i="11" s="1"/>
  <c r="N6" i="11"/>
  <c r="N7" i="11" s="1"/>
  <c r="O6" i="11" s="1"/>
  <c r="O7" i="11" s="1"/>
  <c r="L335" i="11"/>
  <c r="K115" i="11"/>
  <c r="L104" i="11"/>
  <c r="K348" i="11"/>
  <c r="L744" i="11"/>
  <c r="L745" i="11" s="1"/>
  <c r="L747" i="11" s="1"/>
  <c r="L788" i="11" s="1"/>
  <c r="L790" i="11" s="1"/>
  <c r="K468" i="14"/>
  <c r="M9" i="11"/>
  <c r="M1460" i="11" s="1"/>
  <c r="K430" i="11"/>
  <c r="K879" i="11"/>
  <c r="K695" i="11"/>
  <c r="K414" i="11"/>
  <c r="L92" i="11"/>
  <c r="K75" i="11"/>
  <c r="K114" i="11"/>
  <c r="L676" i="11"/>
  <c r="L1021" i="11"/>
  <c r="L1022" i="11" s="1"/>
  <c r="L1024" i="11" s="1"/>
  <c r="K123" i="11"/>
  <c r="K344" i="11"/>
  <c r="K324" i="11"/>
  <c r="L734" i="11"/>
  <c r="L735" i="11" s="1"/>
  <c r="L737" i="11" s="1"/>
  <c r="L778" i="11" s="1"/>
  <c r="L780" i="11" s="1"/>
  <c r="M14" i="24"/>
  <c r="K939" i="11"/>
  <c r="L934" i="11"/>
  <c r="L935" i="11" s="1"/>
  <c r="L937" i="11" s="1"/>
  <c r="K317" i="11"/>
  <c r="K350" i="11"/>
  <c r="L739" i="11"/>
  <c r="L740" i="11" s="1"/>
  <c r="L742" i="11" s="1"/>
  <c r="L783" i="11" s="1"/>
  <c r="L785" i="11" s="1"/>
  <c r="J146" i="14"/>
  <c r="I68" i="41" s="1"/>
  <c r="L1011" i="11"/>
  <c r="L1012" i="11" s="1"/>
  <c r="L1014" i="11" s="1"/>
  <c r="Q99" i="24"/>
  <c r="L46" i="11"/>
  <c r="L48" i="11" s="1"/>
  <c r="U52" i="24"/>
  <c r="U99" i="24"/>
  <c r="L929" i="11"/>
  <c r="L930" i="11" s="1"/>
  <c r="L932" i="11" s="1"/>
  <c r="K932" i="11"/>
  <c r="K940" i="11" s="1"/>
  <c r="J686" i="11"/>
  <c r="J327" i="14" s="1"/>
  <c r="J303" i="48" s="1"/>
  <c r="J818" i="11"/>
  <c r="J373" i="14" s="1"/>
  <c r="J349" i="48" s="1"/>
  <c r="L115" i="23"/>
  <c r="L116" i="23" s="1"/>
  <c r="P115" i="23"/>
  <c r="P116" i="23" s="1"/>
  <c r="S115" i="23"/>
  <c r="S116" i="23" s="1"/>
  <c r="U115" i="23"/>
  <c r="U116" i="23" s="1"/>
  <c r="K115" i="23"/>
  <c r="K116" i="23" s="1"/>
  <c r="K117" i="23" s="1"/>
  <c r="K118" i="23" s="1"/>
  <c r="Q115" i="23"/>
  <c r="Q116" i="23" s="1"/>
  <c r="M115" i="23"/>
  <c r="M116" i="23" s="1"/>
  <c r="T115" i="23"/>
  <c r="T116" i="23" s="1"/>
  <c r="V115" i="23"/>
  <c r="V116" i="23" s="1"/>
  <c r="O115" i="23"/>
  <c r="O116" i="23" s="1"/>
  <c r="R115" i="23"/>
  <c r="R116" i="23" s="1"/>
  <c r="N115" i="23"/>
  <c r="N116" i="23" s="1"/>
  <c r="L987" i="11"/>
  <c r="K989" i="11"/>
  <c r="L1085" i="11"/>
  <c r="K1087" i="11"/>
  <c r="L640" i="11"/>
  <c r="K641" i="11"/>
  <c r="L808" i="11"/>
  <c r="K810" i="11"/>
  <c r="L293" i="14"/>
  <c r="L131" i="14"/>
  <c r="L454" i="14"/>
  <c r="L339" i="14"/>
  <c r="L155" i="14"/>
  <c r="L385" i="14"/>
  <c r="L178" i="14"/>
  <c r="L408" i="14"/>
  <c r="L431" i="14"/>
  <c r="L477" i="14"/>
  <c r="L36" i="14"/>
  <c r="L500" i="14"/>
  <c r="L270" i="14"/>
  <c r="R52" i="24"/>
  <c r="R99" i="24"/>
  <c r="O8" i="6"/>
  <c r="O11" i="6"/>
  <c r="O9" i="6"/>
  <c r="P6" i="6"/>
  <c r="P7" i="6" s="1"/>
  <c r="L1060" i="11"/>
  <c r="K1062" i="11"/>
  <c r="V52" i="24"/>
  <c r="V99" i="24"/>
  <c r="L271" i="11"/>
  <c r="K273" i="11"/>
  <c r="L836" i="11"/>
  <c r="K838" i="11"/>
  <c r="O6" i="25"/>
  <c r="O7" i="25" s="1"/>
  <c r="N11" i="25"/>
  <c r="N12" i="25" s="1"/>
  <c r="N14" i="25" s="1"/>
  <c r="N9" i="25"/>
  <c r="N8" i="25"/>
  <c r="N36" i="25" s="1"/>
  <c r="L669" i="11"/>
  <c r="K670" i="11"/>
  <c r="L1065" i="11"/>
  <c r="K1067" i="11"/>
  <c r="L982" i="11"/>
  <c r="K984" i="11"/>
  <c r="L681" i="11"/>
  <c r="K692" i="11"/>
  <c r="J609" i="11"/>
  <c r="L298" i="11"/>
  <c r="K299" i="11"/>
  <c r="J81" i="11"/>
  <c r="J83" i="11" s="1"/>
  <c r="L679" i="11"/>
  <c r="K690" i="11"/>
  <c r="L821" i="11"/>
  <c r="K823" i="11"/>
  <c r="L919" i="11"/>
  <c r="K921" i="11"/>
  <c r="L1053" i="11"/>
  <c r="J340" i="11"/>
  <c r="J353" i="11"/>
  <c r="J122" i="14" s="1"/>
  <c r="J98" i="48" s="1"/>
  <c r="J891" i="11"/>
  <c r="J396" i="14" s="1"/>
  <c r="J372" i="48" s="1"/>
  <c r="L899" i="11"/>
  <c r="K901" i="11"/>
  <c r="L255" i="11"/>
  <c r="K256" i="11"/>
  <c r="K442" i="11" s="1"/>
  <c r="L1075" i="11"/>
  <c r="K1077" i="11"/>
  <c r="J384" i="11"/>
  <c r="J386" i="11" s="1"/>
  <c r="L14" i="14"/>
  <c r="L336" i="11"/>
  <c r="K349" i="11"/>
  <c r="J1028" i="11"/>
  <c r="K1027" i="11"/>
  <c r="K1009" i="11"/>
  <c r="K1028" i="11" s="1"/>
  <c r="L330" i="11"/>
  <c r="K343" i="11"/>
  <c r="L909" i="11"/>
  <c r="K911" i="11"/>
  <c r="L652" i="11"/>
  <c r="K653" i="11"/>
  <c r="L803" i="11"/>
  <c r="K805" i="11"/>
  <c r="L334" i="11"/>
  <c r="K347" i="11"/>
  <c r="L894" i="11"/>
  <c r="K896" i="11"/>
  <c r="L612" i="11"/>
  <c r="K614" i="11"/>
  <c r="J262" i="11"/>
  <c r="J301" i="11" s="1"/>
  <c r="L338" i="11"/>
  <c r="K351" i="11"/>
  <c r="J655" i="11"/>
  <c r="M9" i="14"/>
  <c r="L3" i="41" s="1"/>
  <c r="M11" i="14"/>
  <c r="M12" i="14" s="1"/>
  <c r="M8" i="14"/>
  <c r="M108" i="14" s="1"/>
  <c r="N6" i="14"/>
  <c r="N7" i="14" s="1"/>
  <c r="L328" i="11"/>
  <c r="K341" i="11"/>
  <c r="J862" i="11"/>
  <c r="L103" i="11"/>
  <c r="K117" i="11"/>
  <c r="K27" i="11"/>
  <c r="K1108" i="11" s="1"/>
  <c r="L26" i="11"/>
  <c r="J969" i="11"/>
  <c r="J419" i="14" s="1"/>
  <c r="J395" i="48" s="1"/>
  <c r="P52" i="24"/>
  <c r="P99" i="24"/>
  <c r="L107" i="11"/>
  <c r="K121" i="11"/>
  <c r="L683" i="11"/>
  <c r="K694" i="11"/>
  <c r="L585" i="11"/>
  <c r="K586" i="11"/>
  <c r="E29" i="40" s="1"/>
  <c r="E9" i="40" s="1"/>
  <c r="O25" i="19"/>
  <c r="P23" i="19"/>
  <c r="S52" i="24"/>
  <c r="S99" i="24"/>
  <c r="L682" i="11"/>
  <c r="K693" i="11"/>
  <c r="L1070" i="11"/>
  <c r="K1072" i="11"/>
  <c r="J940" i="11"/>
  <c r="J379" i="11"/>
  <c r="J161" i="11" s="1"/>
  <c r="J164" i="11" s="1"/>
  <c r="L972" i="11"/>
  <c r="K974" i="11"/>
  <c r="M14" i="25"/>
  <c r="L997" i="11"/>
  <c r="K999" i="11"/>
  <c r="L617" i="11"/>
  <c r="K619" i="11"/>
  <c r="L1080" i="11"/>
  <c r="K1082" i="11"/>
  <c r="L856" i="11"/>
  <c r="L857" i="11" s="1"/>
  <c r="L859" i="11" s="1"/>
  <c r="L329" i="11"/>
  <c r="K342" i="11"/>
  <c r="L831" i="11"/>
  <c r="K833" i="11"/>
  <c r="J111" i="11"/>
  <c r="J24" i="14" s="1"/>
  <c r="J125" i="11"/>
  <c r="J27" i="14" s="1"/>
  <c r="J27" i="48" s="1"/>
  <c r="L282" i="11"/>
  <c r="K284" i="11"/>
  <c r="K476" i="11" s="1"/>
  <c r="K699" i="11" s="1"/>
  <c r="L57" i="11"/>
  <c r="K58" i="11"/>
  <c r="L68" i="11"/>
  <c r="K69" i="11"/>
  <c r="L102" i="11"/>
  <c r="K116" i="11"/>
  <c r="L276" i="11"/>
  <c r="K277" i="11"/>
  <c r="K862" i="11"/>
  <c r="L21" i="11"/>
  <c r="L22" i="11" s="1"/>
  <c r="L646" i="11"/>
  <c r="K647" i="11"/>
  <c r="L678" i="11"/>
  <c r="K689" i="11"/>
  <c r="L977" i="11"/>
  <c r="K979" i="11"/>
  <c r="L105" i="11"/>
  <c r="K119" i="11"/>
  <c r="J1121" i="11"/>
  <c r="O52" i="24"/>
  <c r="O99" i="24"/>
  <c r="L1043" i="11"/>
  <c r="K1045" i="11"/>
  <c r="L332" i="11"/>
  <c r="K345" i="11"/>
  <c r="L826" i="11"/>
  <c r="K828" i="11"/>
  <c r="L628" i="11"/>
  <c r="K629" i="11"/>
  <c r="L955" i="11"/>
  <c r="K957" i="11"/>
  <c r="L841" i="11"/>
  <c r="K843" i="11"/>
  <c r="K861" i="11"/>
  <c r="J24" i="11"/>
  <c r="L677" i="11"/>
  <c r="K688" i="11"/>
  <c r="J394" i="11"/>
  <c r="J468" i="14"/>
  <c r="L992" i="11"/>
  <c r="K994" i="11"/>
  <c r="L622" i="11"/>
  <c r="K623" i="11"/>
  <c r="J1057" i="11"/>
  <c r="J442" i="14" s="1"/>
  <c r="J418" i="48" s="1"/>
  <c r="L99" i="11"/>
  <c r="K113" i="11"/>
  <c r="L106" i="11"/>
  <c r="K120" i="11"/>
  <c r="K277" i="14"/>
  <c r="K535" i="11"/>
  <c r="K541" i="11" s="1"/>
  <c r="L86" i="11"/>
  <c r="K87" i="11"/>
  <c r="L287" i="11"/>
  <c r="K288" i="11"/>
  <c r="M1106" i="11"/>
  <c r="M1099" i="11"/>
  <c r="M1103" i="11" s="1"/>
  <c r="M1104" i="11" s="1"/>
  <c r="M1473" i="11"/>
  <c r="M1094" i="11"/>
  <c r="M1096" i="11" s="1"/>
  <c r="M1097" i="11" s="1"/>
  <c r="P664" i="11"/>
  <c r="P666" i="11" s="1"/>
  <c r="O664" i="11"/>
  <c r="O666" i="11" s="1"/>
  <c r="V664" i="11"/>
  <c r="V666" i="11" s="1"/>
  <c r="N664" i="11"/>
  <c r="N666" i="11" s="1"/>
  <c r="U664" i="11"/>
  <c r="U666" i="11" s="1"/>
  <c r="M664" i="11"/>
  <c r="M666" i="11" s="1"/>
  <c r="T664" i="11"/>
  <c r="T666" i="11" s="1"/>
  <c r="L664" i="11"/>
  <c r="L666" i="11" s="1"/>
  <c r="S664" i="11"/>
  <c r="S666" i="11" s="1"/>
  <c r="K664" i="11"/>
  <c r="K666" i="11" s="1"/>
  <c r="R664" i="11"/>
  <c r="R666" i="11" s="1"/>
  <c r="J664" i="11"/>
  <c r="J666" i="11" s="1"/>
  <c r="Q664" i="11"/>
  <c r="Q666" i="11" s="1"/>
  <c r="N8" i="19"/>
  <c r="O6" i="19"/>
  <c r="O7" i="19" s="1"/>
  <c r="N9" i="19"/>
  <c r="N11" i="19"/>
  <c r="L62" i="19"/>
  <c r="M14" i="15"/>
  <c r="N8" i="15"/>
  <c r="N62" i="15" s="1"/>
  <c r="O6" i="15"/>
  <c r="O7" i="15" s="1"/>
  <c r="N9" i="15"/>
  <c r="N11" i="15"/>
  <c r="N12" i="15" s="1"/>
  <c r="N14" i="23"/>
  <c r="O8" i="23"/>
  <c r="O47" i="23" s="1"/>
  <c r="P6" i="23"/>
  <c r="P7" i="23" s="1"/>
  <c r="O9" i="23"/>
  <c r="O11" i="23"/>
  <c r="O12" i="23" s="1"/>
  <c r="O6" i="24"/>
  <c r="O7" i="24" s="1"/>
  <c r="N9" i="24"/>
  <c r="N11" i="24"/>
  <c r="N12" i="24" s="1"/>
  <c r="N8" i="24"/>
  <c r="N36" i="24" s="1"/>
  <c r="K72" i="14" l="1"/>
  <c r="J17" i="41" s="1"/>
  <c r="J191" i="48"/>
  <c r="I191" i="41"/>
  <c r="J145" i="48"/>
  <c r="I109" i="41"/>
  <c r="L210" i="11"/>
  <c r="L72" i="14" s="1"/>
  <c r="K17" i="41" s="1"/>
  <c r="L194" i="11"/>
  <c r="M1524" i="11"/>
  <c r="M1525" i="11" s="1"/>
  <c r="L197" i="11"/>
  <c r="L199" i="11" s="1"/>
  <c r="K241" i="11"/>
  <c r="M123" i="15"/>
  <c r="J260" i="11"/>
  <c r="J115" i="14" s="1"/>
  <c r="M51" i="24"/>
  <c r="M99" i="24" s="1"/>
  <c r="M51" i="25"/>
  <c r="M99" i="25" s="1"/>
  <c r="K569" i="11"/>
  <c r="K307" i="14" s="1"/>
  <c r="K283" i="48" s="1"/>
  <c r="N51" i="25"/>
  <c r="N52" i="25" s="1"/>
  <c r="N52" i="36" s="1"/>
  <c r="L480" i="11"/>
  <c r="L481" i="11" s="1"/>
  <c r="N256" i="11"/>
  <c r="N442" i="11" s="1"/>
  <c r="N123" i="15"/>
  <c r="K99" i="24"/>
  <c r="N51" i="24"/>
  <c r="N99" i="24" s="1"/>
  <c r="N1524" i="11"/>
  <c r="N1525" i="11" s="1"/>
  <c r="D116" i="40"/>
  <c r="J58" i="19"/>
  <c r="J75" i="19" s="1"/>
  <c r="J36" i="19"/>
  <c r="J37" i="19"/>
  <c r="K6" i="39"/>
  <c r="V1310" i="43"/>
  <c r="K70" i="24"/>
  <c r="K70" i="25" s="1"/>
  <c r="M1110" i="11"/>
  <c r="M1113" i="11"/>
  <c r="M1115" i="11" s="1"/>
  <c r="M1116" i="11" s="1"/>
  <c r="M1147" i="11" s="1"/>
  <c r="G5" i="50"/>
  <c r="L1101" i="11"/>
  <c r="M5" i="11"/>
  <c r="S509" i="43"/>
  <c r="R510" i="43"/>
  <c r="L37" i="43"/>
  <c r="L60" i="43" s="1"/>
  <c r="S708" i="43"/>
  <c r="R710" i="43"/>
  <c r="V639" i="43"/>
  <c r="V641" i="43" s="1"/>
  <c r="U641" i="43"/>
  <c r="K89" i="41"/>
  <c r="K91" i="41" s="1"/>
  <c r="R1310" i="43"/>
  <c r="L516" i="11"/>
  <c r="L277" i="14" s="1"/>
  <c r="L518" i="11"/>
  <c r="I48" i="41"/>
  <c r="I50" i="41" s="1"/>
  <c r="H143" i="14"/>
  <c r="L1391" i="11"/>
  <c r="L1394" i="11" s="1"/>
  <c r="L1396" i="11" s="1"/>
  <c r="L1398" i="11" s="1"/>
  <c r="F8" i="50"/>
  <c r="L555" i="11"/>
  <c r="L558" i="11" s="1"/>
  <c r="L561" i="11" s="1"/>
  <c r="L300" i="14" s="1"/>
  <c r="J122" i="48"/>
  <c r="M1275" i="11"/>
  <c r="M223" i="11"/>
  <c r="J276" i="48"/>
  <c r="J302" i="14"/>
  <c r="K562" i="11"/>
  <c r="K567" i="11" s="1"/>
  <c r="D51" i="40"/>
  <c r="J24" i="48"/>
  <c r="L444" i="48"/>
  <c r="J441" i="48"/>
  <c r="J253" i="41"/>
  <c r="J255" i="41" s="1"/>
  <c r="K253" i="48"/>
  <c r="E54" i="40" s="1"/>
  <c r="O1310" i="43"/>
  <c r="U1310" i="43"/>
  <c r="I12" i="41"/>
  <c r="I14" i="41" s="1"/>
  <c r="J45" i="48"/>
  <c r="J46" i="48" s="1"/>
  <c r="J283" i="48"/>
  <c r="R491" i="14"/>
  <c r="U491" i="14"/>
  <c r="T314" i="41" s="1"/>
  <c r="J716" i="11"/>
  <c r="K1310" i="43"/>
  <c r="K69" i="14"/>
  <c r="K438" i="14"/>
  <c r="K414" i="48" s="1"/>
  <c r="P99" i="25"/>
  <c r="J438" i="14"/>
  <c r="J414" i="48" s="1"/>
  <c r="J70" i="14"/>
  <c r="I171" i="41"/>
  <c r="I173" i="41" s="1"/>
  <c r="Q491" i="14"/>
  <c r="O491" i="14"/>
  <c r="V491" i="14"/>
  <c r="U314" i="41" s="1"/>
  <c r="M162" i="14"/>
  <c r="M491" i="14"/>
  <c r="P491" i="14"/>
  <c r="K415" i="14"/>
  <c r="K391" i="48" s="1"/>
  <c r="T491" i="14"/>
  <c r="S314" i="41" s="1"/>
  <c r="K75" i="48"/>
  <c r="N491" i="14"/>
  <c r="H119" i="48"/>
  <c r="K139" i="14"/>
  <c r="K115" i="48" s="1"/>
  <c r="E47" i="40" s="1"/>
  <c r="K238" i="14"/>
  <c r="Q99" i="25"/>
  <c r="I430" i="43"/>
  <c r="U99" i="25"/>
  <c r="S491" i="14"/>
  <c r="K215" i="14"/>
  <c r="J191" i="41" s="1"/>
  <c r="K284" i="14"/>
  <c r="L491" i="14"/>
  <c r="J284" i="14"/>
  <c r="J330" i="14"/>
  <c r="J306" i="48" s="1"/>
  <c r="K353" i="14"/>
  <c r="K329" i="48" s="1"/>
  <c r="K491" i="14"/>
  <c r="S52" i="25"/>
  <c r="S52" i="36" s="1"/>
  <c r="O99" i="25"/>
  <c r="V52" i="25"/>
  <c r="V52" i="36" s="1"/>
  <c r="R52" i="25"/>
  <c r="R52" i="36" s="1"/>
  <c r="T52" i="25"/>
  <c r="T52" i="36" s="1"/>
  <c r="I1138" i="11"/>
  <c r="J1372" i="11"/>
  <c r="J1375" i="11" s="1"/>
  <c r="K99" i="25"/>
  <c r="S934" i="43"/>
  <c r="T930" i="43"/>
  <c r="L244" i="11"/>
  <c r="L99" i="14" s="1"/>
  <c r="L721" i="11"/>
  <c r="L726" i="11"/>
  <c r="L249" i="11"/>
  <c r="L577" i="11"/>
  <c r="K978" i="43"/>
  <c r="I947" i="43"/>
  <c r="K34" i="43"/>
  <c r="K1071" i="43"/>
  <c r="K37" i="43"/>
  <c r="K1045" i="43"/>
  <c r="T941" i="43"/>
  <c r="U937" i="43"/>
  <c r="O848" i="43"/>
  <c r="O850" i="43" s="1"/>
  <c r="P847" i="43"/>
  <c r="Q1310" i="43"/>
  <c r="P838" i="43"/>
  <c r="P840" i="43" s="1"/>
  <c r="Q837" i="43"/>
  <c r="J514" i="14"/>
  <c r="L1142" i="43"/>
  <c r="L1144" i="43"/>
  <c r="M477" i="11"/>
  <c r="R927" i="43"/>
  <c r="R928" i="43" s="1"/>
  <c r="S925" i="43"/>
  <c r="L34" i="43"/>
  <c r="L38" i="43" s="1"/>
  <c r="L1045" i="43"/>
  <c r="L1098" i="43" s="1"/>
  <c r="M551" i="11"/>
  <c r="M700" i="11"/>
  <c r="J1425" i="11"/>
  <c r="J1327" i="11"/>
  <c r="J1331" i="11" s="1"/>
  <c r="J562" i="11"/>
  <c r="J567" i="11" s="1"/>
  <c r="J304" i="14" s="1"/>
  <c r="E103" i="45"/>
  <c r="K1400" i="11"/>
  <c r="K1402" i="11" s="1"/>
  <c r="E109" i="45"/>
  <c r="L1145" i="43"/>
  <c r="L215" i="43"/>
  <c r="J346" i="14"/>
  <c r="L238" i="43"/>
  <c r="L1155" i="43"/>
  <c r="L1125" i="43"/>
  <c r="L1115" i="43"/>
  <c r="L1116" i="43"/>
  <c r="L1126" i="43"/>
  <c r="L1146" i="43"/>
  <c r="L1128" i="43"/>
  <c r="L1151" i="43"/>
  <c r="L1121" i="43"/>
  <c r="L1152" i="43"/>
  <c r="L1129" i="43"/>
  <c r="L1153" i="43"/>
  <c r="L1118" i="43"/>
  <c r="L1227" i="43"/>
  <c r="L1229" i="43" s="1"/>
  <c r="L1232" i="43" s="1"/>
  <c r="L1119" i="43"/>
  <c r="L1117" i="43"/>
  <c r="L1141" i="43"/>
  <c r="L1120" i="43"/>
  <c r="L1147" i="43"/>
  <c r="L1165" i="43"/>
  <c r="J709" i="11"/>
  <c r="J710" i="11"/>
  <c r="J1355" i="11"/>
  <c r="J1356" i="11" s="1"/>
  <c r="K1346" i="11"/>
  <c r="K1363" i="11"/>
  <c r="K1435" i="11" s="1"/>
  <c r="L439" i="43"/>
  <c r="L441" i="43" s="1"/>
  <c r="K1130" i="43"/>
  <c r="L149" i="43"/>
  <c r="L244" i="43"/>
  <c r="L204" i="43"/>
  <c r="K1122" i="43"/>
  <c r="L226" i="43"/>
  <c r="K695" i="43"/>
  <c r="L335" i="43"/>
  <c r="K189" i="43"/>
  <c r="K433" i="43" s="1"/>
  <c r="K435" i="43" s="1"/>
  <c r="K421" i="43" s="1"/>
  <c r="K1148" i="43"/>
  <c r="K1166" i="43" s="1"/>
  <c r="E76" i="42" s="1"/>
  <c r="L932" i="43"/>
  <c r="L71" i="43"/>
  <c r="N21" i="43"/>
  <c r="N37" i="43" s="1"/>
  <c r="N71" i="43" s="1"/>
  <c r="O20" i="43"/>
  <c r="M1071" i="43"/>
  <c r="M1016" i="43"/>
  <c r="M23" i="43"/>
  <c r="M38" i="43" s="1"/>
  <c r="L1019" i="43"/>
  <c r="L1020" i="43"/>
  <c r="L1033" i="43"/>
  <c r="L1029" i="43"/>
  <c r="L1032" i="43"/>
  <c r="L1025" i="43"/>
  <c r="L1030" i="43"/>
  <c r="L1021" i="43"/>
  <c r="L1022" i="43"/>
  <c r="L1024" i="43"/>
  <c r="L1031" i="43"/>
  <c r="L1023" i="43"/>
  <c r="L1088" i="43"/>
  <c r="L1084" i="43"/>
  <c r="L1085" i="43"/>
  <c r="L1079" i="43"/>
  <c r="L1076" i="43"/>
  <c r="L1077" i="43"/>
  <c r="L1074" i="43"/>
  <c r="L1087" i="43"/>
  <c r="L1086" i="43"/>
  <c r="L1216" i="43"/>
  <c r="L1218" i="43" s="1"/>
  <c r="L1078" i="43"/>
  <c r="L1080" i="43"/>
  <c r="L1075" i="43"/>
  <c r="K1038" i="43"/>
  <c r="K1028" i="43" s="1"/>
  <c r="K1035" i="43" s="1"/>
  <c r="J487" i="11"/>
  <c r="J488" i="11" s="1"/>
  <c r="J486" i="11"/>
  <c r="K484" i="11"/>
  <c r="K453" i="11"/>
  <c r="K451" i="11"/>
  <c r="E13" i="45" s="1"/>
  <c r="E22" i="45" s="1"/>
  <c r="K455" i="11"/>
  <c r="N274" i="43"/>
  <c r="O261" i="43"/>
  <c r="O92" i="43"/>
  <c r="N93" i="43"/>
  <c r="O100" i="43"/>
  <c r="N114" i="43"/>
  <c r="N271" i="43"/>
  <c r="O258" i="43"/>
  <c r="O448" i="43"/>
  <c r="N449" i="43"/>
  <c r="N272" i="43"/>
  <c r="O259" i="43"/>
  <c r="J39" i="43"/>
  <c r="J979" i="43" s="1"/>
  <c r="J980" i="43" s="1"/>
  <c r="O102" i="43"/>
  <c r="N116" i="43"/>
  <c r="M454" i="43"/>
  <c r="M452" i="43"/>
  <c r="M498" i="43" s="1"/>
  <c r="M500" i="43" s="1"/>
  <c r="J750" i="11"/>
  <c r="J752" i="11" s="1"/>
  <c r="J793" i="11" s="1"/>
  <c r="J795" i="11" s="1"/>
  <c r="K749" i="11"/>
  <c r="O254" i="43"/>
  <c r="N267" i="43"/>
  <c r="O539" i="43"/>
  <c r="N550" i="43"/>
  <c r="N115" i="43"/>
  <c r="O101" i="43"/>
  <c r="O106" i="43"/>
  <c r="N120" i="43"/>
  <c r="O229" i="43"/>
  <c r="N230" i="43"/>
  <c r="L506" i="43"/>
  <c r="L535" i="43"/>
  <c r="L494" i="43"/>
  <c r="L512" i="43"/>
  <c r="L518" i="43"/>
  <c r="L488" i="43"/>
  <c r="J581" i="43"/>
  <c r="J583" i="43" s="1"/>
  <c r="K580" i="43"/>
  <c r="J1004" i="43"/>
  <c r="J1011" i="43" s="1"/>
  <c r="O545" i="43"/>
  <c r="N556" i="43"/>
  <c r="M685" i="43"/>
  <c r="M693" i="43" s="1"/>
  <c r="M692" i="43"/>
  <c r="K861" i="43"/>
  <c r="O541" i="43"/>
  <c r="N552" i="43"/>
  <c r="O201" i="43"/>
  <c r="N202" i="43"/>
  <c r="N304" i="43" s="1"/>
  <c r="N306" i="43" s="1"/>
  <c r="O260" i="43"/>
  <c r="N273" i="43"/>
  <c r="J773" i="43"/>
  <c r="M566" i="43"/>
  <c r="M568" i="43" s="1"/>
  <c r="M609" i="43" s="1"/>
  <c r="M611" i="43" s="1"/>
  <c r="N565" i="43"/>
  <c r="N58" i="43"/>
  <c r="O57" i="43"/>
  <c r="N48" i="43"/>
  <c r="O46" i="43"/>
  <c r="J695" i="43"/>
  <c r="O98" i="43"/>
  <c r="N112" i="43"/>
  <c r="O86" i="43"/>
  <c r="N87" i="43"/>
  <c r="J754" i="11"/>
  <c r="J585" i="43"/>
  <c r="M549" i="43"/>
  <c r="O241" i="43"/>
  <c r="N242" i="43"/>
  <c r="O212" i="43"/>
  <c r="N213" i="43"/>
  <c r="N319" i="43" s="1"/>
  <c r="N321" i="43" s="1"/>
  <c r="N843" i="43"/>
  <c r="O842" i="43"/>
  <c r="K456" i="43"/>
  <c r="M111" i="43"/>
  <c r="M125" i="43"/>
  <c r="M95" i="43"/>
  <c r="N276" i="43"/>
  <c r="O263" i="43"/>
  <c r="N236" i="43"/>
  <c r="O235" i="43"/>
  <c r="J939" i="43"/>
  <c r="J940" i="43" s="1"/>
  <c r="J942" i="43" s="1"/>
  <c r="J933" i="43"/>
  <c r="J935" i="43" s="1"/>
  <c r="O544" i="43"/>
  <c r="N555" i="43"/>
  <c r="M358" i="43"/>
  <c r="M361" i="43" s="1"/>
  <c r="M402" i="43"/>
  <c r="M405" i="43" s="1"/>
  <c r="M172" i="43"/>
  <c r="M175" i="43" s="1"/>
  <c r="M321" i="43"/>
  <c r="O540" i="43"/>
  <c r="N551" i="43"/>
  <c r="M845" i="43"/>
  <c r="M859" i="43" s="1"/>
  <c r="M858" i="43"/>
  <c r="O105" i="43"/>
  <c r="N119" i="43"/>
  <c r="N333" i="43"/>
  <c r="O104" i="43"/>
  <c r="N118" i="43"/>
  <c r="N270" i="43"/>
  <c r="O257" i="43"/>
  <c r="L770" i="43"/>
  <c r="K576" i="43"/>
  <c r="K578" i="43" s="1"/>
  <c r="K619" i="43" s="1"/>
  <c r="K621" i="43" s="1"/>
  <c r="L575" i="43"/>
  <c r="N853" i="43"/>
  <c r="N855" i="43" s="1"/>
  <c r="O852" i="43"/>
  <c r="O547" i="43"/>
  <c r="N558" i="43"/>
  <c r="O262" i="43"/>
  <c r="N275" i="43"/>
  <c r="N688" i="43"/>
  <c r="N690" i="43" s="1"/>
  <c r="O687" i="43"/>
  <c r="O543" i="43"/>
  <c r="N554" i="43"/>
  <c r="J619" i="43"/>
  <c r="J621" i="43" s="1"/>
  <c r="O51" i="43"/>
  <c r="N52" i="43"/>
  <c r="N122" i="43"/>
  <c r="O108" i="43"/>
  <c r="L879" i="43"/>
  <c r="L881" i="43" s="1"/>
  <c r="L868" i="43"/>
  <c r="L870" i="43" s="1"/>
  <c r="O107" i="43"/>
  <c r="N121" i="43"/>
  <c r="K780" i="43"/>
  <c r="K782" i="43" s="1"/>
  <c r="K791" i="43"/>
  <c r="K793" i="43" s="1"/>
  <c r="N761" i="43"/>
  <c r="O760" i="43"/>
  <c r="O542" i="43"/>
  <c r="N553" i="43"/>
  <c r="O253" i="43"/>
  <c r="N266" i="43"/>
  <c r="J1209" i="43"/>
  <c r="J1213" i="43"/>
  <c r="J1220" i="43" s="1"/>
  <c r="M391" i="43"/>
  <c r="M394" i="43" s="1"/>
  <c r="M347" i="43"/>
  <c r="M350" i="43" s="1"/>
  <c r="M161" i="43"/>
  <c r="M164" i="43" s="1"/>
  <c r="M306" i="43"/>
  <c r="N224" i="43"/>
  <c r="N309" i="43" s="1"/>
  <c r="N311" i="43" s="1"/>
  <c r="O223" i="43"/>
  <c r="M766" i="43"/>
  <c r="M768" i="43" s="1"/>
  <c r="N765" i="43"/>
  <c r="O103" i="43"/>
  <c r="N117" i="43"/>
  <c r="L571" i="43"/>
  <c r="L573" i="43" s="1"/>
  <c r="L614" i="43" s="1"/>
  <c r="L616" i="43" s="1"/>
  <c r="M570" i="43"/>
  <c r="L609" i="43"/>
  <c r="L611" i="43" s="1"/>
  <c r="J1055" i="43"/>
  <c r="J1068" i="43" s="1"/>
  <c r="L693" i="43"/>
  <c r="N269" i="43"/>
  <c r="O256" i="43"/>
  <c r="J1095" i="43"/>
  <c r="M278" i="43"/>
  <c r="M265" i="43"/>
  <c r="M439" i="43" s="1"/>
  <c r="M441" i="43" s="1"/>
  <c r="O63" i="43"/>
  <c r="N65" i="43"/>
  <c r="O109" i="43"/>
  <c r="N123" i="43"/>
  <c r="N557" i="43"/>
  <c r="O546" i="43"/>
  <c r="J1308" i="43"/>
  <c r="J1309" i="43"/>
  <c r="N75" i="43"/>
  <c r="O74" i="43"/>
  <c r="L771" i="43"/>
  <c r="J1038" i="43"/>
  <c r="J1028" i="43" s="1"/>
  <c r="J1035" i="43" s="1"/>
  <c r="J1036" i="43"/>
  <c r="J1103" i="43" s="1"/>
  <c r="D64" i="42" s="1"/>
  <c r="O255" i="43"/>
  <c r="N268" i="43"/>
  <c r="M763" i="43"/>
  <c r="M771" i="43" s="1"/>
  <c r="N683" i="43"/>
  <c r="O682" i="43"/>
  <c r="K550" i="11"/>
  <c r="K591" i="11"/>
  <c r="K625" i="11" s="1"/>
  <c r="K1178" i="43"/>
  <c r="K1180" i="43" s="1"/>
  <c r="K1186" i="43" s="1"/>
  <c r="K589" i="11"/>
  <c r="K1278" i="11"/>
  <c r="E4" i="45" s="1"/>
  <c r="K1302" i="11"/>
  <c r="D16" i="40"/>
  <c r="D22" i="40" s="1"/>
  <c r="D6" i="40" s="1"/>
  <c r="D21" i="40"/>
  <c r="M77" i="43"/>
  <c r="M932" i="43"/>
  <c r="M933" i="43" s="1"/>
  <c r="M935" i="43" s="1"/>
  <c r="O329" i="43"/>
  <c r="O333" i="43" s="1"/>
  <c r="O403" i="11"/>
  <c r="O404" i="11" s="1"/>
  <c r="H26" i="40"/>
  <c r="N406" i="11"/>
  <c r="N408" i="11"/>
  <c r="J238" i="11"/>
  <c r="J566" i="11"/>
  <c r="J261" i="14"/>
  <c r="K704" i="11"/>
  <c r="K707" i="11" s="1"/>
  <c r="J458" i="11"/>
  <c r="J457" i="11"/>
  <c r="J492" i="11"/>
  <c r="M362" i="14"/>
  <c r="M316" i="14"/>
  <c r="M523" i="14"/>
  <c r="E27" i="40"/>
  <c r="K490" i="11"/>
  <c r="J715" i="11"/>
  <c r="J208" i="14"/>
  <c r="M224" i="14"/>
  <c r="M247" i="14"/>
  <c r="L445" i="11"/>
  <c r="L498" i="11"/>
  <c r="L503" i="11"/>
  <c r="K495" i="11"/>
  <c r="K440" i="11"/>
  <c r="L1057" i="43"/>
  <c r="M89" i="43"/>
  <c r="M60" i="43"/>
  <c r="M54" i="43"/>
  <c r="O288" i="43"/>
  <c r="O290" i="43"/>
  <c r="Q285" i="43"/>
  <c r="P328" i="43"/>
  <c r="P286" i="43"/>
  <c r="O184" i="43"/>
  <c r="O183" i="43"/>
  <c r="O181" i="43"/>
  <c r="P180" i="43"/>
  <c r="N185" i="43"/>
  <c r="N1138" i="43"/>
  <c r="N1112" i="43"/>
  <c r="N187" i="43"/>
  <c r="N177" i="43"/>
  <c r="N176" i="43" s="1"/>
  <c r="M238" i="43"/>
  <c r="M215" i="43"/>
  <c r="M232" i="43"/>
  <c r="M244" i="43"/>
  <c r="M226" i="43"/>
  <c r="M204" i="43"/>
  <c r="M1120" i="43"/>
  <c r="M1125" i="43"/>
  <c r="M1127" i="43"/>
  <c r="M1126" i="43"/>
  <c r="M1121" i="43"/>
  <c r="M1165" i="43"/>
  <c r="M1128" i="43"/>
  <c r="M1116" i="43"/>
  <c r="M1117" i="43"/>
  <c r="M1115" i="43"/>
  <c r="M1119" i="43"/>
  <c r="M1118" i="43"/>
  <c r="M1129" i="43"/>
  <c r="M1147" i="43"/>
  <c r="M1152" i="43"/>
  <c r="M1155" i="43"/>
  <c r="M1146" i="43"/>
  <c r="M1141" i="43"/>
  <c r="M1153" i="43"/>
  <c r="M1227" i="43"/>
  <c r="M1229" i="43" s="1"/>
  <c r="M1232" i="43" s="1"/>
  <c r="M1143" i="43"/>
  <c r="M1145" i="43"/>
  <c r="M1142" i="43"/>
  <c r="M1144" i="43"/>
  <c r="M1151" i="43"/>
  <c r="M71" i="43"/>
  <c r="M1054" i="43"/>
  <c r="M1211" i="43"/>
  <c r="M1213" i="43" s="1"/>
  <c r="M1053" i="43"/>
  <c r="M1052" i="43"/>
  <c r="M1050" i="43"/>
  <c r="M1048" i="43"/>
  <c r="M1049" i="43"/>
  <c r="M1051" i="43"/>
  <c r="N992" i="43"/>
  <c r="N28" i="43"/>
  <c r="N1045" i="43"/>
  <c r="K1036" i="43"/>
  <c r="K1103" i="43" s="1"/>
  <c r="E64" i="42" s="1"/>
  <c r="K1013" i="43"/>
  <c r="L1002" i="43"/>
  <c r="P25" i="43"/>
  <c r="O26" i="43"/>
  <c r="L1010" i="43"/>
  <c r="M1062" i="43"/>
  <c r="M995" i="43"/>
  <c r="M1007" i="43"/>
  <c r="M998" i="43"/>
  <c r="M996" i="43"/>
  <c r="M1060" i="43"/>
  <c r="M1005" i="43"/>
  <c r="M1058" i="43"/>
  <c r="M999" i="43"/>
  <c r="M1006" i="43"/>
  <c r="M997" i="43"/>
  <c r="M1008" i="43"/>
  <c r="M1001" i="43"/>
  <c r="M1059" i="43"/>
  <c r="M1009" i="43"/>
  <c r="M1061" i="43"/>
  <c r="M1000" i="43"/>
  <c r="F25" i="40"/>
  <c r="K260" i="11"/>
  <c r="J51" i="24"/>
  <c r="J52" i="24" s="1"/>
  <c r="J123" i="15"/>
  <c r="J1178" i="11"/>
  <c r="G8" i="42"/>
  <c r="H8" i="42" s="1"/>
  <c r="J1196" i="11"/>
  <c r="J8" i="42"/>
  <c r="J1284" i="11"/>
  <c r="J1283" i="11"/>
  <c r="J1282" i="11"/>
  <c r="J1285" i="11"/>
  <c r="J1286" i="11"/>
  <c r="J1291" i="11"/>
  <c r="J1290" i="11"/>
  <c r="J1179" i="11"/>
  <c r="J1292" i="11"/>
  <c r="J1310" i="11"/>
  <c r="J1309" i="11"/>
  <c r="J1308" i="11"/>
  <c r="J1314" i="11"/>
  <c r="J1306" i="11"/>
  <c r="J1316" i="11"/>
  <c r="J1315" i="11"/>
  <c r="J1307" i="11"/>
  <c r="J1201" i="11"/>
  <c r="J1195" i="11"/>
  <c r="J1191" i="11"/>
  <c r="J1192" i="11"/>
  <c r="J1169" i="11"/>
  <c r="J1194" i="11"/>
  <c r="J1180" i="11"/>
  <c r="J1181" i="11"/>
  <c r="J1203" i="11"/>
  <c r="J1193" i="11"/>
  <c r="J1200" i="11"/>
  <c r="K1188" i="11"/>
  <c r="J1174" i="11"/>
  <c r="J1173" i="11"/>
  <c r="J1227" i="11"/>
  <c r="J1228" i="11"/>
  <c r="J1229" i="11"/>
  <c r="K1166" i="11"/>
  <c r="J1171" i="11"/>
  <c r="J1170" i="11"/>
  <c r="J1172" i="11"/>
  <c r="M1163" i="11"/>
  <c r="E14" i="40"/>
  <c r="K460" i="11"/>
  <c r="L365" i="11"/>
  <c r="L363" i="11"/>
  <c r="M201" i="14"/>
  <c r="L2" i="41"/>
  <c r="K169" i="14"/>
  <c r="K191" i="11"/>
  <c r="L68" i="14"/>
  <c r="L44" i="48" s="1"/>
  <c r="L468" i="11"/>
  <c r="L463" i="11"/>
  <c r="M15" i="11"/>
  <c r="M176" i="11"/>
  <c r="M213" i="11" s="1"/>
  <c r="M184" i="11"/>
  <c r="M441" i="11"/>
  <c r="M170" i="11"/>
  <c r="M197" i="11" s="1"/>
  <c r="M199" i="11" s="1"/>
  <c r="J7" i="41"/>
  <c r="J9" i="41" s="1"/>
  <c r="L188" i="11"/>
  <c r="J75" i="14"/>
  <c r="J192" i="11"/>
  <c r="L430" i="11"/>
  <c r="K29" i="11"/>
  <c r="E13" i="40"/>
  <c r="K252" i="11"/>
  <c r="K251" i="11" s="1"/>
  <c r="E17" i="40"/>
  <c r="F18" i="40"/>
  <c r="J202" i="11"/>
  <c r="J205" i="11" s="1"/>
  <c r="M84" i="14"/>
  <c r="M27" i="19"/>
  <c r="BF57" i="38"/>
  <c r="BG57" i="38" s="1"/>
  <c r="L54" i="19"/>
  <c r="N12" i="19"/>
  <c r="M14" i="19"/>
  <c r="K57" i="35"/>
  <c r="L34" i="35"/>
  <c r="L69" i="35"/>
  <c r="L57" i="35" s="1"/>
  <c r="N8" i="36"/>
  <c r="N9" i="36"/>
  <c r="O6" i="36"/>
  <c r="O7" i="36" s="1"/>
  <c r="N11" i="36"/>
  <c r="N12" i="36" s="1"/>
  <c r="N8" i="35"/>
  <c r="N11" i="35"/>
  <c r="N12" i="35" s="1"/>
  <c r="N9" i="35"/>
  <c r="O6" i="35"/>
  <c r="O7" i="35" s="1"/>
  <c r="M22" i="36"/>
  <c r="M21" i="36"/>
  <c r="M22" i="35"/>
  <c r="M21" i="35"/>
  <c r="D58" i="29"/>
  <c r="C69" i="29"/>
  <c r="K69" i="29"/>
  <c r="J70" i="29"/>
  <c r="H59" i="29"/>
  <c r="G60" i="29"/>
  <c r="F61" i="29"/>
  <c r="E62" i="29"/>
  <c r="D63" i="29"/>
  <c r="C64" i="29"/>
  <c r="K64" i="29"/>
  <c r="J65" i="29"/>
  <c r="I66" i="29"/>
  <c r="H67" i="29"/>
  <c r="G68" i="29"/>
  <c r="G58" i="29"/>
  <c r="D69" i="29"/>
  <c r="C70" i="29"/>
  <c r="K70" i="29"/>
  <c r="I59" i="29"/>
  <c r="H60" i="29"/>
  <c r="G61" i="29"/>
  <c r="F62" i="29"/>
  <c r="E63" i="29"/>
  <c r="D64" i="29"/>
  <c r="C65" i="29"/>
  <c r="K65" i="29"/>
  <c r="J66" i="29"/>
  <c r="I67" i="29"/>
  <c r="H68" i="29"/>
  <c r="H58" i="29"/>
  <c r="E69" i="29"/>
  <c r="D70" i="29"/>
  <c r="J59" i="29"/>
  <c r="I60" i="29"/>
  <c r="H61" i="29"/>
  <c r="G62" i="29"/>
  <c r="F63" i="29"/>
  <c r="E64" i="29"/>
  <c r="D65" i="29"/>
  <c r="C66" i="29"/>
  <c r="K66" i="29"/>
  <c r="J67" i="29"/>
  <c r="I68" i="29"/>
  <c r="I58" i="29"/>
  <c r="E70" i="29"/>
  <c r="C59" i="29"/>
  <c r="K59" i="29"/>
  <c r="J60" i="29"/>
  <c r="I61" i="29"/>
  <c r="H62" i="29"/>
  <c r="F64" i="29"/>
  <c r="E65" i="29"/>
  <c r="D66" i="29"/>
  <c r="C67" i="29"/>
  <c r="J68" i="29"/>
  <c r="J58" i="29"/>
  <c r="E66" i="29"/>
  <c r="K68" i="29"/>
  <c r="F60" i="29"/>
  <c r="I65" i="29"/>
  <c r="F69" i="29"/>
  <c r="G63" i="29"/>
  <c r="K67" i="29"/>
  <c r="D67" i="29"/>
  <c r="K58" i="29"/>
  <c r="E61" i="29"/>
  <c r="H66" i="29"/>
  <c r="G69" i="29"/>
  <c r="F70" i="29"/>
  <c r="D59" i="29"/>
  <c r="C60" i="29"/>
  <c r="K60" i="29"/>
  <c r="J61" i="29"/>
  <c r="I62" i="29"/>
  <c r="H63" i="29"/>
  <c r="G64" i="29"/>
  <c r="F65" i="29"/>
  <c r="C68" i="29"/>
  <c r="G59" i="29"/>
  <c r="J64" i="29"/>
  <c r="F58" i="29"/>
  <c r="H69" i="29"/>
  <c r="G70" i="29"/>
  <c r="E59" i="29"/>
  <c r="D60" i="29"/>
  <c r="C61" i="29"/>
  <c r="K61" i="29"/>
  <c r="J62" i="29"/>
  <c r="I63" i="29"/>
  <c r="H64" i="29"/>
  <c r="G65" i="29"/>
  <c r="F66" i="29"/>
  <c r="E67" i="29"/>
  <c r="D68" i="29"/>
  <c r="C58" i="29"/>
  <c r="I70" i="29"/>
  <c r="D62" i="29"/>
  <c r="K63" i="29"/>
  <c r="F68" i="29"/>
  <c r="I69" i="29"/>
  <c r="H70" i="29"/>
  <c r="F59" i="29"/>
  <c r="E60" i="29"/>
  <c r="D61" i="29"/>
  <c r="C62" i="29"/>
  <c r="K62" i="29"/>
  <c r="J63" i="29"/>
  <c r="I64" i="29"/>
  <c r="H65" i="29"/>
  <c r="G66" i="29"/>
  <c r="F67" i="29"/>
  <c r="E68" i="29"/>
  <c r="E58" i="29"/>
  <c r="J69" i="29"/>
  <c r="C63" i="29"/>
  <c r="G67" i="29"/>
  <c r="I80" i="25"/>
  <c r="I74" i="25"/>
  <c r="M78" i="24"/>
  <c r="M78" i="25" s="1"/>
  <c r="L70" i="24"/>
  <c r="L70" i="25" s="1"/>
  <c r="J84" i="23"/>
  <c r="I73" i="24"/>
  <c r="I74" i="24" s="1"/>
  <c r="J90" i="23"/>
  <c r="J79" i="24" s="1"/>
  <c r="J79" i="25" s="1"/>
  <c r="I79" i="24"/>
  <c r="I80" i="24" s="1"/>
  <c r="J78" i="15"/>
  <c r="M96" i="15"/>
  <c r="I91" i="23"/>
  <c r="I85" i="23"/>
  <c r="J32" i="28"/>
  <c r="J82" i="23"/>
  <c r="L47" i="28"/>
  <c r="K36" i="28"/>
  <c r="N6" i="28"/>
  <c r="N7" i="28" s="1"/>
  <c r="N8" i="28" s="1"/>
  <c r="N52" i="28" s="1"/>
  <c r="L45" i="28"/>
  <c r="L88" i="23" s="1"/>
  <c r="L40" i="28"/>
  <c r="M11" i="28"/>
  <c r="M12" i="28" s="1"/>
  <c r="M14" i="28" s="1"/>
  <c r="M8" i="28"/>
  <c r="M52" i="28" s="1"/>
  <c r="M40" i="28"/>
  <c r="M45" i="28"/>
  <c r="M88" i="23" s="1"/>
  <c r="N104" i="15"/>
  <c r="J51" i="25"/>
  <c r="J52" i="25" s="1"/>
  <c r="J52" i="36" s="1"/>
  <c r="O1515" i="11"/>
  <c r="O1517" i="11" s="1"/>
  <c r="N357" i="41" s="1"/>
  <c r="L419" i="11"/>
  <c r="L531" i="11"/>
  <c r="L520" i="11" s="1"/>
  <c r="L414" i="11"/>
  <c r="J1524" i="11"/>
  <c r="J1525" i="11" s="1"/>
  <c r="L468" i="14"/>
  <c r="S117" i="23"/>
  <c r="S118" i="23" s="1"/>
  <c r="J491" i="14"/>
  <c r="J467" i="48" s="1"/>
  <c r="M945" i="11"/>
  <c r="M422" i="14" s="1"/>
  <c r="M398" i="48" s="1"/>
  <c r="M1091" i="11"/>
  <c r="M31" i="11" s="1"/>
  <c r="M101" i="11"/>
  <c r="M115" i="11" s="1"/>
  <c r="M1036" i="11"/>
  <c r="N12" i="6"/>
  <c r="M771" i="11"/>
  <c r="M331" i="11"/>
  <c r="M344" i="11" s="1"/>
  <c r="M357" i="11"/>
  <c r="M376" i="11" s="1"/>
  <c r="M926" i="11"/>
  <c r="M41" i="11"/>
  <c r="M43" i="11" s="1"/>
  <c r="M81" i="11" s="1"/>
  <c r="M83" i="11" s="1"/>
  <c r="M400" i="11"/>
  <c r="M582" i="11"/>
  <c r="L115" i="11"/>
  <c r="M1003" i="11"/>
  <c r="M513" i="11"/>
  <c r="M514" i="11" s="1"/>
  <c r="M1391" i="11" s="1"/>
  <c r="M333" i="11"/>
  <c r="M346" i="11" s="1"/>
  <c r="K609" i="11"/>
  <c r="M680" i="11"/>
  <c r="M691" i="11" s="1"/>
  <c r="K146" i="14"/>
  <c r="M109" i="11"/>
  <c r="M123" i="11" s="1"/>
  <c r="M767" i="11"/>
  <c r="M376" i="14" s="1"/>
  <c r="M352" i="48" s="1"/>
  <c r="M961" i="11"/>
  <c r="M322" i="11"/>
  <c r="M324" i="11" s="1"/>
  <c r="M63" i="11"/>
  <c r="M65" i="11" s="1"/>
  <c r="M100" i="11"/>
  <c r="M114" i="11" s="1"/>
  <c r="M51" i="11"/>
  <c r="M52" i="11" s="1"/>
  <c r="M510" i="11"/>
  <c r="M526" i="11" s="1"/>
  <c r="M851" i="11"/>
  <c r="M852" i="11" s="1"/>
  <c r="M854" i="11" s="1"/>
  <c r="M266" i="11"/>
  <c r="M268" i="11" s="1"/>
  <c r="M294" i="11" s="1"/>
  <c r="M295" i="11" s="1"/>
  <c r="M304" i="11"/>
  <c r="M305" i="11" s="1"/>
  <c r="L391" i="11"/>
  <c r="M360" i="11"/>
  <c r="M361" i="11" s="1"/>
  <c r="M870" i="11"/>
  <c r="M867" i="11"/>
  <c r="M399" i="14" s="1"/>
  <c r="M375" i="48" s="1"/>
  <c r="L691" i="11"/>
  <c r="L376" i="11"/>
  <c r="L146" i="14" s="1"/>
  <c r="K68" i="41" s="1"/>
  <c r="M337" i="11"/>
  <c r="M350" i="11" s="1"/>
  <c r="M731" i="11"/>
  <c r="M948" i="11"/>
  <c r="M1016" i="11"/>
  <c r="M1017" i="11" s="1"/>
  <c r="M1019" i="11" s="1"/>
  <c r="M1538" i="11"/>
  <c r="M1542" i="11" s="1"/>
  <c r="M316" i="11"/>
  <c r="M317" i="11" s="1"/>
  <c r="M108" i="11"/>
  <c r="M122" i="11" s="1"/>
  <c r="M684" i="11"/>
  <c r="M695" i="11" s="1"/>
  <c r="M310" i="11"/>
  <c r="M311" i="11" s="1"/>
  <c r="M98" i="11"/>
  <c r="M112" i="11" s="1"/>
  <c r="M848" i="11"/>
  <c r="M1006" i="11"/>
  <c r="M1033" i="11"/>
  <c r="M445" i="14" s="1"/>
  <c r="M421" i="48" s="1"/>
  <c r="M813" i="11"/>
  <c r="L602" i="11"/>
  <c r="L52" i="11"/>
  <c r="M914" i="11"/>
  <c r="M916" i="11" s="1"/>
  <c r="M335" i="11"/>
  <c r="M348" i="11" s="1"/>
  <c r="M887" i="11"/>
  <c r="L607" i="11"/>
  <c r="M676" i="11"/>
  <c r="M687" i="11" s="1"/>
  <c r="M904" i="11"/>
  <c r="M906" i="11" s="1"/>
  <c r="L348" i="11"/>
  <c r="M965" i="11"/>
  <c r="M104" i="11"/>
  <c r="M118" i="11" s="1"/>
  <c r="M634" i="11"/>
  <c r="M74" i="11"/>
  <c r="M877" i="11"/>
  <c r="M879" i="11" s="1"/>
  <c r="M1021" i="11"/>
  <c r="M1022" i="11" s="1"/>
  <c r="M1024" i="11" s="1"/>
  <c r="L118" i="11"/>
  <c r="M92" i="11"/>
  <c r="M93" i="11" s="1"/>
  <c r="N8" i="11"/>
  <c r="N9" i="11"/>
  <c r="N1460" i="11" s="1"/>
  <c r="N11" i="11"/>
  <c r="N12" i="11" s="1"/>
  <c r="N257" i="11" s="1"/>
  <c r="M744" i="11"/>
  <c r="M745" i="11" s="1"/>
  <c r="M747" i="11" s="1"/>
  <c r="M788" i="11" s="1"/>
  <c r="M790" i="11" s="1"/>
  <c r="L940" i="11"/>
  <c r="L687" i="11"/>
  <c r="M929" i="11"/>
  <c r="M930" i="11" s="1"/>
  <c r="M932" i="11" s="1"/>
  <c r="L93" i="11"/>
  <c r="M734" i="11"/>
  <c r="M735" i="11" s="1"/>
  <c r="M737" i="11" s="1"/>
  <c r="M778" i="11" s="1"/>
  <c r="M780" i="11" s="1"/>
  <c r="M934" i="11"/>
  <c r="M935" i="11" s="1"/>
  <c r="M937" i="11" s="1"/>
  <c r="M1011" i="11"/>
  <c r="M1012" i="11" s="1"/>
  <c r="M1014" i="11" s="1"/>
  <c r="L939" i="11"/>
  <c r="J290" i="11"/>
  <c r="M739" i="11"/>
  <c r="M740" i="11" s="1"/>
  <c r="M742" i="11" s="1"/>
  <c r="M783" i="11" s="1"/>
  <c r="M785" i="11" s="1"/>
  <c r="P117" i="23"/>
  <c r="P118" i="23" s="1"/>
  <c r="J672" i="11"/>
  <c r="J625" i="11"/>
  <c r="J643" i="11"/>
  <c r="J631" i="11"/>
  <c r="M46" i="11"/>
  <c r="M48" i="11" s="1"/>
  <c r="J649" i="11"/>
  <c r="O117" i="23"/>
  <c r="O118" i="23" s="1"/>
  <c r="K949" i="11"/>
  <c r="K951" i="11" s="1"/>
  <c r="K960" i="11"/>
  <c r="K962" i="11" s="1"/>
  <c r="R117" i="23"/>
  <c r="R118" i="23" s="1"/>
  <c r="K686" i="11"/>
  <c r="K327" i="14" s="1"/>
  <c r="K303" i="48" s="1"/>
  <c r="M856" i="11"/>
  <c r="M857" i="11" s="1"/>
  <c r="M859" i="11" s="1"/>
  <c r="I116" i="23"/>
  <c r="J117" i="23" s="1"/>
  <c r="J118" i="23" s="1"/>
  <c r="U117" i="23"/>
  <c r="U118" i="23" s="1"/>
  <c r="K891" i="11"/>
  <c r="K396" i="14" s="1"/>
  <c r="K372" i="48" s="1"/>
  <c r="J465" i="14"/>
  <c r="M117" i="23"/>
  <c r="M118" i="23" s="1"/>
  <c r="L117" i="23"/>
  <c r="L118" i="23" s="1"/>
  <c r="V117" i="23"/>
  <c r="V118" i="23" s="1"/>
  <c r="J279" i="11"/>
  <c r="M841" i="11"/>
  <c r="L843" i="11"/>
  <c r="M826" i="11"/>
  <c r="L828" i="11"/>
  <c r="L1009" i="11"/>
  <c r="L1027" i="11"/>
  <c r="M997" i="11"/>
  <c r="L999" i="11"/>
  <c r="J422" i="11"/>
  <c r="J425" i="11" s="1"/>
  <c r="J381" i="11"/>
  <c r="M682" i="11"/>
  <c r="L693" i="11"/>
  <c r="P25" i="19"/>
  <c r="Q23" i="19"/>
  <c r="K340" i="11"/>
  <c r="K353" i="11"/>
  <c r="K122" i="14" s="1"/>
  <c r="K98" i="48" s="1"/>
  <c r="K262" i="11"/>
  <c r="K279" i="11" s="1"/>
  <c r="J119" i="14"/>
  <c r="J95" i="48" s="1"/>
  <c r="M298" i="11"/>
  <c r="L299" i="11"/>
  <c r="K1057" i="11"/>
  <c r="K442" i="14" s="1"/>
  <c r="K418" i="48" s="1"/>
  <c r="M622" i="11"/>
  <c r="L623" i="11"/>
  <c r="J396" i="11"/>
  <c r="J433" i="11"/>
  <c r="K379" i="11"/>
  <c r="K161" i="11" s="1"/>
  <c r="K164" i="11" s="1"/>
  <c r="J323" i="14"/>
  <c r="J635" i="11"/>
  <c r="J637" i="11" s="1"/>
  <c r="M334" i="11"/>
  <c r="L347" i="11"/>
  <c r="M652" i="11"/>
  <c r="L653" i="11"/>
  <c r="M255" i="11"/>
  <c r="M681" i="11"/>
  <c r="L692" i="11"/>
  <c r="M1060" i="11"/>
  <c r="L1062" i="11"/>
  <c r="M1085" i="11"/>
  <c r="L1087" i="11"/>
  <c r="M106" i="11"/>
  <c r="L120" i="11"/>
  <c r="M955" i="11"/>
  <c r="L957" i="11"/>
  <c r="M332" i="11"/>
  <c r="L345" i="11"/>
  <c r="M678" i="11"/>
  <c r="L689" i="11"/>
  <c r="K24" i="11"/>
  <c r="M276" i="11"/>
  <c r="L277" i="11"/>
  <c r="J392" i="14"/>
  <c r="J368" i="48" s="1"/>
  <c r="J871" i="11"/>
  <c r="J873" i="11" s="1"/>
  <c r="J882" i="11"/>
  <c r="J884" i="11" s="1"/>
  <c r="M338" i="11"/>
  <c r="L351" i="11"/>
  <c r="L550" i="11" s="1"/>
  <c r="M1053" i="11"/>
  <c r="O9" i="25"/>
  <c r="O11" i="25"/>
  <c r="O12" i="25" s="1"/>
  <c r="P6" i="25"/>
  <c r="P7" i="25" s="1"/>
  <c r="O8" i="25"/>
  <c r="O36" i="25" s="1"/>
  <c r="M677" i="11"/>
  <c r="L688" i="11"/>
  <c r="J1102" i="11"/>
  <c r="K125" i="11"/>
  <c r="K27" i="14" s="1"/>
  <c r="K27" i="48" s="1"/>
  <c r="K111" i="11"/>
  <c r="K24" i="14" s="1"/>
  <c r="M21" i="11"/>
  <c r="M22" i="11" s="1"/>
  <c r="J415" i="14"/>
  <c r="J391" i="48" s="1"/>
  <c r="J949" i="11"/>
  <c r="J951" i="11" s="1"/>
  <c r="J960" i="11"/>
  <c r="J962" i="11" s="1"/>
  <c r="M328" i="11"/>
  <c r="L341" i="11"/>
  <c r="J313" i="11"/>
  <c r="J319" i="11"/>
  <c r="J307" i="11"/>
  <c r="M803" i="11"/>
  <c r="L805" i="11"/>
  <c r="M909" i="11"/>
  <c r="L911" i="11"/>
  <c r="K1048" i="11"/>
  <c r="K1050" i="11" s="1"/>
  <c r="K1037" i="11"/>
  <c r="K1039" i="11" s="1"/>
  <c r="M336" i="11"/>
  <c r="L349" i="11"/>
  <c r="M1075" i="11"/>
  <c r="L1077" i="11"/>
  <c r="M899" i="11"/>
  <c r="L901" i="11"/>
  <c r="M919" i="11"/>
  <c r="L921" i="11"/>
  <c r="M982" i="11"/>
  <c r="L984" i="11"/>
  <c r="Q6" i="6"/>
  <c r="Q7" i="6" s="1"/>
  <c r="P9" i="6"/>
  <c r="P8" i="6"/>
  <c r="P11" i="6"/>
  <c r="T117" i="23"/>
  <c r="T118" i="23" s="1"/>
  <c r="K394" i="11"/>
  <c r="M86" i="11"/>
  <c r="L87" i="11"/>
  <c r="M1043" i="11"/>
  <c r="L1045" i="11"/>
  <c r="M105" i="11"/>
  <c r="L119" i="11"/>
  <c r="M646" i="11"/>
  <c r="L647" i="11"/>
  <c r="M102" i="11"/>
  <c r="L116" i="11"/>
  <c r="M57" i="11"/>
  <c r="L58" i="11"/>
  <c r="M831" i="11"/>
  <c r="L833" i="11"/>
  <c r="M1080" i="11"/>
  <c r="L1082" i="11"/>
  <c r="K969" i="11"/>
  <c r="K419" i="14" s="1"/>
  <c r="K395" i="48" s="1"/>
  <c r="M585" i="11"/>
  <c r="L586" i="11"/>
  <c r="F29" i="40" s="1"/>
  <c r="F9" i="40" s="1"/>
  <c r="N11" i="14"/>
  <c r="N12" i="14" s="1"/>
  <c r="N14" i="14" s="1"/>
  <c r="N8" i="14"/>
  <c r="N108" i="14" s="1"/>
  <c r="O6" i="14"/>
  <c r="O7" i="14" s="1"/>
  <c r="N9" i="14"/>
  <c r="M3" i="41" s="1"/>
  <c r="L862" i="11"/>
  <c r="K818" i="11"/>
  <c r="K373" i="14" s="1"/>
  <c r="K349" i="48" s="1"/>
  <c r="M1065" i="11"/>
  <c r="L1067" i="11"/>
  <c r="M836" i="11"/>
  <c r="L838" i="11"/>
  <c r="M987" i="11"/>
  <c r="L989" i="11"/>
  <c r="Q117" i="23"/>
  <c r="Q118" i="23" s="1"/>
  <c r="M287" i="11"/>
  <c r="L288" i="11"/>
  <c r="M99" i="11"/>
  <c r="L113" i="11"/>
  <c r="K392" i="14"/>
  <c r="K368" i="48" s="1"/>
  <c r="K882" i="11"/>
  <c r="K884" i="11" s="1"/>
  <c r="K871" i="11"/>
  <c r="K873" i="11" s="1"/>
  <c r="M14" i="14"/>
  <c r="M972" i="11"/>
  <c r="L974" i="11"/>
  <c r="M1070" i="11"/>
  <c r="L1072" i="11"/>
  <c r="M103" i="11"/>
  <c r="L117" i="11"/>
  <c r="M454" i="14"/>
  <c r="M339" i="14"/>
  <c r="M155" i="14"/>
  <c r="M385" i="14"/>
  <c r="M178" i="14"/>
  <c r="M408" i="14"/>
  <c r="M431" i="14"/>
  <c r="M477" i="14"/>
  <c r="M36" i="14"/>
  <c r="M500" i="14"/>
  <c r="M270" i="14"/>
  <c r="M293" i="14"/>
  <c r="M131" i="14"/>
  <c r="L861" i="11"/>
  <c r="M612" i="11"/>
  <c r="L614" i="11"/>
  <c r="J1037" i="11"/>
  <c r="J1039" i="11" s="1"/>
  <c r="J1048" i="11"/>
  <c r="J1050" i="11" s="1"/>
  <c r="M821" i="11"/>
  <c r="L823" i="11"/>
  <c r="M808" i="11"/>
  <c r="L810" i="11"/>
  <c r="M992" i="11"/>
  <c r="L994" i="11"/>
  <c r="M628" i="11"/>
  <c r="L629" i="11"/>
  <c r="M977" i="11"/>
  <c r="L979" i="11"/>
  <c r="M282" i="11"/>
  <c r="L284" i="11"/>
  <c r="L476" i="11" s="1"/>
  <c r="L699" i="11" s="1"/>
  <c r="M617" i="11"/>
  <c r="L619" i="11"/>
  <c r="M683" i="11"/>
  <c r="L694" i="11"/>
  <c r="M107" i="11"/>
  <c r="L121" i="11"/>
  <c r="M330" i="11"/>
  <c r="L343" i="11"/>
  <c r="M669" i="11"/>
  <c r="L670" i="11"/>
  <c r="M271" i="11"/>
  <c r="L273" i="11"/>
  <c r="P6" i="11"/>
  <c r="P7" i="11" s="1"/>
  <c r="O9" i="11"/>
  <c r="O1460" i="11" s="1"/>
  <c r="O11" i="11"/>
  <c r="O12" i="11" s="1"/>
  <c r="O13" i="11" s="1"/>
  <c r="O8" i="11"/>
  <c r="M68" i="11"/>
  <c r="L69" i="11"/>
  <c r="M329" i="11"/>
  <c r="L342" i="11"/>
  <c r="M26" i="11"/>
  <c r="L27" i="11"/>
  <c r="L1108" i="11" s="1"/>
  <c r="M894" i="11"/>
  <c r="L896" i="11"/>
  <c r="M679" i="11"/>
  <c r="L690" i="11"/>
  <c r="K384" i="11"/>
  <c r="K386" i="11" s="1"/>
  <c r="M640" i="11"/>
  <c r="L641" i="11"/>
  <c r="N117" i="23"/>
  <c r="N118" i="23" s="1"/>
  <c r="M62" i="19"/>
  <c r="M75" i="19" s="1"/>
  <c r="O8" i="19"/>
  <c r="P6" i="19"/>
  <c r="P7" i="19" s="1"/>
  <c r="O9" i="19"/>
  <c r="O11" i="19"/>
  <c r="O8" i="15"/>
  <c r="O62" i="15" s="1"/>
  <c r="P6" i="15"/>
  <c r="P7" i="15" s="1"/>
  <c r="O9" i="15"/>
  <c r="O11" i="15"/>
  <c r="O12" i="15" s="1"/>
  <c r="N14" i="15"/>
  <c r="P8" i="23"/>
  <c r="P47" i="23" s="1"/>
  <c r="Q6" i="23"/>
  <c r="Q7" i="23" s="1"/>
  <c r="P9" i="23"/>
  <c r="P11" i="23"/>
  <c r="P12" i="23" s="1"/>
  <c r="O14" i="23"/>
  <c r="N14" i="24"/>
  <c r="O9" i="24"/>
  <c r="O11" i="24"/>
  <c r="O12" i="24" s="1"/>
  <c r="O8" i="24"/>
  <c r="O36" i="24" s="1"/>
  <c r="P6" i="24"/>
  <c r="P7" i="24" s="1"/>
  <c r="J85" i="14" l="1"/>
  <c r="D46" i="40"/>
  <c r="D70" i="40" s="1"/>
  <c r="J237" i="48"/>
  <c r="J51" i="48"/>
  <c r="I27" i="41"/>
  <c r="J540" i="11"/>
  <c r="J542" i="11" s="1"/>
  <c r="J281" i="14" s="1"/>
  <c r="J257" i="48" s="1"/>
  <c r="K122" i="48"/>
  <c r="H122" i="48" s="1"/>
  <c r="J68" i="41"/>
  <c r="K145" i="48"/>
  <c r="J109" i="41"/>
  <c r="M52" i="24"/>
  <c r="M52" i="25"/>
  <c r="M52" i="36" s="1"/>
  <c r="M210" i="11"/>
  <c r="M72" i="14" s="1"/>
  <c r="L17" i="41" s="1"/>
  <c r="M194" i="11"/>
  <c r="N99" i="25"/>
  <c r="N52" i="24"/>
  <c r="M480" i="11"/>
  <c r="M481" i="11" s="1"/>
  <c r="M484" i="11" s="1"/>
  <c r="M487" i="11" s="1"/>
  <c r="M488" i="11" s="1"/>
  <c r="O256" i="11"/>
  <c r="O442" i="11" s="1"/>
  <c r="O257" i="11"/>
  <c r="L95" i="43"/>
  <c r="L89" i="43"/>
  <c r="L77" i="43"/>
  <c r="N27" i="19"/>
  <c r="N59" i="19" s="1"/>
  <c r="BI57" i="38" s="1"/>
  <c r="BI68" i="38" s="1"/>
  <c r="N26" i="19"/>
  <c r="N62" i="19" s="1"/>
  <c r="N75" i="19" s="1"/>
  <c r="L6" i="39"/>
  <c r="N6" i="39"/>
  <c r="K304" i="14"/>
  <c r="K280" i="48" s="1"/>
  <c r="M54" i="19"/>
  <c r="H5" i="50"/>
  <c r="M1101" i="11"/>
  <c r="N14" i="6"/>
  <c r="L560" i="11"/>
  <c r="F102" i="45" s="1"/>
  <c r="F110" i="45" s="1"/>
  <c r="J1104" i="11"/>
  <c r="J1114" i="11"/>
  <c r="L54" i="43"/>
  <c r="N13" i="11"/>
  <c r="M572" i="11"/>
  <c r="L535" i="11"/>
  <c r="L541" i="11" s="1"/>
  <c r="T509" i="43"/>
  <c r="S510" i="43"/>
  <c r="T708" i="43"/>
  <c r="S710" i="43"/>
  <c r="L564" i="11"/>
  <c r="I19" i="41"/>
  <c r="I21" i="41" s="1"/>
  <c r="J48" i="41"/>
  <c r="J50" i="41" s="1"/>
  <c r="G8" i="50"/>
  <c r="H122" i="14"/>
  <c r="J91" i="48"/>
  <c r="H95" i="48" s="1"/>
  <c r="L122" i="48"/>
  <c r="J254" i="14"/>
  <c r="J184" i="48"/>
  <c r="D49" i="40" s="1"/>
  <c r="J348" i="14"/>
  <c r="J363" i="14" s="1"/>
  <c r="J322" i="48"/>
  <c r="D60" i="40" s="1"/>
  <c r="J280" i="48"/>
  <c r="L562" i="11"/>
  <c r="L567" i="11" s="1"/>
  <c r="L304" i="14" s="1"/>
  <c r="K191" i="48"/>
  <c r="K514" i="14"/>
  <c r="K214" i="48"/>
  <c r="K490" i="48" s="1"/>
  <c r="L89" i="41"/>
  <c r="L91" i="41" s="1"/>
  <c r="M138" i="48"/>
  <c r="G48" i="40" s="1"/>
  <c r="E51" i="40"/>
  <c r="K276" i="48"/>
  <c r="K302" i="14"/>
  <c r="J317" i="14"/>
  <c r="D59" i="40"/>
  <c r="D68" i="40" s="1"/>
  <c r="D13" i="49" s="1"/>
  <c r="J278" i="48"/>
  <c r="K24" i="48"/>
  <c r="U467" i="48"/>
  <c r="L314" i="41"/>
  <c r="M467" i="48"/>
  <c r="K314" i="41"/>
  <c r="L467" i="48"/>
  <c r="R314" i="41"/>
  <c r="S467" i="48"/>
  <c r="N314" i="41"/>
  <c r="O467" i="48"/>
  <c r="M314" i="41"/>
  <c r="N467" i="48"/>
  <c r="J314" i="41"/>
  <c r="K467" i="48"/>
  <c r="O314" i="41"/>
  <c r="P467" i="48"/>
  <c r="Q314" i="41"/>
  <c r="R467" i="48"/>
  <c r="V467" i="48"/>
  <c r="P314" i="41"/>
  <c r="Q467" i="48"/>
  <c r="T467" i="48"/>
  <c r="M444" i="48"/>
  <c r="K441" i="48"/>
  <c r="K253" i="41"/>
  <c r="K255" i="41" s="1"/>
  <c r="L253" i="48"/>
  <c r="F54" i="40" s="1"/>
  <c r="I273" i="41"/>
  <c r="J260" i="48"/>
  <c r="J273" i="41"/>
  <c r="K260" i="48"/>
  <c r="I212" i="41"/>
  <c r="I214" i="41" s="1"/>
  <c r="J299" i="48"/>
  <c r="D41" i="40" s="1"/>
  <c r="J73" i="14"/>
  <c r="J12" i="41"/>
  <c r="K45" i="48"/>
  <c r="J490" i="48"/>
  <c r="K75" i="14"/>
  <c r="J27" i="41" s="1"/>
  <c r="L238" i="14"/>
  <c r="L214" i="48" s="1"/>
  <c r="J209" i="14"/>
  <c r="J210" i="14" s="1"/>
  <c r="J225" i="14" s="1"/>
  <c r="L241" i="11"/>
  <c r="J305" i="14"/>
  <c r="J308" i="14" s="1"/>
  <c r="M188" i="11"/>
  <c r="J212" i="14"/>
  <c r="L353" i="14"/>
  <c r="L329" i="48" s="1"/>
  <c r="K330" i="14"/>
  <c r="L69" i="14"/>
  <c r="L70" i="14" s="1"/>
  <c r="F46" i="40" s="1"/>
  <c r="F70" i="40" s="1"/>
  <c r="K70" i="14"/>
  <c r="L215" i="14"/>
  <c r="K191" i="41" s="1"/>
  <c r="K566" i="11"/>
  <c r="L139" i="14"/>
  <c r="J350" i="14"/>
  <c r="J326" i="48" s="1"/>
  <c r="L415" i="14"/>
  <c r="L391" i="48" s="1"/>
  <c r="K115" i="14"/>
  <c r="K91" i="48" s="1"/>
  <c r="E40" i="40" s="1"/>
  <c r="L284" i="14"/>
  <c r="J49" i="48"/>
  <c r="J61" i="48"/>
  <c r="Q838" i="43"/>
  <c r="Q840" i="43" s="1"/>
  <c r="R837" i="43"/>
  <c r="P848" i="43"/>
  <c r="P850" i="43" s="1"/>
  <c r="Q847" i="43"/>
  <c r="K38" i="43"/>
  <c r="I34" i="43"/>
  <c r="O223" i="11"/>
  <c r="O700" i="11"/>
  <c r="O551" i="11"/>
  <c r="L569" i="11"/>
  <c r="L307" i="14" s="1"/>
  <c r="F181" i="45"/>
  <c r="L1053" i="43"/>
  <c r="L1054" i="43"/>
  <c r="L1052" i="43"/>
  <c r="L1049" i="43"/>
  <c r="L1211" i="43"/>
  <c r="L1213" i="43" s="1"/>
  <c r="L1220" i="43" s="1"/>
  <c r="L1222" i="43" s="1"/>
  <c r="L1048" i="43"/>
  <c r="L1050" i="43"/>
  <c r="L1051" i="43"/>
  <c r="L718" i="11"/>
  <c r="S927" i="43"/>
  <c r="S928" i="43" s="1"/>
  <c r="T925" i="43"/>
  <c r="U941" i="43"/>
  <c r="V937" i="43"/>
  <c r="V941" i="43" s="1"/>
  <c r="M244" i="11"/>
  <c r="M99" i="14" s="1"/>
  <c r="M721" i="11"/>
  <c r="M577" i="11"/>
  <c r="M726" i="11"/>
  <c r="M249" i="11"/>
  <c r="T934" i="43"/>
  <c r="U930" i="43"/>
  <c r="K1053" i="43"/>
  <c r="K1049" i="43"/>
  <c r="K1052" i="43"/>
  <c r="K1050" i="43"/>
  <c r="K1054" i="43"/>
  <c r="K1048" i="43"/>
  <c r="K1051" i="43"/>
  <c r="K1211" i="43"/>
  <c r="N223" i="11"/>
  <c r="N700" i="11"/>
  <c r="N551" i="11"/>
  <c r="K932" i="43"/>
  <c r="K77" i="43"/>
  <c r="K54" i="43"/>
  <c r="K60" i="43"/>
  <c r="K95" i="43"/>
  <c r="K71" i="43"/>
  <c r="K89" i="43"/>
  <c r="K1078" i="43"/>
  <c r="K1077" i="43"/>
  <c r="K1076" i="43"/>
  <c r="K1080" i="43"/>
  <c r="K1088" i="43"/>
  <c r="K1098" i="43"/>
  <c r="K1086" i="43"/>
  <c r="K1216" i="43"/>
  <c r="K1218" i="43" s="1"/>
  <c r="K1075" i="43"/>
  <c r="K1074" i="43"/>
  <c r="K1087" i="43"/>
  <c r="K1079" i="43"/>
  <c r="K1084" i="43"/>
  <c r="K1085" i="43"/>
  <c r="E111" i="45"/>
  <c r="E10" i="45"/>
  <c r="K1327" i="11"/>
  <c r="K1331" i="11" s="1"/>
  <c r="M1394" i="11"/>
  <c r="F109" i="45"/>
  <c r="L1400" i="11"/>
  <c r="L1402" i="11" s="1"/>
  <c r="L1122" i="43"/>
  <c r="L1170" i="43" s="1"/>
  <c r="F63" i="42" s="1"/>
  <c r="L1130" i="43"/>
  <c r="J1358" i="11"/>
  <c r="J1359" i="11" s="1"/>
  <c r="K1133" i="43"/>
  <c r="K1171" i="43" s="1"/>
  <c r="E69" i="42" s="1"/>
  <c r="L1148" i="43"/>
  <c r="L1166" i="43" s="1"/>
  <c r="F76" i="42" s="1"/>
  <c r="L861" i="43"/>
  <c r="L189" i="43"/>
  <c r="L433" i="43" s="1"/>
  <c r="L435" i="43" s="1"/>
  <c r="L421" i="43" s="1"/>
  <c r="J1420" i="11"/>
  <c r="K709" i="11"/>
  <c r="E73" i="45" s="1"/>
  <c r="E81" i="45" s="1"/>
  <c r="K710" i="11"/>
  <c r="K711" i="11" s="1"/>
  <c r="K1366" i="11"/>
  <c r="K1369" i="11"/>
  <c r="K1368" i="11"/>
  <c r="K1374" i="11"/>
  <c r="E70" i="45"/>
  <c r="K1370" i="11"/>
  <c r="K1353" i="11"/>
  <c r="E64" i="45"/>
  <c r="K1357" i="11"/>
  <c r="K1352" i="11"/>
  <c r="K1351" i="11"/>
  <c r="K1349" i="11"/>
  <c r="L1346" i="11"/>
  <c r="L1363" i="11"/>
  <c r="L1435" i="11" s="1"/>
  <c r="K1170" i="43"/>
  <c r="E63" i="42" s="1"/>
  <c r="J171" i="41"/>
  <c r="J173" i="41" s="1"/>
  <c r="M770" i="43"/>
  <c r="M335" i="43"/>
  <c r="O331" i="43"/>
  <c r="K773" i="43"/>
  <c r="N932" i="43"/>
  <c r="N933" i="43" s="1"/>
  <c r="N935" i="43" s="1"/>
  <c r="L1034" i="43"/>
  <c r="N77" i="43"/>
  <c r="N89" i="43"/>
  <c r="N54" i="43"/>
  <c r="N95" i="43"/>
  <c r="L39" i="43"/>
  <c r="L979" i="43" s="1"/>
  <c r="L980" i="43" s="1"/>
  <c r="L1026" i="43"/>
  <c r="L1083" i="43"/>
  <c r="M1088" i="43"/>
  <c r="M1079" i="43"/>
  <c r="M1086" i="43"/>
  <c r="M1085" i="43"/>
  <c r="M1084" i="43"/>
  <c r="M1077" i="43"/>
  <c r="M1075" i="43"/>
  <c r="M1080" i="43"/>
  <c r="M1074" i="43"/>
  <c r="M1087" i="43"/>
  <c r="M1078" i="43"/>
  <c r="M1076" i="43"/>
  <c r="M1216" i="43"/>
  <c r="M1218" i="43" s="1"/>
  <c r="M1220" i="43" s="1"/>
  <c r="M1222" i="43" s="1"/>
  <c r="M1023" i="43"/>
  <c r="M1025" i="43"/>
  <c r="M1033" i="43"/>
  <c r="M1031" i="43"/>
  <c r="M1019" i="43"/>
  <c r="M1022" i="43"/>
  <c r="M1032" i="43"/>
  <c r="M1030" i="43"/>
  <c r="M1029" i="43"/>
  <c r="M1021" i="43"/>
  <c r="M1020" i="43"/>
  <c r="M1024" i="43"/>
  <c r="P20" i="43"/>
  <c r="O32" i="43"/>
  <c r="O21" i="43"/>
  <c r="N60" i="43"/>
  <c r="N23" i="43"/>
  <c r="N38" i="43" s="1"/>
  <c r="N1071" i="43"/>
  <c r="N1098" i="43" s="1"/>
  <c r="N1016" i="43"/>
  <c r="J1040" i="43"/>
  <c r="J1104" i="43" s="1"/>
  <c r="D70" i="42" s="1"/>
  <c r="M292" i="43"/>
  <c r="M1098" i="43"/>
  <c r="M149" i="43"/>
  <c r="L1081" i="43"/>
  <c r="L939" i="43"/>
  <c r="L940" i="43" s="1"/>
  <c r="L942" i="43" s="1"/>
  <c r="L933" i="43"/>
  <c r="L935" i="43" s="1"/>
  <c r="E41" i="45"/>
  <c r="K486" i="11"/>
  <c r="E14" i="45" s="1"/>
  <c r="E23" i="45" s="1"/>
  <c r="K487" i="11"/>
  <c r="K488" i="11" s="1"/>
  <c r="M555" i="11"/>
  <c r="J231" i="14"/>
  <c r="J493" i="11"/>
  <c r="L484" i="11"/>
  <c r="L449" i="11"/>
  <c r="L451" i="11" s="1"/>
  <c r="F13" i="45" s="1"/>
  <c r="F22" i="45" s="1"/>
  <c r="M713" i="43"/>
  <c r="M715" i="43" s="1"/>
  <c r="M702" i="43"/>
  <c r="M704" i="43" s="1"/>
  <c r="P545" i="43"/>
  <c r="O556" i="43"/>
  <c r="N692" i="43"/>
  <c r="N685" i="43"/>
  <c r="N693" i="43" s="1"/>
  <c r="M780" i="43"/>
  <c r="M782" i="43" s="1"/>
  <c r="M791" i="43"/>
  <c r="M793" i="43" s="1"/>
  <c r="M879" i="43"/>
  <c r="M881" i="43" s="1"/>
  <c r="M868" i="43"/>
  <c r="M870" i="43" s="1"/>
  <c r="J624" i="43"/>
  <c r="J626" i="43" s="1"/>
  <c r="O550" i="43"/>
  <c r="P539" i="43"/>
  <c r="P258" i="43"/>
  <c r="O271" i="43"/>
  <c r="P109" i="43"/>
  <c r="O123" i="43"/>
  <c r="M571" i="43"/>
  <c r="M573" i="43" s="1"/>
  <c r="M614" i="43" s="1"/>
  <c r="M616" i="43" s="1"/>
  <c r="N570" i="43"/>
  <c r="O853" i="43"/>
  <c r="O855" i="43" s="1"/>
  <c r="P852" i="43"/>
  <c r="O87" i="43"/>
  <c r="P86" i="43"/>
  <c r="P260" i="43"/>
  <c r="O273" i="43"/>
  <c r="L456" i="43"/>
  <c r="O230" i="43"/>
  <c r="P229" i="43"/>
  <c r="P104" i="43"/>
  <c r="O118" i="43"/>
  <c r="J973" i="43"/>
  <c r="J975" i="43" s="1"/>
  <c r="J971" i="43" s="1"/>
  <c r="J950" i="43"/>
  <c r="J983" i="43" s="1"/>
  <c r="J985" i="43" s="1"/>
  <c r="O120" i="43"/>
  <c r="P106" i="43"/>
  <c r="O683" i="43"/>
  <c r="P682" i="43"/>
  <c r="L702" i="43"/>
  <c r="L704" i="43" s="1"/>
  <c r="L713" i="43"/>
  <c r="L715" i="43" s="1"/>
  <c r="P235" i="43"/>
  <c r="O236" i="43"/>
  <c r="N265" i="43"/>
  <c r="N439" i="43" s="1"/>
  <c r="N441" i="43" s="1"/>
  <c r="N278" i="43"/>
  <c r="O558" i="43"/>
  <c r="P547" i="43"/>
  <c r="P263" i="43"/>
  <c r="O276" i="43"/>
  <c r="P448" i="43"/>
  <c r="O449" i="43"/>
  <c r="P255" i="43"/>
  <c r="O268" i="43"/>
  <c r="P253" i="43"/>
  <c r="O266" i="43"/>
  <c r="P540" i="43"/>
  <c r="O551" i="43"/>
  <c r="N391" i="43"/>
  <c r="N394" i="43" s="1"/>
  <c r="N161" i="43"/>
  <c r="N164" i="43" s="1"/>
  <c r="N347" i="43"/>
  <c r="N350" i="43" s="1"/>
  <c r="P63" i="43"/>
  <c r="O65" i="43"/>
  <c r="L576" i="43"/>
  <c r="L578" i="43" s="1"/>
  <c r="M575" i="43"/>
  <c r="O112" i="43"/>
  <c r="P98" i="43"/>
  <c r="O202" i="43"/>
  <c r="O304" i="43" s="1"/>
  <c r="P201" i="43"/>
  <c r="K750" i="11"/>
  <c r="K752" i="11" s="1"/>
  <c r="K793" i="11" s="1"/>
  <c r="K795" i="11" s="1"/>
  <c r="L749" i="11"/>
  <c r="O114" i="43"/>
  <c r="P100" i="43"/>
  <c r="O117" i="43"/>
  <c r="P103" i="43"/>
  <c r="O553" i="43"/>
  <c r="P542" i="43"/>
  <c r="P57" i="43"/>
  <c r="O58" i="43"/>
  <c r="N566" i="43"/>
  <c r="N568" i="43" s="1"/>
  <c r="N609" i="43" s="1"/>
  <c r="N611" i="43" s="1"/>
  <c r="O565" i="43"/>
  <c r="K581" i="43"/>
  <c r="K583" i="43" s="1"/>
  <c r="K624" i="43" s="1"/>
  <c r="K626" i="43" s="1"/>
  <c r="L580" i="43"/>
  <c r="O267" i="43"/>
  <c r="P254" i="43"/>
  <c r="O761" i="43"/>
  <c r="P760" i="43"/>
  <c r="L780" i="43"/>
  <c r="L782" i="43" s="1"/>
  <c r="L791" i="43"/>
  <c r="L793" i="43" s="1"/>
  <c r="J1100" i="43"/>
  <c r="N763" i="43"/>
  <c r="P543" i="43"/>
  <c r="O554" i="43"/>
  <c r="P257" i="43"/>
  <c r="O270" i="43"/>
  <c r="N845" i="43"/>
  <c r="N859" i="43" s="1"/>
  <c r="N858" i="43"/>
  <c r="P46" i="43"/>
  <c r="O48" i="43"/>
  <c r="M494" i="43"/>
  <c r="M518" i="43"/>
  <c r="M488" i="43"/>
  <c r="M506" i="43"/>
  <c r="M535" i="43"/>
  <c r="M512" i="43"/>
  <c r="P261" i="43"/>
  <c r="O274" i="43"/>
  <c r="O269" i="43"/>
  <c r="P256" i="43"/>
  <c r="P544" i="43"/>
  <c r="O555" i="43"/>
  <c r="P212" i="43"/>
  <c r="O213" i="43"/>
  <c r="O319" i="43" s="1"/>
  <c r="P102" i="43"/>
  <c r="O116" i="43"/>
  <c r="J1310" i="43"/>
  <c r="P107" i="43"/>
  <c r="O121" i="43"/>
  <c r="O275" i="43"/>
  <c r="P262" i="43"/>
  <c r="O242" i="43"/>
  <c r="P241" i="43"/>
  <c r="O272" i="43"/>
  <c r="P259" i="43"/>
  <c r="N111" i="43"/>
  <c r="N125" i="43"/>
  <c r="P101" i="43"/>
  <c r="O115" i="43"/>
  <c r="P546" i="43"/>
  <c r="O557" i="43"/>
  <c r="P105" i="43"/>
  <c r="O119" i="43"/>
  <c r="J586" i="43"/>
  <c r="K585" i="43"/>
  <c r="N454" i="43"/>
  <c r="N452" i="43"/>
  <c r="O122" i="43"/>
  <c r="P108" i="43"/>
  <c r="J755" i="11"/>
  <c r="K754" i="11"/>
  <c r="N549" i="43"/>
  <c r="O52" i="43"/>
  <c r="P51" i="43"/>
  <c r="N766" i="43"/>
  <c r="N768" i="43" s="1"/>
  <c r="O765" i="43"/>
  <c r="O843" i="43"/>
  <c r="P842" i="43"/>
  <c r="P541" i="43"/>
  <c r="O552" i="43"/>
  <c r="O93" i="43"/>
  <c r="P92" i="43"/>
  <c r="O75" i="43"/>
  <c r="P74" i="43"/>
  <c r="J1099" i="43"/>
  <c r="D77" i="42" s="1"/>
  <c r="P223" i="43"/>
  <c r="O224" i="43"/>
  <c r="O309" i="43" s="1"/>
  <c r="O311" i="43" s="1"/>
  <c r="O688" i="43"/>
  <c r="O690" i="43" s="1"/>
  <c r="P687" i="43"/>
  <c r="N402" i="43"/>
  <c r="N405" i="43" s="1"/>
  <c r="N172" i="43"/>
  <c r="N175" i="43" s="1"/>
  <c r="N358" i="43"/>
  <c r="N361" i="43" s="1"/>
  <c r="E16" i="40"/>
  <c r="E22" i="40" s="1"/>
  <c r="E6" i="40" s="1"/>
  <c r="E21" i="40"/>
  <c r="D4" i="46" s="1"/>
  <c r="K1182" i="43"/>
  <c r="K1184" i="43" s="1"/>
  <c r="K1187" i="43" s="1"/>
  <c r="K1188" i="43" s="1"/>
  <c r="K1425" i="11"/>
  <c r="L440" i="11"/>
  <c r="L1302" i="11"/>
  <c r="L1278" i="11"/>
  <c r="F4" i="45" s="1"/>
  <c r="F2" i="45" s="1"/>
  <c r="L591" i="11"/>
  <c r="L649" i="11" s="1"/>
  <c r="L1178" i="43"/>
  <c r="L1180" i="43" s="1"/>
  <c r="L1186" i="43" s="1"/>
  <c r="L589" i="11"/>
  <c r="M939" i="43"/>
  <c r="M940" i="43" s="1"/>
  <c r="M942" i="43" s="1"/>
  <c r="M950" i="43" s="1"/>
  <c r="M983" i="43" s="1"/>
  <c r="M985" i="43" s="1"/>
  <c r="I26" i="40"/>
  <c r="O408" i="11"/>
  <c r="O406" i="11"/>
  <c r="P183" i="43"/>
  <c r="Q183" i="43" s="1"/>
  <c r="R183" i="43" s="1"/>
  <c r="S183" i="43" s="1"/>
  <c r="T183" i="43" s="1"/>
  <c r="P329" i="43"/>
  <c r="P331" i="43" s="1"/>
  <c r="P403" i="11"/>
  <c r="P404" i="11" s="1"/>
  <c r="N162" i="14"/>
  <c r="N138" i="48" s="1"/>
  <c r="H48" i="40" s="1"/>
  <c r="L704" i="11"/>
  <c r="L707" i="11" s="1"/>
  <c r="K492" i="11"/>
  <c r="K238" i="11"/>
  <c r="K713" i="11"/>
  <c r="L490" i="11"/>
  <c r="K261" i="14"/>
  <c r="N362" i="14"/>
  <c r="N316" i="14"/>
  <c r="N523" i="14"/>
  <c r="K457" i="11"/>
  <c r="K715" i="11"/>
  <c r="K208" i="14"/>
  <c r="K458" i="11"/>
  <c r="F27" i="40"/>
  <c r="N224" i="14"/>
  <c r="N247" i="14"/>
  <c r="N477" i="11"/>
  <c r="M445" i="11"/>
  <c r="M498" i="11"/>
  <c r="M503" i="11"/>
  <c r="L495" i="11"/>
  <c r="O1275" i="11"/>
  <c r="O477" i="11"/>
  <c r="M39" i="43"/>
  <c r="M979" i="43" s="1"/>
  <c r="M980" i="43" s="1"/>
  <c r="N292" i="43"/>
  <c r="M189" i="43"/>
  <c r="M433" i="43" s="1"/>
  <c r="M435" i="43" s="1"/>
  <c r="M421" i="43" s="1"/>
  <c r="P290" i="43"/>
  <c r="P288" i="43"/>
  <c r="R285" i="43"/>
  <c r="Q328" i="43"/>
  <c r="Q286" i="43"/>
  <c r="M1057" i="43"/>
  <c r="O1112" i="43"/>
  <c r="O185" i="43"/>
  <c r="O1138" i="43"/>
  <c r="O187" i="43"/>
  <c r="O177" i="43"/>
  <c r="O176" i="43" s="1"/>
  <c r="M1130" i="43"/>
  <c r="N226" i="43"/>
  <c r="N232" i="43"/>
  <c r="N204" i="43"/>
  <c r="N238" i="43"/>
  <c r="N215" i="43"/>
  <c r="N244" i="43"/>
  <c r="N1129" i="43"/>
  <c r="N1120" i="43"/>
  <c r="N1115" i="43"/>
  <c r="N1128" i="43"/>
  <c r="N1125" i="43"/>
  <c r="N1118" i="43"/>
  <c r="N1165" i="43"/>
  <c r="N1119" i="43"/>
  <c r="N1126" i="43"/>
  <c r="N1116" i="43"/>
  <c r="N1127" i="43"/>
  <c r="N1121" i="43"/>
  <c r="N1117" i="43"/>
  <c r="M1122" i="43"/>
  <c r="N1141" i="43"/>
  <c r="N1145" i="43"/>
  <c r="N1153" i="43"/>
  <c r="N1227" i="43"/>
  <c r="N1229" i="43" s="1"/>
  <c r="N1232" i="43" s="1"/>
  <c r="N1142" i="43"/>
  <c r="N1147" i="43"/>
  <c r="N1144" i="43"/>
  <c r="N1155" i="43"/>
  <c r="N1151" i="43"/>
  <c r="N1146" i="43"/>
  <c r="N1152" i="43"/>
  <c r="N1143" i="43"/>
  <c r="M1148" i="43"/>
  <c r="P184" i="43"/>
  <c r="Q180" i="43"/>
  <c r="P181" i="43"/>
  <c r="M1002" i="43"/>
  <c r="N1054" i="43"/>
  <c r="N1053" i="43"/>
  <c r="N1211" i="43"/>
  <c r="N1213" i="43" s="1"/>
  <c r="N1048" i="43"/>
  <c r="N1049" i="43"/>
  <c r="N1050" i="43"/>
  <c r="N1052" i="43"/>
  <c r="N1051" i="43"/>
  <c r="N1062" i="43"/>
  <c r="N1007" i="43"/>
  <c r="N997" i="43"/>
  <c r="N1005" i="43"/>
  <c r="N1058" i="43"/>
  <c r="N1006" i="43"/>
  <c r="N995" i="43"/>
  <c r="N1000" i="43"/>
  <c r="N998" i="43"/>
  <c r="N996" i="43"/>
  <c r="N1059" i="43"/>
  <c r="N1001" i="43"/>
  <c r="N1061" i="43"/>
  <c r="N1009" i="43"/>
  <c r="N1060" i="43"/>
  <c r="N999" i="43"/>
  <c r="N1008" i="43"/>
  <c r="M1055" i="43"/>
  <c r="M1010" i="43"/>
  <c r="L1013" i="43"/>
  <c r="O992" i="43"/>
  <c r="O28" i="43"/>
  <c r="O1045" i="43"/>
  <c r="P26" i="43"/>
  <c r="Q25" i="43"/>
  <c r="K1004" i="43"/>
  <c r="K1011" i="43" s="1"/>
  <c r="K1040" i="43"/>
  <c r="K1104" i="43" s="1"/>
  <c r="E70" i="42" s="1"/>
  <c r="G25" i="40"/>
  <c r="L1280" i="11"/>
  <c r="L260" i="11"/>
  <c r="M16" i="42"/>
  <c r="K8" i="42"/>
  <c r="M15" i="42"/>
  <c r="M14" i="42"/>
  <c r="M9" i="42"/>
  <c r="M17" i="42"/>
  <c r="M10" i="42"/>
  <c r="N1275" i="11"/>
  <c r="K1282" i="11"/>
  <c r="K1285" i="11"/>
  <c r="K1283" i="11"/>
  <c r="K1292" i="11"/>
  <c r="K1290" i="11"/>
  <c r="K1286" i="11"/>
  <c r="K1291" i="11"/>
  <c r="K1284" i="11"/>
  <c r="J1182" i="11"/>
  <c r="K1310" i="11"/>
  <c r="K1309" i="11"/>
  <c r="K1306" i="11"/>
  <c r="K1316" i="11"/>
  <c r="K1314" i="11"/>
  <c r="K1315" i="11"/>
  <c r="K1308" i="11"/>
  <c r="K1307" i="11"/>
  <c r="J1204" i="11"/>
  <c r="J1197" i="11"/>
  <c r="J1208" i="11" s="1"/>
  <c r="J1199" i="11" s="1"/>
  <c r="K1191" i="11"/>
  <c r="K1169" i="11"/>
  <c r="K1202" i="11"/>
  <c r="K1203" i="11"/>
  <c r="K1194" i="11"/>
  <c r="K1181" i="11"/>
  <c r="K1201" i="11"/>
  <c r="K1192" i="11"/>
  <c r="K1180" i="11"/>
  <c r="K1200" i="11"/>
  <c r="K1195" i="11"/>
  <c r="K1193" i="11"/>
  <c r="K1178" i="11"/>
  <c r="K1179" i="11"/>
  <c r="K1196" i="11"/>
  <c r="L1188" i="11"/>
  <c r="K1171" i="11"/>
  <c r="J1175" i="11"/>
  <c r="K1174" i="11"/>
  <c r="K1228" i="11"/>
  <c r="K1229" i="11"/>
  <c r="K1227" i="11"/>
  <c r="K1173" i="11"/>
  <c r="K1172" i="11"/>
  <c r="K1170" i="11"/>
  <c r="L1166" i="11"/>
  <c r="F14" i="40"/>
  <c r="O1163" i="11"/>
  <c r="N1163" i="11"/>
  <c r="M34" i="11"/>
  <c r="K192" i="11"/>
  <c r="I491" i="14"/>
  <c r="I314" i="41"/>
  <c r="L460" i="11"/>
  <c r="N201" i="14"/>
  <c r="M2" i="41"/>
  <c r="M68" i="14"/>
  <c r="M44" i="48" s="1"/>
  <c r="O184" i="11"/>
  <c r="O441" i="11"/>
  <c r="O170" i="11"/>
  <c r="O176" i="11"/>
  <c r="O213" i="11" s="1"/>
  <c r="L455" i="11"/>
  <c r="N41" i="11"/>
  <c r="N43" i="11" s="1"/>
  <c r="N81" i="11" s="1"/>
  <c r="N83" i="11" s="1"/>
  <c r="N184" i="11"/>
  <c r="N170" i="11"/>
  <c r="N176" i="11"/>
  <c r="N213" i="11" s="1"/>
  <c r="N441" i="11"/>
  <c r="K7" i="41"/>
  <c r="K9" i="41" s="1"/>
  <c r="M463" i="11"/>
  <c r="M468" i="11"/>
  <c r="L191" i="11"/>
  <c r="M414" i="11"/>
  <c r="J190" i="11"/>
  <c r="L29" i="11"/>
  <c r="F13" i="40"/>
  <c r="M518" i="11"/>
  <c r="G30" i="40"/>
  <c r="G7" i="40" s="1"/>
  <c r="L252" i="11"/>
  <c r="L251" i="11" s="1"/>
  <c r="F17" i="40"/>
  <c r="G18" i="40"/>
  <c r="M363" i="11"/>
  <c r="K202" i="11"/>
  <c r="K205" i="11" s="1"/>
  <c r="J436" i="11"/>
  <c r="J410" i="11" s="1"/>
  <c r="M59" i="19"/>
  <c r="N84" i="14"/>
  <c r="H119" i="14"/>
  <c r="H146" i="14"/>
  <c r="BQ57" i="38"/>
  <c r="N14" i="19"/>
  <c r="O12" i="19"/>
  <c r="BG63" i="38"/>
  <c r="BH57" i="38"/>
  <c r="BG60" i="38"/>
  <c r="BG59" i="38"/>
  <c r="BG58" i="38"/>
  <c r="BG68" i="38"/>
  <c r="BG66" i="38"/>
  <c r="BG70" i="38"/>
  <c r="BG69" i="38"/>
  <c r="BG64" i="38"/>
  <c r="BG65" i="38"/>
  <c r="BR57" i="38"/>
  <c r="BG67" i="38"/>
  <c r="BG62" i="38"/>
  <c r="BG61" i="38"/>
  <c r="O9" i="36"/>
  <c r="P6" i="36"/>
  <c r="P7" i="36" s="1"/>
  <c r="O11" i="36"/>
  <c r="O12" i="36" s="1"/>
  <c r="O14" i="36" s="1"/>
  <c r="O8" i="36"/>
  <c r="M69" i="35"/>
  <c r="M57" i="35" s="1"/>
  <c r="M34" i="35"/>
  <c r="O8" i="35"/>
  <c r="O9" i="35"/>
  <c r="O11" i="35"/>
  <c r="O12" i="35" s="1"/>
  <c r="P6" i="35"/>
  <c r="P7" i="35" s="1"/>
  <c r="L61" i="35"/>
  <c r="L58" i="35"/>
  <c r="N22" i="36"/>
  <c r="N21" i="36"/>
  <c r="N14" i="36"/>
  <c r="N14" i="35"/>
  <c r="N22" i="35"/>
  <c r="N21" i="35"/>
  <c r="K61" i="35"/>
  <c r="K58" i="35"/>
  <c r="J73" i="24"/>
  <c r="J73" i="25" s="1"/>
  <c r="N78" i="24"/>
  <c r="N78" i="25" s="1"/>
  <c r="K84" i="23"/>
  <c r="K90" i="23"/>
  <c r="M70" i="24"/>
  <c r="M70" i="25" s="1"/>
  <c r="N96" i="15"/>
  <c r="K32" i="28"/>
  <c r="K82" i="23"/>
  <c r="M47" i="28"/>
  <c r="L36" i="28"/>
  <c r="N11" i="28"/>
  <c r="N12" i="28" s="1"/>
  <c r="N14" i="28" s="1"/>
  <c r="O6" i="28"/>
  <c r="O7" i="28" s="1"/>
  <c r="O8" i="28" s="1"/>
  <c r="O52" i="28" s="1"/>
  <c r="N9" i="28"/>
  <c r="N35" i="28" s="1"/>
  <c r="J99" i="25"/>
  <c r="O104" i="15"/>
  <c r="P1515" i="11"/>
  <c r="P1517" i="11" s="1"/>
  <c r="O357" i="41" s="1"/>
  <c r="J99" i="24"/>
  <c r="L169" i="14"/>
  <c r="K109" i="41" s="1"/>
  <c r="M430" i="11"/>
  <c r="M419" i="11"/>
  <c r="M516" i="11"/>
  <c r="M1007" i="11"/>
  <c r="M1009" i="11" s="1"/>
  <c r="M1028" i="11" s="1"/>
  <c r="M607" i="11"/>
  <c r="M391" i="11"/>
  <c r="M602" i="11"/>
  <c r="M371" i="11"/>
  <c r="M468" i="14"/>
  <c r="L609" i="11"/>
  <c r="N108" i="11"/>
  <c r="N122" i="11" s="1"/>
  <c r="M365" i="11"/>
  <c r="N813" i="11"/>
  <c r="O813" i="11" s="1"/>
  <c r="M531" i="11"/>
  <c r="M520" i="11" s="1"/>
  <c r="L960" i="11"/>
  <c r="L962" i="11" s="1"/>
  <c r="L949" i="11"/>
  <c r="L951" i="11" s="1"/>
  <c r="N101" i="11"/>
  <c r="N115" i="11" s="1"/>
  <c r="N74" i="11"/>
  <c r="O74" i="11" s="1"/>
  <c r="N914" i="11"/>
  <c r="N916" i="11" s="1"/>
  <c r="N333" i="11"/>
  <c r="O333" i="11" s="1"/>
  <c r="N15" i="11"/>
  <c r="N945" i="11"/>
  <c r="N422" i="14" s="1"/>
  <c r="N398" i="48" s="1"/>
  <c r="N316" i="11"/>
  <c r="O316" i="11" s="1"/>
  <c r="M75" i="11"/>
  <c r="N680" i="11"/>
  <c r="N691" i="11" s="1"/>
  <c r="N767" i="11"/>
  <c r="N376" i="14" s="1"/>
  <c r="N352" i="48" s="1"/>
  <c r="N310" i="11"/>
  <c r="O310" i="11" s="1"/>
  <c r="N63" i="11"/>
  <c r="N65" i="11" s="1"/>
  <c r="N948" i="11"/>
  <c r="O948" i="11" s="1"/>
  <c r="N1033" i="11"/>
  <c r="N445" i="14" s="1"/>
  <c r="N421" i="48" s="1"/>
  <c r="N100" i="11"/>
  <c r="N114" i="11" s="1"/>
  <c r="N634" i="11"/>
  <c r="O634" i="11" s="1"/>
  <c r="N104" i="11"/>
  <c r="O104" i="11" s="1"/>
  <c r="N965" i="11"/>
  <c r="O965" i="11" s="1"/>
  <c r="O15" i="11"/>
  <c r="N266" i="11"/>
  <c r="N268" i="11" s="1"/>
  <c r="N294" i="11" s="1"/>
  <c r="N295" i="11" s="1"/>
  <c r="N867" i="11"/>
  <c r="N399" i="14" s="1"/>
  <c r="N375" i="48" s="1"/>
  <c r="N335" i="11"/>
  <c r="N348" i="11" s="1"/>
  <c r="N98" i="11"/>
  <c r="O98" i="11" s="1"/>
  <c r="N904" i="11"/>
  <c r="O904" i="11" s="1"/>
  <c r="N1538" i="11"/>
  <c r="N1542" i="11" s="1"/>
  <c r="N109" i="11"/>
  <c r="O109" i="11" s="1"/>
  <c r="N322" i="11"/>
  <c r="O322" i="11" s="1"/>
  <c r="N961" i="11"/>
  <c r="N676" i="11"/>
  <c r="O676" i="11" s="1"/>
  <c r="N331" i="11"/>
  <c r="O331" i="11" s="1"/>
  <c r="N887" i="11"/>
  <c r="O887" i="11" s="1"/>
  <c r="O12" i="6"/>
  <c r="O14" i="6" s="1"/>
  <c r="N92" i="11"/>
  <c r="O92" i="11" s="1"/>
  <c r="N337" i="11"/>
  <c r="N350" i="11" s="1"/>
  <c r="N304" i="11"/>
  <c r="O304" i="11" s="1"/>
  <c r="N877" i="11"/>
  <c r="O877" i="11" s="1"/>
  <c r="N51" i="11"/>
  <c r="N52" i="11" s="1"/>
  <c r="N684" i="11"/>
  <c r="O684" i="11" s="1"/>
  <c r="N357" i="11"/>
  <c r="N376" i="11" s="1"/>
  <c r="N1094" i="11"/>
  <c r="N1096" i="11" s="1"/>
  <c r="N1097" i="11" s="1"/>
  <c r="N1473" i="11"/>
  <c r="N582" i="11"/>
  <c r="N1003" i="11"/>
  <c r="N1006" i="11"/>
  <c r="O1006" i="11" s="1"/>
  <c r="N400" i="11"/>
  <c r="N771" i="11"/>
  <c r="O771" i="11" s="1"/>
  <c r="N926" i="11"/>
  <c r="N513" i="11"/>
  <c r="N514" i="11" s="1"/>
  <c r="N1391" i="11" s="1"/>
  <c r="N1091" i="11"/>
  <c r="N31" i="11" s="1"/>
  <c r="N1036" i="11"/>
  <c r="O1036" i="11" s="1"/>
  <c r="N734" i="11"/>
  <c r="N735" i="11" s="1"/>
  <c r="N737" i="11" s="1"/>
  <c r="N778" i="11" s="1"/>
  <c r="N780" i="11" s="1"/>
  <c r="N1021" i="11"/>
  <c r="N1022" i="11" s="1"/>
  <c r="N1024" i="11" s="1"/>
  <c r="N1099" i="11"/>
  <c r="N1103" i="11" s="1"/>
  <c r="N510" i="11"/>
  <c r="N531" i="11" s="1"/>
  <c r="N851" i="11"/>
  <c r="N852" i="11" s="1"/>
  <c r="N854" i="11" s="1"/>
  <c r="N1106" i="11"/>
  <c r="N360" i="11"/>
  <c r="N361" i="11" s="1"/>
  <c r="N1016" i="11"/>
  <c r="N1017" i="11" s="1"/>
  <c r="N1019" i="11" s="1"/>
  <c r="N870" i="11"/>
  <c r="O870" i="11" s="1"/>
  <c r="N731" i="11"/>
  <c r="N848" i="11"/>
  <c r="M940" i="11"/>
  <c r="N744" i="11"/>
  <c r="N745" i="11" s="1"/>
  <c r="N747" i="11" s="1"/>
  <c r="N788" i="11" s="1"/>
  <c r="N790" i="11" s="1"/>
  <c r="N929" i="11"/>
  <c r="N930" i="11" s="1"/>
  <c r="N932" i="11" s="1"/>
  <c r="N934" i="11"/>
  <c r="N935" i="11" s="1"/>
  <c r="N937" i="11" s="1"/>
  <c r="M939" i="11"/>
  <c r="K631" i="11"/>
  <c r="K672" i="11"/>
  <c r="K643" i="11"/>
  <c r="N1011" i="11"/>
  <c r="N1012" i="11" s="1"/>
  <c r="N1014" i="11" s="1"/>
  <c r="N739" i="11"/>
  <c r="N740" i="11" s="1"/>
  <c r="N742" i="11" s="1"/>
  <c r="N783" i="11" s="1"/>
  <c r="N785" i="11" s="1"/>
  <c r="N856" i="11"/>
  <c r="N857" i="11" s="1"/>
  <c r="N859" i="11" s="1"/>
  <c r="K301" i="11"/>
  <c r="N46" i="11"/>
  <c r="N48" i="11" s="1"/>
  <c r="J593" i="11"/>
  <c r="K942" i="11"/>
  <c r="M861" i="11"/>
  <c r="K864" i="11"/>
  <c r="L891" i="11"/>
  <c r="L396" i="14" s="1"/>
  <c r="L372" i="48" s="1"/>
  <c r="L686" i="11"/>
  <c r="L327" i="14" s="1"/>
  <c r="L303" i="48" s="1"/>
  <c r="K290" i="11"/>
  <c r="K649" i="11"/>
  <c r="L818" i="11"/>
  <c r="L373" i="14" s="1"/>
  <c r="L349" i="48" s="1"/>
  <c r="J264" i="11"/>
  <c r="N26" i="11"/>
  <c r="M27" i="11"/>
  <c r="M1108" i="11" s="1"/>
  <c r="N107" i="11"/>
  <c r="M121" i="11"/>
  <c r="N808" i="11"/>
  <c r="M810" i="11"/>
  <c r="N103" i="11"/>
  <c r="M117" i="11"/>
  <c r="K465" i="14"/>
  <c r="K433" i="11"/>
  <c r="K396" i="11"/>
  <c r="N1075" i="11"/>
  <c r="M1077" i="11"/>
  <c r="N955" i="11"/>
  <c r="M957" i="11"/>
  <c r="N1085" i="11"/>
  <c r="M1087" i="11"/>
  <c r="L340" i="11"/>
  <c r="L353" i="11"/>
  <c r="L122" i="14" s="1"/>
  <c r="L98" i="48" s="1"/>
  <c r="N622" i="11"/>
  <c r="M623" i="11"/>
  <c r="L1028" i="11"/>
  <c r="N894" i="11"/>
  <c r="M896" i="11"/>
  <c r="P9" i="11"/>
  <c r="P1460" i="11" s="1"/>
  <c r="P11" i="11"/>
  <c r="P12" i="11" s="1"/>
  <c r="P13" i="11" s="1"/>
  <c r="P8" i="11"/>
  <c r="Q6" i="11"/>
  <c r="Q7" i="11" s="1"/>
  <c r="N977" i="11"/>
  <c r="M979" i="11"/>
  <c r="N99" i="11"/>
  <c r="M113" i="11"/>
  <c r="N1080" i="11"/>
  <c r="M1082" i="11"/>
  <c r="N102" i="11"/>
  <c r="M116" i="11"/>
  <c r="N803" i="11"/>
  <c r="M805" i="11"/>
  <c r="N677" i="11"/>
  <c r="M688" i="11"/>
  <c r="L1057" i="11"/>
  <c r="L442" i="14" s="1"/>
  <c r="L418" i="48" s="1"/>
  <c r="N334" i="11"/>
  <c r="M347" i="11"/>
  <c r="K381" i="11"/>
  <c r="K422" i="11"/>
  <c r="K425" i="11" s="1"/>
  <c r="N682" i="11"/>
  <c r="M693" i="11"/>
  <c r="N330" i="11"/>
  <c r="M343" i="11"/>
  <c r="N683" i="11"/>
  <c r="M694" i="11"/>
  <c r="J1030" i="11"/>
  <c r="N919" i="11"/>
  <c r="M921" i="11"/>
  <c r="N336" i="11"/>
  <c r="M349" i="11"/>
  <c r="N338" i="11"/>
  <c r="M351" i="11"/>
  <c r="M550" i="11" s="1"/>
  <c r="K1102" i="11"/>
  <c r="N1060" i="11"/>
  <c r="M1062" i="11"/>
  <c r="L384" i="11"/>
  <c r="L386" i="11" s="1"/>
  <c r="J367" i="11"/>
  <c r="N826" i="11"/>
  <c r="M828" i="11"/>
  <c r="N628" i="11"/>
  <c r="M629" i="11"/>
  <c r="N1070" i="11"/>
  <c r="M1072" i="11"/>
  <c r="L394" i="11"/>
  <c r="N987" i="11"/>
  <c r="M989" i="11"/>
  <c r="N831" i="11"/>
  <c r="M833" i="11"/>
  <c r="N646" i="11"/>
  <c r="M647" i="11"/>
  <c r="Q9" i="6"/>
  <c r="Q11" i="6"/>
  <c r="R6" i="6"/>
  <c r="R7" i="6" s="1"/>
  <c r="Q8" i="6"/>
  <c r="N681" i="11"/>
  <c r="M692" i="11"/>
  <c r="M862" i="11"/>
  <c r="N298" i="11"/>
  <c r="M299" i="11"/>
  <c r="N640" i="11"/>
  <c r="M641" i="11"/>
  <c r="N329" i="11"/>
  <c r="M342" i="11"/>
  <c r="N68" i="11"/>
  <c r="M69" i="11"/>
  <c r="N271" i="11"/>
  <c r="M273" i="11"/>
  <c r="N617" i="11"/>
  <c r="M619" i="11"/>
  <c r="L969" i="11"/>
  <c r="L419" i="14" s="1"/>
  <c r="L395" i="48" s="1"/>
  <c r="N287" i="11"/>
  <c r="M288" i="11"/>
  <c r="L392" i="14"/>
  <c r="L368" i="48" s="1"/>
  <c r="L871" i="11"/>
  <c r="L873" i="11" s="1"/>
  <c r="L882" i="11"/>
  <c r="L884" i="11" s="1"/>
  <c r="L125" i="11"/>
  <c r="L27" i="14" s="1"/>
  <c r="L27" i="48" s="1"/>
  <c r="L111" i="11"/>
  <c r="L24" i="14" s="1"/>
  <c r="K1030" i="11"/>
  <c r="K323" i="14"/>
  <c r="K635" i="11"/>
  <c r="K637" i="11" s="1"/>
  <c r="N1053" i="11"/>
  <c r="N678" i="11"/>
  <c r="M689" i="11"/>
  <c r="N106" i="11"/>
  <c r="M120" i="11"/>
  <c r="L262" i="11"/>
  <c r="L279" i="11" s="1"/>
  <c r="K655" i="11"/>
  <c r="N841" i="11"/>
  <c r="M843" i="11"/>
  <c r="N992" i="11"/>
  <c r="M994" i="11"/>
  <c r="N821" i="11"/>
  <c r="M823" i="11"/>
  <c r="N972" i="11"/>
  <c r="M974" i="11"/>
  <c r="N836" i="11"/>
  <c r="M838" i="11"/>
  <c r="N105" i="11"/>
  <c r="M119" i="11"/>
  <c r="I118" i="23"/>
  <c r="J123" i="23" s="1"/>
  <c r="P11" i="25"/>
  <c r="P12" i="25" s="1"/>
  <c r="P9" i="25"/>
  <c r="P8" i="25"/>
  <c r="P36" i="25" s="1"/>
  <c r="Q6" i="25"/>
  <c r="Q7" i="25" s="1"/>
  <c r="N255" i="11"/>
  <c r="P256" i="11" s="1"/>
  <c r="P442" i="11" s="1"/>
  <c r="Q25" i="19"/>
  <c r="R23" i="19"/>
  <c r="N997" i="11"/>
  <c r="M999" i="11"/>
  <c r="N679" i="11"/>
  <c r="M690" i="11"/>
  <c r="O1473" i="11"/>
  <c r="O1091" i="11"/>
  <c r="O31" i="11" s="1"/>
  <c r="O1003" i="11"/>
  <c r="O848" i="11"/>
  <c r="O926" i="11"/>
  <c r="O510" i="11"/>
  <c r="O400" i="11"/>
  <c r="O357" i="11"/>
  <c r="O582" i="11"/>
  <c r="O731" i="11"/>
  <c r="N669" i="11"/>
  <c r="M670" i="11"/>
  <c r="N282" i="11"/>
  <c r="M284" i="11"/>
  <c r="M476" i="11" s="1"/>
  <c r="M699" i="11" s="1"/>
  <c r="O8" i="14"/>
  <c r="O108" i="14" s="1"/>
  <c r="P6" i="14"/>
  <c r="P7" i="14" s="1"/>
  <c r="O9" i="14"/>
  <c r="N3" i="41" s="1"/>
  <c r="O11" i="14"/>
  <c r="O12" i="14" s="1"/>
  <c r="N585" i="11"/>
  <c r="M586" i="11"/>
  <c r="G29" i="40" s="1"/>
  <c r="G9" i="40" s="1"/>
  <c r="N982" i="11"/>
  <c r="M984" i="11"/>
  <c r="N899" i="11"/>
  <c r="M901" i="11"/>
  <c r="N328" i="11"/>
  <c r="M341" i="11"/>
  <c r="L24" i="11"/>
  <c r="O14" i="25"/>
  <c r="J864" i="11"/>
  <c r="L379" i="11"/>
  <c r="L161" i="11" s="1"/>
  <c r="L164" i="11" s="1"/>
  <c r="N332" i="11"/>
  <c r="M345" i="11"/>
  <c r="K540" i="11"/>
  <c r="K542" i="11" s="1"/>
  <c r="K119" i="14"/>
  <c r="K95" i="48" s="1"/>
  <c r="O961" i="11"/>
  <c r="O41" i="11"/>
  <c r="O43" i="11" s="1"/>
  <c r="O81" i="11" s="1"/>
  <c r="O83" i="11" s="1"/>
  <c r="P12" i="6"/>
  <c r="O867" i="11"/>
  <c r="O1538" i="11"/>
  <c r="O1542" i="11" s="1"/>
  <c r="O266" i="11"/>
  <c r="O268" i="11" s="1"/>
  <c r="O294" i="11" s="1"/>
  <c r="O295" i="11" s="1"/>
  <c r="O945" i="11"/>
  <c r="O422" i="14" s="1"/>
  <c r="O398" i="48" s="1"/>
  <c r="O1033" i="11"/>
  <c r="O445" i="14" s="1"/>
  <c r="O421" i="48" s="1"/>
  <c r="O767" i="11"/>
  <c r="O376" i="14" s="1"/>
  <c r="O352" i="48" s="1"/>
  <c r="N612" i="11"/>
  <c r="M614" i="11"/>
  <c r="N1065" i="11"/>
  <c r="M1067" i="11"/>
  <c r="N385" i="14"/>
  <c r="N178" i="14"/>
  <c r="N408" i="14"/>
  <c r="N431" i="14"/>
  <c r="N477" i="14"/>
  <c r="N36" i="14"/>
  <c r="N500" i="14"/>
  <c r="N270" i="14"/>
  <c r="N293" i="14"/>
  <c r="N131" i="14"/>
  <c r="N454" i="14"/>
  <c r="N339" i="14"/>
  <c r="N155" i="14"/>
  <c r="N57" i="11"/>
  <c r="M58" i="11"/>
  <c r="N1043" i="11"/>
  <c r="M1045" i="11"/>
  <c r="N86" i="11"/>
  <c r="M87" i="11"/>
  <c r="N909" i="11"/>
  <c r="M911" i="11"/>
  <c r="J942" i="11"/>
  <c r="N21" i="11"/>
  <c r="N22" i="11" s="1"/>
  <c r="N276" i="11"/>
  <c r="M277" i="11"/>
  <c r="N652" i="11"/>
  <c r="M653" i="11"/>
  <c r="K313" i="11"/>
  <c r="K307" i="11"/>
  <c r="K319" i="11"/>
  <c r="O14" i="15"/>
  <c r="Q6" i="19"/>
  <c r="Q7" i="19" s="1"/>
  <c r="P9" i="19"/>
  <c r="P11" i="19"/>
  <c r="P8" i="19"/>
  <c r="P8" i="15"/>
  <c r="P62" i="15" s="1"/>
  <c r="Q6" i="15"/>
  <c r="Q7" i="15" s="1"/>
  <c r="P9" i="15"/>
  <c r="P11" i="15"/>
  <c r="P12" i="15" s="1"/>
  <c r="Q8" i="23"/>
  <c r="Q47" i="23" s="1"/>
  <c r="R6" i="23"/>
  <c r="R7" i="23" s="1"/>
  <c r="Q9" i="23"/>
  <c r="Q11" i="23"/>
  <c r="Q12" i="23" s="1"/>
  <c r="P14" i="23"/>
  <c r="P11" i="24"/>
  <c r="P12" i="24" s="1"/>
  <c r="P8" i="24"/>
  <c r="P36" i="24" s="1"/>
  <c r="Q6" i="24"/>
  <c r="Q7" i="24" s="1"/>
  <c r="P9" i="24"/>
  <c r="O14" i="24"/>
  <c r="K73" i="14" l="1"/>
  <c r="E46" i="40"/>
  <c r="E70" i="40" s="1"/>
  <c r="D84" i="40"/>
  <c r="D85" i="40"/>
  <c r="K237" i="48"/>
  <c r="N210" i="11"/>
  <c r="N72" i="14" s="1"/>
  <c r="M17" i="41" s="1"/>
  <c r="N194" i="11"/>
  <c r="O197" i="11"/>
  <c r="O199" i="11" s="1"/>
  <c r="P197" i="11"/>
  <c r="P199" i="11" s="1"/>
  <c r="O210" i="11"/>
  <c r="O72" i="14" s="1"/>
  <c r="N17" i="41" s="1"/>
  <c r="O194" i="11"/>
  <c r="N197" i="11"/>
  <c r="N199" i="11" s="1"/>
  <c r="N54" i="19"/>
  <c r="M6" i="39"/>
  <c r="O27" i="19"/>
  <c r="O59" i="19" s="1"/>
  <c r="O26" i="19"/>
  <c r="O62" i="19" s="1"/>
  <c r="O75" i="19" s="1"/>
  <c r="P257" i="11"/>
  <c r="J281" i="48"/>
  <c r="D98" i="40" s="1"/>
  <c r="F103" i="45"/>
  <c r="D27" i="47" s="1"/>
  <c r="D28" i="47" s="1"/>
  <c r="N1110" i="11"/>
  <c r="N1113" i="11"/>
  <c r="N1115" i="11" s="1"/>
  <c r="N1116" i="11" s="1"/>
  <c r="N1147" i="11" s="1"/>
  <c r="J1116" i="11"/>
  <c r="J1147" i="11" s="1"/>
  <c r="D35" i="40"/>
  <c r="M490" i="11"/>
  <c r="M486" i="11"/>
  <c r="G14" i="45" s="1"/>
  <c r="G23" i="45" s="1"/>
  <c r="K1104" i="11"/>
  <c r="K1114" i="11"/>
  <c r="K1109" i="11" s="1"/>
  <c r="K1111" i="11" s="1"/>
  <c r="J1109" i="11"/>
  <c r="J1111" i="11" s="1"/>
  <c r="I5" i="50"/>
  <c r="N1101" i="11"/>
  <c r="N5" i="11"/>
  <c r="O5" i="11"/>
  <c r="P5" i="11"/>
  <c r="N572" i="11"/>
  <c r="J324" i="48"/>
  <c r="J339" i="48" s="1"/>
  <c r="M241" i="11"/>
  <c r="O572" i="11"/>
  <c r="D71" i="40"/>
  <c r="D16" i="49" s="1"/>
  <c r="K85" i="14"/>
  <c r="U509" i="43"/>
  <c r="T510" i="43"/>
  <c r="L1209" i="43"/>
  <c r="J230" i="48"/>
  <c r="U708" i="43"/>
  <c r="T710" i="43"/>
  <c r="F41" i="45"/>
  <c r="F39" i="45" s="1"/>
  <c r="J86" i="14"/>
  <c r="M222" i="11"/>
  <c r="M227" i="11" s="1"/>
  <c r="M236" i="11" s="1"/>
  <c r="H8" i="50"/>
  <c r="J76" i="14"/>
  <c r="I25" i="41" s="1"/>
  <c r="I26" i="41" s="1"/>
  <c r="J351" i="14"/>
  <c r="J354" i="14" s="1"/>
  <c r="L261" i="14"/>
  <c r="L145" i="48"/>
  <c r="K254" i="14"/>
  <c r="K184" i="48"/>
  <c r="J233" i="14"/>
  <c r="J248" i="14" s="1"/>
  <c r="J207" i="48"/>
  <c r="J1418" i="11"/>
  <c r="D92" i="40"/>
  <c r="L514" i="14"/>
  <c r="L75" i="48"/>
  <c r="K48" i="41"/>
  <c r="K50" i="41" s="1"/>
  <c r="L115" i="48"/>
  <c r="F47" i="40" s="1"/>
  <c r="L191" i="48"/>
  <c r="J258" i="14"/>
  <c r="J188" i="48"/>
  <c r="J234" i="48" s="1"/>
  <c r="I176" i="41"/>
  <c r="J185" i="48"/>
  <c r="J186" i="48" s="1"/>
  <c r="J293" i="48"/>
  <c r="K317" i="14"/>
  <c r="K305" i="14"/>
  <c r="K308" i="14" s="1"/>
  <c r="E59" i="40"/>
  <c r="E68" i="40" s="1"/>
  <c r="E13" i="49" s="1"/>
  <c r="K278" i="48"/>
  <c r="L276" i="48"/>
  <c r="L302" i="14"/>
  <c r="H301" i="14"/>
  <c r="L280" i="48"/>
  <c r="D40" i="40"/>
  <c r="H98" i="48"/>
  <c r="I467" i="48"/>
  <c r="N444" i="48"/>
  <c r="L24" i="48"/>
  <c r="L441" i="48"/>
  <c r="K273" i="41"/>
  <c r="L260" i="48"/>
  <c r="J212" i="41"/>
  <c r="J214" i="41" s="1"/>
  <c r="K299" i="48"/>
  <c r="E41" i="40" s="1"/>
  <c r="J232" i="41"/>
  <c r="K306" i="48"/>
  <c r="K51" i="48"/>
  <c r="H51" i="48" s="1"/>
  <c r="H45" i="48"/>
  <c r="K46" i="48"/>
  <c r="J19" i="41"/>
  <c r="J14" i="41"/>
  <c r="K12" i="41"/>
  <c r="K14" i="41" s="1"/>
  <c r="L45" i="48"/>
  <c r="L46" i="48" s="1"/>
  <c r="L283" i="48"/>
  <c r="J318" i="14"/>
  <c r="J416" i="14"/>
  <c r="M718" i="11"/>
  <c r="J116" i="14"/>
  <c r="J92" i="48" s="1"/>
  <c r="M569" i="11"/>
  <c r="M307" i="14" s="1"/>
  <c r="M215" i="14"/>
  <c r="L191" i="41" s="1"/>
  <c r="M69" i="14"/>
  <c r="K439" i="14"/>
  <c r="M139" i="14"/>
  <c r="M353" i="14"/>
  <c r="M329" i="48" s="1"/>
  <c r="J439" i="14"/>
  <c r="M284" i="14"/>
  <c r="K281" i="14"/>
  <c r="K257" i="48" s="1"/>
  <c r="J393" i="14"/>
  <c r="O162" i="14"/>
  <c r="M75" i="48"/>
  <c r="J140" i="14"/>
  <c r="J141" i="14" s="1"/>
  <c r="L438" i="14"/>
  <c r="L414" i="48" s="1"/>
  <c r="K393" i="14"/>
  <c r="L330" i="14"/>
  <c r="M238" i="14"/>
  <c r="M214" i="48" s="1"/>
  <c r="J52" i="48"/>
  <c r="J62" i="48"/>
  <c r="J324" i="14"/>
  <c r="J300" i="48" s="1"/>
  <c r="J235" i="14"/>
  <c r="M535" i="11"/>
  <c r="M541" i="11" s="1"/>
  <c r="K212" i="14"/>
  <c r="J163" i="14"/>
  <c r="K416" i="14"/>
  <c r="M415" i="14"/>
  <c r="M391" i="48" s="1"/>
  <c r="M146" i="14"/>
  <c r="L68" i="41" s="1"/>
  <c r="N244" i="11"/>
  <c r="N99" i="14" s="1"/>
  <c r="N721" i="11"/>
  <c r="N577" i="11"/>
  <c r="N726" i="11"/>
  <c r="N249" i="11"/>
  <c r="L1055" i="43"/>
  <c r="L1068" i="43" s="1"/>
  <c r="O244" i="11"/>
  <c r="O99" i="14" s="1"/>
  <c r="O721" i="11"/>
  <c r="O577" i="11"/>
  <c r="O249" i="11"/>
  <c r="O726" i="11"/>
  <c r="T927" i="43"/>
  <c r="T928" i="43" s="1"/>
  <c r="U925" i="43"/>
  <c r="R838" i="43"/>
  <c r="R840" i="43" s="1"/>
  <c r="S837" i="43"/>
  <c r="K939" i="43"/>
  <c r="K940" i="43" s="1"/>
  <c r="K942" i="43" s="1"/>
  <c r="K933" i="43"/>
  <c r="K935" i="43" s="1"/>
  <c r="K1209" i="43"/>
  <c r="K1213" i="43"/>
  <c r="K1220" i="43" s="1"/>
  <c r="K1055" i="43"/>
  <c r="K1068" i="43" s="1"/>
  <c r="Q848" i="43"/>
  <c r="Q850" i="43" s="1"/>
  <c r="R847" i="43"/>
  <c r="K1083" i="43"/>
  <c r="P477" i="11"/>
  <c r="P223" i="11"/>
  <c r="P700" i="11"/>
  <c r="P551" i="11"/>
  <c r="L1133" i="43"/>
  <c r="L1171" i="43" s="1"/>
  <c r="F69" i="42" s="1"/>
  <c r="K1081" i="43"/>
  <c r="K39" i="43"/>
  <c r="K979" i="43" s="1"/>
  <c r="K980" i="43" s="1"/>
  <c r="U934" i="43"/>
  <c r="V930" i="43"/>
  <c r="V934" i="43" s="1"/>
  <c r="F111" i="45"/>
  <c r="F10" i="45"/>
  <c r="F9" i="45" s="1"/>
  <c r="L1327" i="11"/>
  <c r="L1331" i="11" s="1"/>
  <c r="M558" i="11"/>
  <c r="N1394" i="11"/>
  <c r="H99" i="45"/>
  <c r="M1396" i="11"/>
  <c r="M1398" i="11" s="1"/>
  <c r="G181" i="45"/>
  <c r="K1124" i="43"/>
  <c r="L709" i="11"/>
  <c r="F73" i="45" s="1"/>
  <c r="F81" i="45" s="1"/>
  <c r="L710" i="11"/>
  <c r="L711" i="11" s="1"/>
  <c r="L1366" i="11"/>
  <c r="F70" i="45"/>
  <c r="F69" i="45" s="1"/>
  <c r="L1368" i="11"/>
  <c r="L1369" i="11"/>
  <c r="L1374" i="11"/>
  <c r="L1370" i="11"/>
  <c r="L1353" i="11"/>
  <c r="F64" i="45"/>
  <c r="K1355" i="11"/>
  <c r="E66" i="45" s="1"/>
  <c r="E65" i="45"/>
  <c r="E72" i="45"/>
  <c r="K1372" i="11"/>
  <c r="L1357" i="11"/>
  <c r="L1351" i="11"/>
  <c r="L1352" i="11"/>
  <c r="L1349" i="11"/>
  <c r="M1346" i="11"/>
  <c r="M1363" i="11"/>
  <c r="M1435" i="11" s="1"/>
  <c r="M695" i="43"/>
  <c r="L1038" i="43"/>
  <c r="L1028" i="43" s="1"/>
  <c r="L1035" i="43" s="1"/>
  <c r="N939" i="43"/>
  <c r="N940" i="43" s="1"/>
  <c r="N942" i="43" s="1"/>
  <c r="N973" i="43" s="1"/>
  <c r="N975" i="43" s="1"/>
  <c r="L1036" i="43"/>
  <c r="L1103" i="43" s="1"/>
  <c r="F64" i="42" s="1"/>
  <c r="M861" i="43"/>
  <c r="N39" i="43"/>
  <c r="N979" i="43" s="1"/>
  <c r="N980" i="43" s="1"/>
  <c r="N149" i="43"/>
  <c r="M1209" i="43"/>
  <c r="N335" i="43"/>
  <c r="N1030" i="43"/>
  <c r="N1020" i="43"/>
  <c r="N1024" i="43"/>
  <c r="N1025" i="43"/>
  <c r="N1033" i="43"/>
  <c r="N1029" i="43"/>
  <c r="N1022" i="43"/>
  <c r="N1032" i="43"/>
  <c r="N1021" i="43"/>
  <c r="N1019" i="43"/>
  <c r="N1031" i="43"/>
  <c r="N1023" i="43"/>
  <c r="M1083" i="43"/>
  <c r="N1075" i="43"/>
  <c r="N1216" i="43"/>
  <c r="N1218" i="43" s="1"/>
  <c r="N1220" i="43" s="1"/>
  <c r="N1222" i="43" s="1"/>
  <c r="N1079" i="43"/>
  <c r="N1084" i="43"/>
  <c r="N1088" i="43"/>
  <c r="N1085" i="43"/>
  <c r="N1078" i="43"/>
  <c r="N1076" i="43"/>
  <c r="N1080" i="43"/>
  <c r="N1077" i="43"/>
  <c r="N1074" i="43"/>
  <c r="N1086" i="43"/>
  <c r="N1087" i="43"/>
  <c r="M1026" i="43"/>
  <c r="M1036" i="43" s="1"/>
  <c r="M1103" i="43" s="1"/>
  <c r="G64" i="42" s="1"/>
  <c r="O1016" i="43"/>
  <c r="O23" i="43"/>
  <c r="O38" i="43" s="1"/>
  <c r="O1071" i="43"/>
  <c r="O1098" i="43" s="1"/>
  <c r="L973" i="43"/>
  <c r="L975" i="43" s="1"/>
  <c r="L971" i="43" s="1"/>
  <c r="L950" i="43"/>
  <c r="L983" i="43" s="1"/>
  <c r="L985" i="43" s="1"/>
  <c r="P32" i="43"/>
  <c r="Q20" i="43"/>
  <c r="P21" i="43"/>
  <c r="L1095" i="43"/>
  <c r="M773" i="43"/>
  <c r="O37" i="43"/>
  <c r="M1081" i="43"/>
  <c r="M1099" i="43" s="1"/>
  <c r="G77" i="42" s="1"/>
  <c r="M1034" i="43"/>
  <c r="M973" i="43"/>
  <c r="M975" i="43" s="1"/>
  <c r="M971" i="43" s="1"/>
  <c r="L487" i="11"/>
  <c r="L488" i="11" s="1"/>
  <c r="L486" i="11"/>
  <c r="F14" i="45" s="1"/>
  <c r="F23" i="45" s="1"/>
  <c r="M564" i="11"/>
  <c r="N555" i="11"/>
  <c r="K493" i="11"/>
  <c r="K231" i="14"/>
  <c r="M449" i="11"/>
  <c r="L453" i="11"/>
  <c r="P87" i="43"/>
  <c r="Q86" i="43"/>
  <c r="P268" i="43"/>
  <c r="Q255" i="43"/>
  <c r="O692" i="43"/>
  <c r="O685" i="43"/>
  <c r="P120" i="43"/>
  <c r="Q106" i="43"/>
  <c r="Q263" i="43"/>
  <c r="P276" i="43"/>
  <c r="P557" i="43"/>
  <c r="Q546" i="43"/>
  <c r="M456" i="43"/>
  <c r="Q63" i="43"/>
  <c r="P65" i="43"/>
  <c r="Q74" i="43"/>
  <c r="P75" i="43"/>
  <c r="L773" i="43"/>
  <c r="Q103" i="43"/>
  <c r="P117" i="43"/>
  <c r="Q547" i="43"/>
  <c r="P558" i="43"/>
  <c r="P123" i="43"/>
  <c r="Q109" i="43"/>
  <c r="P843" i="43"/>
  <c r="Q842" i="43"/>
  <c r="Q257" i="43"/>
  <c r="P270" i="43"/>
  <c r="O845" i="43"/>
  <c r="O859" i="43" s="1"/>
  <c r="O858" i="43"/>
  <c r="Q262" i="43"/>
  <c r="P275" i="43"/>
  <c r="P683" i="43"/>
  <c r="Q682" i="43"/>
  <c r="P688" i="43"/>
  <c r="P690" i="43" s="1"/>
  <c r="Q687" i="43"/>
  <c r="J591" i="43"/>
  <c r="J588" i="43"/>
  <c r="P274" i="43"/>
  <c r="Q261" i="43"/>
  <c r="Q543" i="43"/>
  <c r="P554" i="43"/>
  <c r="P853" i="43"/>
  <c r="P855" i="43" s="1"/>
  <c r="Q852" i="43"/>
  <c r="O125" i="43"/>
  <c r="O111" i="43"/>
  <c r="P119" i="43"/>
  <c r="Q105" i="43"/>
  <c r="P121" i="43"/>
  <c r="Q107" i="43"/>
  <c r="P58" i="43"/>
  <c r="Q57" i="43"/>
  <c r="L619" i="43"/>
  <c r="L621" i="43" s="1"/>
  <c r="N571" i="43"/>
  <c r="N573" i="43" s="1"/>
  <c r="N614" i="43" s="1"/>
  <c r="N616" i="43" s="1"/>
  <c r="O570" i="43"/>
  <c r="Q223" i="43"/>
  <c r="P224" i="43"/>
  <c r="P309" i="43" s="1"/>
  <c r="P311" i="43" s="1"/>
  <c r="D82" i="42"/>
  <c r="D86" i="42" s="1"/>
  <c r="J1101" i="43"/>
  <c r="K755" i="11"/>
  <c r="L754" i="11"/>
  <c r="Q101" i="43"/>
  <c r="P115" i="43"/>
  <c r="Q102" i="43"/>
  <c r="P116" i="43"/>
  <c r="P761" i="43"/>
  <c r="Q760" i="43"/>
  <c r="N713" i="43"/>
  <c r="N715" i="43" s="1"/>
  <c r="N702" i="43"/>
  <c r="N704" i="43" s="1"/>
  <c r="J757" i="11"/>
  <c r="J760" i="11"/>
  <c r="D20" i="40" s="1"/>
  <c r="O402" i="43"/>
  <c r="O405" i="43" s="1"/>
  <c r="O358" i="43"/>
  <c r="O361" i="43" s="1"/>
  <c r="O172" i="43"/>
  <c r="O175" i="43" s="1"/>
  <c r="O763" i="43"/>
  <c r="P114" i="43"/>
  <c r="Q100" i="43"/>
  <c r="P230" i="43"/>
  <c r="Q229" i="43"/>
  <c r="Q258" i="43"/>
  <c r="P271" i="43"/>
  <c r="O321" i="43"/>
  <c r="P93" i="43"/>
  <c r="Q92" i="43"/>
  <c r="P122" i="43"/>
  <c r="Q108" i="43"/>
  <c r="Q212" i="43"/>
  <c r="P213" i="43"/>
  <c r="P319" i="43" s="1"/>
  <c r="Q46" i="43"/>
  <c r="P48" i="43"/>
  <c r="Q539" i="43"/>
  <c r="P550" i="43"/>
  <c r="O454" i="43"/>
  <c r="O452" i="43"/>
  <c r="O498" i="43" s="1"/>
  <c r="O500" i="43" s="1"/>
  <c r="Q448" i="43"/>
  <c r="P449" i="43"/>
  <c r="Q104" i="43"/>
  <c r="P118" i="43"/>
  <c r="O549" i="43"/>
  <c r="O278" i="43"/>
  <c r="O265" i="43"/>
  <c r="O439" i="43" s="1"/>
  <c r="O441" i="43" s="1"/>
  <c r="Q544" i="43"/>
  <c r="P555" i="43"/>
  <c r="N879" i="43"/>
  <c r="N881" i="43" s="1"/>
  <c r="N868" i="43"/>
  <c r="N870" i="43" s="1"/>
  <c r="P236" i="43"/>
  <c r="Q235" i="43"/>
  <c r="N506" i="43"/>
  <c r="N518" i="43"/>
  <c r="N512" i="43"/>
  <c r="N494" i="43"/>
  <c r="N488" i="43"/>
  <c r="N535" i="43"/>
  <c r="O347" i="43"/>
  <c r="O350" i="43" s="1"/>
  <c r="O161" i="43"/>
  <c r="O164" i="43" s="1"/>
  <c r="O391" i="43"/>
  <c r="O394" i="43" s="1"/>
  <c r="K586" i="43"/>
  <c r="L585" i="43"/>
  <c r="O566" i="43"/>
  <c r="O568" i="43" s="1"/>
  <c r="O609" i="43" s="1"/>
  <c r="O611" i="43" s="1"/>
  <c r="P565" i="43"/>
  <c r="P112" i="43"/>
  <c r="Q98" i="43"/>
  <c r="O766" i="43"/>
  <c r="O768" i="43" s="1"/>
  <c r="P765" i="43"/>
  <c r="N770" i="43"/>
  <c r="M576" i="43"/>
  <c r="M578" i="43" s="1"/>
  <c r="M619" i="43" s="1"/>
  <c r="M621" i="43" s="1"/>
  <c r="N575" i="43"/>
  <c r="N771" i="43"/>
  <c r="Q51" i="43"/>
  <c r="P52" i="43"/>
  <c r="Q542" i="43"/>
  <c r="P553" i="43"/>
  <c r="O306" i="43"/>
  <c r="Q259" i="43"/>
  <c r="P272" i="43"/>
  <c r="Q254" i="43"/>
  <c r="P267" i="43"/>
  <c r="L750" i="11"/>
  <c r="L752" i="11" s="1"/>
  <c r="L793" i="11" s="1"/>
  <c r="L795" i="11" s="1"/>
  <c r="M749" i="11"/>
  <c r="Q540" i="43"/>
  <c r="P551" i="43"/>
  <c r="Q545" i="43"/>
  <c r="P556" i="43"/>
  <c r="Q541" i="43"/>
  <c r="P552" i="43"/>
  <c r="N498" i="43"/>
  <c r="N500" i="43" s="1"/>
  <c r="Q241" i="43"/>
  <c r="P242" i="43"/>
  <c r="Q256" i="43"/>
  <c r="P269" i="43"/>
  <c r="L581" i="43"/>
  <c r="L583" i="43" s="1"/>
  <c r="L624" i="43" s="1"/>
  <c r="L626" i="43" s="1"/>
  <c r="M580" i="43"/>
  <c r="P202" i="43"/>
  <c r="P304" i="43" s="1"/>
  <c r="Q201" i="43"/>
  <c r="Q253" i="43"/>
  <c r="P266" i="43"/>
  <c r="L695" i="43"/>
  <c r="Q260" i="43"/>
  <c r="P273" i="43"/>
  <c r="L1425" i="11"/>
  <c r="P14" i="42" s="1"/>
  <c r="L1182" i="43"/>
  <c r="L1184" i="43" s="1"/>
  <c r="L1187" i="43" s="1"/>
  <c r="L1188" i="43" s="1"/>
  <c r="M591" i="11"/>
  <c r="M672" i="11" s="1"/>
  <c r="M1178" i="43"/>
  <c r="M1180" i="43" s="1"/>
  <c r="M1186" i="43" s="1"/>
  <c r="M589" i="11"/>
  <c r="F16" i="40"/>
  <c r="F22" i="40" s="1"/>
  <c r="F6" i="40" s="1"/>
  <c r="F21" i="40"/>
  <c r="M1278" i="11"/>
  <c r="G4" i="45" s="1"/>
  <c r="G2" i="45" s="1"/>
  <c r="M1302" i="11"/>
  <c r="I183" i="43"/>
  <c r="M89" i="41"/>
  <c r="M91" i="41" s="1"/>
  <c r="P408" i="11"/>
  <c r="J26" i="40"/>
  <c r="P406" i="11"/>
  <c r="P333" i="43"/>
  <c r="Q329" i="43"/>
  <c r="Q333" i="43" s="1"/>
  <c r="Q403" i="11"/>
  <c r="Q404" i="11" s="1"/>
  <c r="J213" i="14"/>
  <c r="J226" i="14" s="1"/>
  <c r="K716" i="11"/>
  <c r="K346" i="14"/>
  <c r="K322" i="48" s="1"/>
  <c r="L713" i="11"/>
  <c r="M704" i="11"/>
  <c r="M707" i="11" s="1"/>
  <c r="J311" i="14"/>
  <c r="O362" i="14"/>
  <c r="O316" i="14"/>
  <c r="O523" i="14"/>
  <c r="N480" i="11"/>
  <c r="N481" i="11" s="1"/>
  <c r="N484" i="11" s="1"/>
  <c r="K209" i="14"/>
  <c r="K185" i="48" s="1"/>
  <c r="M493" i="11"/>
  <c r="M231" i="14"/>
  <c r="M207" i="48" s="1"/>
  <c r="O224" i="14"/>
  <c r="O247" i="14"/>
  <c r="N445" i="11"/>
  <c r="N449" i="11" s="1"/>
  <c r="N498" i="11"/>
  <c r="N503" i="11"/>
  <c r="G27" i="40"/>
  <c r="O445" i="11"/>
  <c r="O503" i="11"/>
  <c r="O498" i="11"/>
  <c r="M495" i="11"/>
  <c r="Q290" i="43"/>
  <c r="Q288" i="43"/>
  <c r="N1122" i="43"/>
  <c r="S285" i="43"/>
  <c r="R328" i="43"/>
  <c r="R286" i="43"/>
  <c r="M1166" i="43"/>
  <c r="G76" i="42" s="1"/>
  <c r="M1133" i="43"/>
  <c r="M1171" i="43" s="1"/>
  <c r="G69" i="42" s="1"/>
  <c r="M1170" i="43"/>
  <c r="G63" i="42" s="1"/>
  <c r="N189" i="43"/>
  <c r="N433" i="43" s="1"/>
  <c r="N435" i="43" s="1"/>
  <c r="N421" i="43" s="1"/>
  <c r="O1129" i="43"/>
  <c r="O1125" i="43"/>
  <c r="O1116" i="43"/>
  <c r="O1119" i="43"/>
  <c r="O1127" i="43"/>
  <c r="O1120" i="43"/>
  <c r="O1115" i="43"/>
  <c r="O1128" i="43"/>
  <c r="O1117" i="43"/>
  <c r="O1126" i="43"/>
  <c r="O1165" i="43"/>
  <c r="O1121" i="43"/>
  <c r="O1118" i="43"/>
  <c r="O204" i="43"/>
  <c r="O215" i="43"/>
  <c r="O238" i="43"/>
  <c r="O232" i="43"/>
  <c r="O244" i="43"/>
  <c r="O226" i="43"/>
  <c r="N1130" i="43"/>
  <c r="M440" i="11"/>
  <c r="Q181" i="43"/>
  <c r="Q184" i="43"/>
  <c r="R180" i="43"/>
  <c r="O1227" i="43"/>
  <c r="O1229" i="43" s="1"/>
  <c r="O1232" i="43" s="1"/>
  <c r="O1145" i="43"/>
  <c r="O1151" i="43"/>
  <c r="O1142" i="43"/>
  <c r="O1146" i="43"/>
  <c r="O1147" i="43"/>
  <c r="O1152" i="43"/>
  <c r="O1144" i="43"/>
  <c r="O1153" i="43"/>
  <c r="O1155" i="43"/>
  <c r="O1143" i="43"/>
  <c r="O1141" i="43"/>
  <c r="P185" i="43"/>
  <c r="P1112" i="43"/>
  <c r="P1138" i="43"/>
  <c r="P187" i="43"/>
  <c r="P177" i="43"/>
  <c r="P176" i="43" s="1"/>
  <c r="M260" i="11"/>
  <c r="N1148" i="43"/>
  <c r="Q26" i="43"/>
  <c r="R25" i="43"/>
  <c r="O1054" i="43"/>
  <c r="O1050" i="43"/>
  <c r="O1049" i="43"/>
  <c r="O1052" i="43"/>
  <c r="O1051" i="43"/>
  <c r="O1211" i="43"/>
  <c r="O1213" i="43" s="1"/>
  <c r="O1053" i="43"/>
  <c r="O1048" i="43"/>
  <c r="P1045" i="43"/>
  <c r="P992" i="43"/>
  <c r="P28" i="43"/>
  <c r="O1062" i="43"/>
  <c r="O1060" i="43"/>
  <c r="O1001" i="43"/>
  <c r="O1007" i="43"/>
  <c r="O1009" i="43"/>
  <c r="O1006" i="43"/>
  <c r="O999" i="43"/>
  <c r="O1059" i="43"/>
  <c r="O1008" i="43"/>
  <c r="O1061" i="43"/>
  <c r="O995" i="43"/>
  <c r="O1058" i="43"/>
  <c r="O997" i="43"/>
  <c r="O1005" i="43"/>
  <c r="O998" i="43"/>
  <c r="O996" i="43"/>
  <c r="O1000" i="43"/>
  <c r="N1002" i="43"/>
  <c r="N1057" i="43"/>
  <c r="L1004" i="43"/>
  <c r="L1011" i="43" s="1"/>
  <c r="N1055" i="43"/>
  <c r="M1068" i="43"/>
  <c r="N1010" i="43"/>
  <c r="M1013" i="43"/>
  <c r="M1004" i="43" s="1"/>
  <c r="M1011" i="43" s="1"/>
  <c r="H25" i="40"/>
  <c r="M12" i="42"/>
  <c r="M18" i="42"/>
  <c r="N15" i="42"/>
  <c r="N14" i="42"/>
  <c r="N17" i="42"/>
  <c r="N9" i="42"/>
  <c r="N10" i="42"/>
  <c r="K25" i="42" s="1"/>
  <c r="N16" i="42"/>
  <c r="L1284" i="11"/>
  <c r="L1282" i="11"/>
  <c r="L1310" i="11"/>
  <c r="L1309" i="11"/>
  <c r="L1314" i="11"/>
  <c r="L1306" i="11"/>
  <c r="L1308" i="11"/>
  <c r="L1316" i="11"/>
  <c r="L1315" i="11"/>
  <c r="L1307" i="11"/>
  <c r="L1285" i="11"/>
  <c r="L1283" i="11"/>
  <c r="L1286" i="11"/>
  <c r="L1290" i="11"/>
  <c r="L1291" i="11"/>
  <c r="L1292" i="11"/>
  <c r="J1205" i="11"/>
  <c r="P1275" i="11"/>
  <c r="L1181" i="11"/>
  <c r="L1202" i="11"/>
  <c r="K1204" i="11"/>
  <c r="K1182" i="11"/>
  <c r="K1197" i="11"/>
  <c r="K1208" i="11" s="1"/>
  <c r="K1199" i="11" s="1"/>
  <c r="L1194" i="11"/>
  <c r="L1195" i="11"/>
  <c r="L1203" i="11"/>
  <c r="L1191" i="11"/>
  <c r="L1200" i="11"/>
  <c r="L1196" i="11"/>
  <c r="L1180" i="11"/>
  <c r="M1188" i="11"/>
  <c r="M1239" i="11"/>
  <c r="M1413" i="11" s="1"/>
  <c r="J1185" i="11"/>
  <c r="J1177" i="11" s="1"/>
  <c r="J1183" i="11" s="1"/>
  <c r="J1206" i="11"/>
  <c r="J1269" i="11" s="1"/>
  <c r="D32" i="42" s="1"/>
  <c r="L1192" i="11"/>
  <c r="L1201" i="11"/>
  <c r="L1193" i="11"/>
  <c r="L1178" i="11"/>
  <c r="L1179" i="11"/>
  <c r="K1175" i="11"/>
  <c r="L1174" i="11"/>
  <c r="L1169" i="11"/>
  <c r="L1229" i="11"/>
  <c r="L1227" i="11"/>
  <c r="L1228" i="11"/>
  <c r="L1173" i="11"/>
  <c r="L1172" i="11"/>
  <c r="L1171" i="11"/>
  <c r="L1170" i="11"/>
  <c r="M1166" i="11"/>
  <c r="M1215" i="11"/>
  <c r="O188" i="11"/>
  <c r="G14" i="40"/>
  <c r="M37" i="11"/>
  <c r="M89" i="11" s="1"/>
  <c r="N34" i="11"/>
  <c r="N68" i="14"/>
  <c r="P1163" i="11"/>
  <c r="O201" i="14"/>
  <c r="N2" i="41"/>
  <c r="M169" i="14"/>
  <c r="L109" i="41" s="1"/>
  <c r="I22" i="41"/>
  <c r="I29" i="41" s="1"/>
  <c r="O68" i="14"/>
  <c r="O44" i="48" s="1"/>
  <c r="M455" i="11"/>
  <c r="N463" i="11"/>
  <c r="N468" i="11"/>
  <c r="O463" i="11"/>
  <c r="O468" i="11"/>
  <c r="L7" i="41"/>
  <c r="L9" i="41" s="1"/>
  <c r="P15" i="11"/>
  <c r="P184" i="11"/>
  <c r="P176" i="11"/>
  <c r="P213" i="11" s="1"/>
  <c r="P441" i="11"/>
  <c r="P170" i="11"/>
  <c r="L73" i="14"/>
  <c r="L85" i="14"/>
  <c r="N188" i="11"/>
  <c r="K76" i="14"/>
  <c r="J25" i="41" s="1"/>
  <c r="J26" i="41" s="1"/>
  <c r="M191" i="11"/>
  <c r="L75" i="14"/>
  <c r="K27" i="41" s="1"/>
  <c r="L192" i="11"/>
  <c r="M460" i="11"/>
  <c r="N419" i="11"/>
  <c r="D33" i="40"/>
  <c r="K190" i="11"/>
  <c r="M29" i="11"/>
  <c r="G13" i="40"/>
  <c r="N516" i="11"/>
  <c r="H30" i="40"/>
  <c r="H7" i="40" s="1"/>
  <c r="M252" i="11"/>
  <c r="M251" i="11" s="1"/>
  <c r="G17" i="40"/>
  <c r="O1106" i="11"/>
  <c r="N365" i="11"/>
  <c r="L202" i="11"/>
  <c r="L205" i="11" s="1"/>
  <c r="J187" i="14"/>
  <c r="K436" i="11"/>
  <c r="K410" i="11" s="1"/>
  <c r="K187" i="14"/>
  <c r="O84" i="14"/>
  <c r="K135" i="39"/>
  <c r="K134" i="39"/>
  <c r="I135" i="39"/>
  <c r="I134" i="39"/>
  <c r="J134" i="39"/>
  <c r="J135" i="39"/>
  <c r="BT57" i="38"/>
  <c r="BT69" i="38" s="1"/>
  <c r="BI63" i="38"/>
  <c r="BI69" i="38"/>
  <c r="BI60" i="38"/>
  <c r="BI67" i="38"/>
  <c r="BI64" i="38"/>
  <c r="BI70" i="38"/>
  <c r="BJ57" i="38"/>
  <c r="BJ65" i="38" s="1"/>
  <c r="BI61" i="38"/>
  <c r="BI66" i="38"/>
  <c r="BI59" i="38"/>
  <c r="BI65" i="38"/>
  <c r="BI62" i="38"/>
  <c r="BI58" i="38"/>
  <c r="O14" i="19"/>
  <c r="P12" i="19"/>
  <c r="P26" i="19" s="1"/>
  <c r="BH63" i="38"/>
  <c r="BH64" i="38"/>
  <c r="BH66" i="38"/>
  <c r="BH65" i="38"/>
  <c r="BH60" i="38"/>
  <c r="BS57" i="38"/>
  <c r="BH68" i="38"/>
  <c r="BH70" i="38"/>
  <c r="BH59" i="38"/>
  <c r="BH62" i="38"/>
  <c r="BH61" i="38"/>
  <c r="BH69" i="38"/>
  <c r="BH58" i="38"/>
  <c r="BH67" i="38"/>
  <c r="BR61" i="38"/>
  <c r="BR67" i="38"/>
  <c r="BR60" i="38"/>
  <c r="BR59" i="38"/>
  <c r="BR69" i="38"/>
  <c r="BR66" i="38"/>
  <c r="BR64" i="38"/>
  <c r="BR65" i="38"/>
  <c r="BR62" i="38"/>
  <c r="BR70" i="38"/>
  <c r="BR63" i="38"/>
  <c r="BR68" i="38"/>
  <c r="BR58" i="38"/>
  <c r="O22" i="36"/>
  <c r="O21" i="36"/>
  <c r="P9" i="36"/>
  <c r="P11" i="36"/>
  <c r="P12" i="36" s="1"/>
  <c r="P14" i="36" s="1"/>
  <c r="Q6" i="36"/>
  <c r="Q7" i="36" s="1"/>
  <c r="P8" i="36"/>
  <c r="O22" i="35"/>
  <c r="O21" i="35"/>
  <c r="O14" i="35"/>
  <c r="N34" i="35"/>
  <c r="N69" i="35"/>
  <c r="P11" i="35"/>
  <c r="P12" i="35" s="1"/>
  <c r="Q6" i="35"/>
  <c r="Q7" i="35" s="1"/>
  <c r="P8" i="35"/>
  <c r="P9" i="35"/>
  <c r="M61" i="35"/>
  <c r="M58" i="35"/>
  <c r="L84" i="23"/>
  <c r="M84" i="23" s="1"/>
  <c r="K79" i="24"/>
  <c r="K79" i="25" s="1"/>
  <c r="L90" i="23"/>
  <c r="O78" i="24"/>
  <c r="O78" i="25" s="1"/>
  <c r="N70" i="24"/>
  <c r="N70" i="25" s="1"/>
  <c r="K73" i="24"/>
  <c r="K73" i="25" s="1"/>
  <c r="O96" i="15"/>
  <c r="L32" i="28"/>
  <c r="L82" i="23"/>
  <c r="N47" i="28"/>
  <c r="M36" i="28"/>
  <c r="O11" i="28"/>
  <c r="O12" i="28" s="1"/>
  <c r="O14" i="28" s="1"/>
  <c r="P6" i="28"/>
  <c r="P7" i="28" s="1"/>
  <c r="P11" i="28" s="1"/>
  <c r="P12" i="28" s="1"/>
  <c r="O9" i="28"/>
  <c r="O35" i="28" s="1"/>
  <c r="N45" i="28"/>
  <c r="N88" i="23" s="1"/>
  <c r="N40" i="28"/>
  <c r="P104" i="15"/>
  <c r="Q1515" i="11"/>
  <c r="Q1517" i="11" s="1"/>
  <c r="P357" i="41" s="1"/>
  <c r="M277" i="14"/>
  <c r="M1027" i="11"/>
  <c r="O335" i="11"/>
  <c r="P335" i="11" s="1"/>
  <c r="N344" i="11"/>
  <c r="N695" i="11"/>
  <c r="O337" i="11"/>
  <c r="O350" i="11" s="1"/>
  <c r="N75" i="11"/>
  <c r="O360" i="11"/>
  <c r="O361" i="11" s="1"/>
  <c r="N118" i="11"/>
  <c r="O101" i="11"/>
  <c r="P101" i="11" s="1"/>
  <c r="M1037" i="11"/>
  <c r="M1039" i="11" s="1"/>
  <c r="M438" i="14"/>
  <c r="M414" i="48" s="1"/>
  <c r="M609" i="11"/>
  <c r="O108" i="11"/>
  <c r="P108" i="11" s="1"/>
  <c r="N324" i="11"/>
  <c r="N687" i="11"/>
  <c r="N526" i="11"/>
  <c r="N520" i="11" s="1"/>
  <c r="L942" i="11"/>
  <c r="O680" i="11"/>
  <c r="P680" i="11" s="1"/>
  <c r="O929" i="11"/>
  <c r="O930" i="11" s="1"/>
  <c r="O932" i="11" s="1"/>
  <c r="N363" i="11"/>
  <c r="N93" i="11"/>
  <c r="O914" i="11"/>
  <c r="P914" i="11" s="1"/>
  <c r="N879" i="11"/>
  <c r="O1021" i="11"/>
  <c r="O1022" i="11" s="1"/>
  <c r="O1024" i="11" s="1"/>
  <c r="N1007" i="11"/>
  <c r="N1027" i="11" s="1"/>
  <c r="O100" i="11"/>
  <c r="O114" i="11" s="1"/>
  <c r="N607" i="11"/>
  <c r="N371" i="11"/>
  <c r="N391" i="11"/>
  <c r="N112" i="11"/>
  <c r="M960" i="11"/>
  <c r="M962" i="11" s="1"/>
  <c r="O851" i="11"/>
  <c r="O852" i="11" s="1"/>
  <c r="O854" i="11" s="1"/>
  <c r="N317" i="11"/>
  <c r="M949" i="11"/>
  <c r="M951" i="11" s="1"/>
  <c r="N305" i="11"/>
  <c r="O63" i="11"/>
  <c r="P63" i="11" s="1"/>
  <c r="O513" i="11"/>
  <c r="O514" i="11" s="1"/>
  <c r="O1391" i="11" s="1"/>
  <c r="O1094" i="11"/>
  <c r="O1096" i="11" s="1"/>
  <c r="O1097" i="11" s="1"/>
  <c r="N346" i="11"/>
  <c r="N311" i="11"/>
  <c r="N906" i="11"/>
  <c r="O734" i="11"/>
  <c r="O735" i="11" s="1"/>
  <c r="O737" i="11" s="1"/>
  <c r="O778" i="11" s="1"/>
  <c r="O780" i="11" s="1"/>
  <c r="N602" i="11"/>
  <c r="N123" i="11"/>
  <c r="O51" i="11"/>
  <c r="O52" i="11" s="1"/>
  <c r="O1016" i="11"/>
  <c r="O1017" i="11" s="1"/>
  <c r="O1019" i="11" s="1"/>
  <c r="O934" i="11"/>
  <c r="O935" i="11" s="1"/>
  <c r="O937" i="11" s="1"/>
  <c r="N430" i="11"/>
  <c r="N414" i="11"/>
  <c r="N940" i="11"/>
  <c r="O1099" i="11"/>
  <c r="O1103" i="11" s="1"/>
  <c r="N518" i="11"/>
  <c r="O744" i="11"/>
  <c r="O745" i="11" s="1"/>
  <c r="O747" i="11" s="1"/>
  <c r="O788" i="11" s="1"/>
  <c r="O790" i="11" s="1"/>
  <c r="N939" i="11"/>
  <c r="O1011" i="11"/>
  <c r="O1012" i="11" s="1"/>
  <c r="O1014" i="11" s="1"/>
  <c r="O739" i="11"/>
  <c r="O740" i="11" s="1"/>
  <c r="O742" i="11" s="1"/>
  <c r="O783" i="11" s="1"/>
  <c r="O785" i="11" s="1"/>
  <c r="M1048" i="11"/>
  <c r="M1050" i="11" s="1"/>
  <c r="O856" i="11"/>
  <c r="O857" i="11" s="1"/>
  <c r="O859" i="11" s="1"/>
  <c r="O46" i="11"/>
  <c r="P46" i="11" s="1"/>
  <c r="N861" i="11"/>
  <c r="N862" i="11"/>
  <c r="P634" i="11"/>
  <c r="P813" i="11"/>
  <c r="L864" i="11"/>
  <c r="M686" i="11"/>
  <c r="M327" i="14" s="1"/>
  <c r="M303" i="48" s="1"/>
  <c r="O1007" i="11"/>
  <c r="O1009" i="11" s="1"/>
  <c r="K264" i="11"/>
  <c r="L672" i="11"/>
  <c r="J534" i="11"/>
  <c r="J536" i="11" s="1"/>
  <c r="J522" i="11" s="1"/>
  <c r="K593" i="11"/>
  <c r="O652" i="11"/>
  <c r="N653" i="11"/>
  <c r="O909" i="11"/>
  <c r="N911" i="11"/>
  <c r="L655" i="11"/>
  <c r="N984" i="11"/>
  <c r="O982" i="11"/>
  <c r="P8" i="14"/>
  <c r="P108" i="14" s="1"/>
  <c r="Q6" i="14"/>
  <c r="Q7" i="14" s="1"/>
  <c r="P9" i="14"/>
  <c r="O3" i="41" s="1"/>
  <c r="P11" i="14"/>
  <c r="P12" i="14" s="1"/>
  <c r="P14" i="14" s="1"/>
  <c r="O526" i="11"/>
  <c r="O531" i="11"/>
  <c r="O972" i="11"/>
  <c r="N974" i="11"/>
  <c r="P92" i="11"/>
  <c r="O93" i="11"/>
  <c r="M394" i="11"/>
  <c r="O681" i="11"/>
  <c r="N692" i="11"/>
  <c r="O1070" i="11"/>
  <c r="N1072" i="11"/>
  <c r="O919" i="11"/>
  <c r="N921" i="11"/>
  <c r="M340" i="11"/>
  <c r="M353" i="11"/>
  <c r="M122" i="14" s="1"/>
  <c r="M98" i="48" s="1"/>
  <c r="O1075" i="11"/>
  <c r="N1077" i="11"/>
  <c r="R25" i="19"/>
  <c r="S23" i="19"/>
  <c r="P877" i="11"/>
  <c r="O879" i="11"/>
  <c r="O408" i="14"/>
  <c r="O431" i="14"/>
  <c r="O477" i="14"/>
  <c r="O36" i="14"/>
  <c r="O500" i="14"/>
  <c r="O270" i="14"/>
  <c r="O293" i="14"/>
  <c r="O131" i="14"/>
  <c r="O454" i="14"/>
  <c r="O339" i="14"/>
  <c r="O155" i="14"/>
  <c r="O385" i="14"/>
  <c r="O178" i="14"/>
  <c r="O669" i="11"/>
  <c r="N670" i="11"/>
  <c r="O679" i="11"/>
  <c r="N690" i="11"/>
  <c r="Q8" i="25"/>
  <c r="Q36" i="25" s="1"/>
  <c r="Q9" i="25"/>
  <c r="R6" i="25"/>
  <c r="R7" i="25" s="1"/>
  <c r="Q11" i="25"/>
  <c r="Q12" i="25" s="1"/>
  <c r="Q14" i="25" s="1"/>
  <c r="M125" i="11"/>
  <c r="M27" i="14" s="1"/>
  <c r="M27" i="48" s="1"/>
  <c r="M111" i="11"/>
  <c r="M24" i="14" s="1"/>
  <c r="M818" i="11"/>
  <c r="M373" i="14" s="1"/>
  <c r="M349" i="48" s="1"/>
  <c r="O841" i="11"/>
  <c r="N843" i="11"/>
  <c r="O106" i="11"/>
  <c r="N120" i="11"/>
  <c r="O287" i="11"/>
  <c r="N288" i="11"/>
  <c r="O617" i="11"/>
  <c r="N619" i="11"/>
  <c r="P331" i="11"/>
  <c r="O344" i="11"/>
  <c r="P316" i="11"/>
  <c r="O317" i="11"/>
  <c r="O682" i="11"/>
  <c r="N693" i="11"/>
  <c r="O334" i="11"/>
  <c r="N347" i="11"/>
  <c r="O803" i="11"/>
  <c r="N805" i="11"/>
  <c r="Q11" i="11"/>
  <c r="Q12" i="11" s="1"/>
  <c r="Q8" i="11"/>
  <c r="R6" i="11"/>
  <c r="R7" i="11" s="1"/>
  <c r="Q9" i="11"/>
  <c r="Q1460" i="11" s="1"/>
  <c r="L540" i="11"/>
  <c r="L542" i="11" s="1"/>
  <c r="L119" i="14"/>
  <c r="L95" i="48" s="1"/>
  <c r="O808" i="11"/>
  <c r="N810" i="11"/>
  <c r="L625" i="11"/>
  <c r="M379" i="11"/>
  <c r="M161" i="11" s="1"/>
  <c r="M164" i="11" s="1"/>
  <c r="P676" i="11"/>
  <c r="O687" i="11"/>
  <c r="L1102" i="11"/>
  <c r="O105" i="11"/>
  <c r="N119" i="11"/>
  <c r="O821" i="11"/>
  <c r="N823" i="11"/>
  <c r="M384" i="11"/>
  <c r="M386" i="11" s="1"/>
  <c r="O646" i="11"/>
  <c r="N647" i="11"/>
  <c r="O826" i="11"/>
  <c r="N828" i="11"/>
  <c r="M1057" i="11"/>
  <c r="M442" i="14" s="1"/>
  <c r="M418" i="48" s="1"/>
  <c r="L631" i="11"/>
  <c r="O99" i="11"/>
  <c r="N113" i="11"/>
  <c r="P1091" i="11"/>
  <c r="P31" i="11" s="1"/>
  <c r="P771" i="11"/>
  <c r="P1003" i="11"/>
  <c r="P848" i="11"/>
  <c r="P1036" i="11"/>
  <c r="P926" i="11"/>
  <c r="P1473" i="11"/>
  <c r="P1006" i="11"/>
  <c r="P948" i="11"/>
  <c r="P870" i="11"/>
  <c r="P400" i="11"/>
  <c r="P357" i="11"/>
  <c r="P582" i="11"/>
  <c r="P731" i="11"/>
  <c r="P510" i="11"/>
  <c r="L1048" i="11"/>
  <c r="L1050" i="11" s="1"/>
  <c r="L1037" i="11"/>
  <c r="L1039" i="11" s="1"/>
  <c r="P109" i="11"/>
  <c r="O123" i="11"/>
  <c r="M24" i="11"/>
  <c r="O391" i="11"/>
  <c r="O602" i="11"/>
  <c r="O371" i="11"/>
  <c r="O376" i="11"/>
  <c r="O607" i="11"/>
  <c r="O678" i="11"/>
  <c r="N689" i="11"/>
  <c r="O271" i="11"/>
  <c r="N273" i="11"/>
  <c r="O640" i="11"/>
  <c r="N641" i="11"/>
  <c r="O298" i="11"/>
  <c r="N299" i="11"/>
  <c r="O987" i="11"/>
  <c r="N989" i="11"/>
  <c r="O1060" i="11"/>
  <c r="N1062" i="11"/>
  <c r="P961" i="11"/>
  <c r="P41" i="11"/>
  <c r="P43" i="11" s="1"/>
  <c r="P81" i="11" s="1"/>
  <c r="P83" i="11" s="1"/>
  <c r="Q12" i="6"/>
  <c r="Q14" i="6" s="1"/>
  <c r="P266" i="11"/>
  <c r="P268" i="11" s="1"/>
  <c r="P294" i="11" s="1"/>
  <c r="P295" i="11" s="1"/>
  <c r="P867" i="11"/>
  <c r="P399" i="14" s="1"/>
  <c r="P375" i="48" s="1"/>
  <c r="P945" i="11"/>
  <c r="P422" i="14" s="1"/>
  <c r="P398" i="48" s="1"/>
  <c r="P1033" i="11"/>
  <c r="P445" i="14" s="1"/>
  <c r="P421" i="48" s="1"/>
  <c r="P1538" i="11"/>
  <c r="P1542" i="11" s="1"/>
  <c r="P767" i="11"/>
  <c r="O1085" i="11"/>
  <c r="N1087" i="11"/>
  <c r="O107" i="11"/>
  <c r="N121" i="11"/>
  <c r="O276" i="11"/>
  <c r="N277" i="11"/>
  <c r="O1043" i="11"/>
  <c r="N1045" i="11"/>
  <c r="O612" i="11"/>
  <c r="N614" i="11"/>
  <c r="L323" i="14"/>
  <c r="L635" i="11"/>
  <c r="L637" i="11" s="1"/>
  <c r="O992" i="11"/>
  <c r="N994" i="11"/>
  <c r="L319" i="11"/>
  <c r="L307" i="11"/>
  <c r="L313" i="11"/>
  <c r="O831" i="11"/>
  <c r="N833" i="11"/>
  <c r="L290" i="11"/>
  <c r="O683" i="11"/>
  <c r="N694" i="11"/>
  <c r="O677" i="11"/>
  <c r="N688" i="11"/>
  <c r="O86" i="11"/>
  <c r="N87" i="11"/>
  <c r="O21" i="11"/>
  <c r="O22" i="11" s="1"/>
  <c r="O1065" i="11"/>
  <c r="N1067" i="11"/>
  <c r="O399" i="14"/>
  <c r="O328" i="11"/>
  <c r="N341" i="11"/>
  <c r="O419" i="11"/>
  <c r="O414" i="11"/>
  <c r="O430" i="11"/>
  <c r="O57" i="11"/>
  <c r="N58" i="11"/>
  <c r="P14" i="6"/>
  <c r="O332" i="11"/>
  <c r="N345" i="11"/>
  <c r="P14" i="25"/>
  <c r="N586" i="11"/>
  <c r="H29" i="40" s="1"/>
  <c r="H9" i="40" s="1"/>
  <c r="O585" i="11"/>
  <c r="O282" i="11"/>
  <c r="N284" i="11"/>
  <c r="N476" i="11" s="1"/>
  <c r="N699" i="11" s="1"/>
  <c r="N999" i="11"/>
  <c r="O997" i="11"/>
  <c r="L115" i="14"/>
  <c r="L91" i="48" s="1"/>
  <c r="F40" i="40" s="1"/>
  <c r="P310" i="11"/>
  <c r="O311" i="11"/>
  <c r="P74" i="11"/>
  <c r="O75" i="11"/>
  <c r="O68" i="11"/>
  <c r="N69" i="11"/>
  <c r="M392" i="14"/>
  <c r="M368" i="48" s="1"/>
  <c r="M882" i="11"/>
  <c r="M884" i="11" s="1"/>
  <c r="M871" i="11"/>
  <c r="M873" i="11" s="1"/>
  <c r="L433" i="11"/>
  <c r="L396" i="11"/>
  <c r="P104" i="11"/>
  <c r="O118" i="11"/>
  <c r="L643" i="11"/>
  <c r="P684" i="11"/>
  <c r="O695" i="11"/>
  <c r="P304" i="11"/>
  <c r="O305" i="11"/>
  <c r="K367" i="11"/>
  <c r="O102" i="11"/>
  <c r="N116" i="11"/>
  <c r="P887" i="11"/>
  <c r="M891" i="11"/>
  <c r="M396" i="14" s="1"/>
  <c r="M372" i="48" s="1"/>
  <c r="O955" i="11"/>
  <c r="N957" i="11"/>
  <c r="O103" i="11"/>
  <c r="N117" i="11"/>
  <c r="O26" i="11"/>
  <c r="N27" i="11"/>
  <c r="N1108" i="11" s="1"/>
  <c r="L422" i="11"/>
  <c r="L425" i="11" s="1"/>
  <c r="L381" i="11"/>
  <c r="O899" i="11"/>
  <c r="N901" i="11"/>
  <c r="M262" i="11"/>
  <c r="M279" i="11" s="1"/>
  <c r="O836" i="11"/>
  <c r="N838" i="11"/>
  <c r="O1053" i="11"/>
  <c r="L301" i="11"/>
  <c r="O336" i="11"/>
  <c r="N349" i="11"/>
  <c r="N468" i="14"/>
  <c r="O330" i="11"/>
  <c r="N343" i="11"/>
  <c r="O894" i="11"/>
  <c r="N896" i="11"/>
  <c r="O622" i="11"/>
  <c r="N623" i="11"/>
  <c r="O14" i="14"/>
  <c r="P333" i="11"/>
  <c r="O346" i="11"/>
  <c r="O255" i="11"/>
  <c r="M969" i="11"/>
  <c r="M419" i="14" s="1"/>
  <c r="M395" i="48" s="1"/>
  <c r="L465" i="14"/>
  <c r="O329" i="11"/>
  <c r="N342" i="11"/>
  <c r="R9" i="6"/>
  <c r="R8" i="6"/>
  <c r="R11" i="6"/>
  <c r="S6" i="6"/>
  <c r="S7" i="6" s="1"/>
  <c r="O628" i="11"/>
  <c r="N629" i="11"/>
  <c r="O338" i="11"/>
  <c r="N351" i="11"/>
  <c r="N550" i="11" s="1"/>
  <c r="P965" i="11"/>
  <c r="P322" i="11"/>
  <c r="O324" i="11"/>
  <c r="O1080" i="11"/>
  <c r="N1082" i="11"/>
  <c r="O977" i="11"/>
  <c r="N979" i="11"/>
  <c r="P904" i="11"/>
  <c r="O906" i="11"/>
  <c r="P98" i="11"/>
  <c r="O112" i="11"/>
  <c r="R6" i="19"/>
  <c r="R7" i="19" s="1"/>
  <c r="Q8" i="19"/>
  <c r="Q9" i="19"/>
  <c r="Q11" i="19"/>
  <c r="R6" i="15"/>
  <c r="R7" i="15" s="1"/>
  <c r="Q8" i="15"/>
  <c r="Q62" i="15" s="1"/>
  <c r="Q9" i="15"/>
  <c r="Q11" i="15"/>
  <c r="Q12" i="15" s="1"/>
  <c r="P14" i="15"/>
  <c r="S6" i="23"/>
  <c r="S7" i="23" s="1"/>
  <c r="R9" i="23"/>
  <c r="R11" i="23"/>
  <c r="R12" i="23" s="1"/>
  <c r="R8" i="23"/>
  <c r="R47" i="23" s="1"/>
  <c r="Q14" i="23"/>
  <c r="P14" i="24"/>
  <c r="Q8" i="24"/>
  <c r="Q36" i="24" s="1"/>
  <c r="R6" i="24"/>
  <c r="R7" i="24" s="1"/>
  <c r="Q9" i="24"/>
  <c r="Q11" i="24"/>
  <c r="Q12" i="24" s="1"/>
  <c r="D109" i="40" l="1"/>
  <c r="E84" i="40"/>
  <c r="E85" i="40"/>
  <c r="F84" i="40"/>
  <c r="F85" i="40"/>
  <c r="P210" i="11"/>
  <c r="P72" i="14" s="1"/>
  <c r="O17" i="41" s="1"/>
  <c r="P194" i="11"/>
  <c r="J79" i="14"/>
  <c r="J81" i="14" s="1"/>
  <c r="J82" i="14" s="1"/>
  <c r="J87" i="14" s="1"/>
  <c r="O480" i="11"/>
  <c r="O481" i="11" s="1"/>
  <c r="O484" i="11" s="1"/>
  <c r="O487" i="11" s="1"/>
  <c r="O488" i="11" s="1"/>
  <c r="Q256" i="11"/>
  <c r="Q442" i="11" s="1"/>
  <c r="Q257" i="11"/>
  <c r="J284" i="48"/>
  <c r="J287" i="48" s="1"/>
  <c r="O54" i="19"/>
  <c r="J294" i="48"/>
  <c r="N695" i="43"/>
  <c r="J327" i="48"/>
  <c r="D99" i="40" s="1"/>
  <c r="D34" i="40"/>
  <c r="L1104" i="11"/>
  <c r="L1114" i="11"/>
  <c r="L1109" i="11" s="1"/>
  <c r="L1111" i="11" s="1"/>
  <c r="J5" i="50"/>
  <c r="O1101" i="11"/>
  <c r="O1105" i="11" s="1"/>
  <c r="K1116" i="11"/>
  <c r="K1147" i="11" s="1"/>
  <c r="E35" i="40"/>
  <c r="E9" i="50"/>
  <c r="D15" i="40"/>
  <c r="D12" i="40" s="1"/>
  <c r="J34" i="11"/>
  <c r="J38" i="11" s="1"/>
  <c r="J20" i="14" s="1"/>
  <c r="J1215" i="11"/>
  <c r="J222" i="11"/>
  <c r="J227" i="11" s="1"/>
  <c r="J1239" i="11"/>
  <c r="J37" i="11"/>
  <c r="O1110" i="11"/>
  <c r="O1113" i="11"/>
  <c r="O1115" i="11" s="1"/>
  <c r="O1116" i="11" s="1"/>
  <c r="O1147" i="11" s="1"/>
  <c r="O569" i="11"/>
  <c r="Q13" i="11"/>
  <c r="O718" i="11"/>
  <c r="J189" i="48"/>
  <c r="J192" i="48" s="1"/>
  <c r="O241" i="11"/>
  <c r="P572" i="11"/>
  <c r="V509" i="43"/>
  <c r="V510" i="43" s="1"/>
  <c r="U510" i="43"/>
  <c r="L1099" i="43"/>
  <c r="F77" i="42" s="1"/>
  <c r="V708" i="43"/>
  <c r="V710" i="43" s="1"/>
  <c r="U710" i="43"/>
  <c r="K19" i="41"/>
  <c r="K21" i="41" s="1"/>
  <c r="L237" i="48"/>
  <c r="H116" i="14"/>
  <c r="J117" i="14"/>
  <c r="J120" i="14" s="1"/>
  <c r="D78" i="40" s="1"/>
  <c r="K186" i="48"/>
  <c r="K201" i="48" s="1"/>
  <c r="J201" i="48"/>
  <c r="N222" i="11"/>
  <c r="N227" i="11" s="1"/>
  <c r="N230" i="11" s="1"/>
  <c r="N232" i="11" s="1"/>
  <c r="H50" i="45" s="1"/>
  <c r="I8" i="50"/>
  <c r="J364" i="14"/>
  <c r="M230" i="11"/>
  <c r="H18" i="50"/>
  <c r="M261" i="14"/>
  <c r="M145" i="48"/>
  <c r="G57" i="40"/>
  <c r="M209" i="48"/>
  <c r="M224" i="48" s="1"/>
  <c r="E60" i="40"/>
  <c r="E71" i="40" s="1"/>
  <c r="E16" i="49" s="1"/>
  <c r="K324" i="48"/>
  <c r="K339" i="48" s="1"/>
  <c r="K233" i="14"/>
  <c r="K248" i="14" s="1"/>
  <c r="K207" i="48"/>
  <c r="E165" i="45"/>
  <c r="E180" i="45" s="1"/>
  <c r="C34" i="47"/>
  <c r="M122" i="48"/>
  <c r="I94" i="41"/>
  <c r="I99" i="41" s="1"/>
  <c r="I101" i="41" s="1"/>
  <c r="J139" i="48"/>
  <c r="J140" i="48" s="1"/>
  <c r="K258" i="14"/>
  <c r="K188" i="48"/>
  <c r="K234" i="48" s="1"/>
  <c r="J236" i="14"/>
  <c r="J249" i="14" s="1"/>
  <c r="J211" i="48"/>
  <c r="I53" i="41"/>
  <c r="I55" i="41" s="1"/>
  <c r="J116" i="48"/>
  <c r="J117" i="48" s="1"/>
  <c r="N89" i="41"/>
  <c r="N91" i="41" s="1"/>
  <c r="O138" i="48"/>
  <c r="I48" i="40" s="1"/>
  <c r="L48" i="41"/>
  <c r="L50" i="41" s="1"/>
  <c r="M115" i="48"/>
  <c r="G47" i="40" s="1"/>
  <c r="M191" i="48"/>
  <c r="L317" i="14"/>
  <c r="L305" i="14"/>
  <c r="H277" i="48"/>
  <c r="F59" i="40"/>
  <c r="F68" i="40" s="1"/>
  <c r="F13" i="49" s="1"/>
  <c r="L278" i="48"/>
  <c r="K293" i="48"/>
  <c r="K281" i="48"/>
  <c r="K318" i="14"/>
  <c r="K311" i="14"/>
  <c r="K313" i="14" s="1"/>
  <c r="K314" i="14" s="1"/>
  <c r="K319" i="14" s="1"/>
  <c r="D57" i="40"/>
  <c r="D67" i="40" s="1"/>
  <c r="D12" i="49" s="1"/>
  <c r="J209" i="48"/>
  <c r="E49" i="40"/>
  <c r="K230" i="48"/>
  <c r="J325" i="14"/>
  <c r="J328" i="14" s="1"/>
  <c r="D79" i="40" s="1"/>
  <c r="M24" i="48"/>
  <c r="O468" i="14"/>
  <c r="O375" i="48"/>
  <c r="O444" i="48" s="1"/>
  <c r="K394" i="14"/>
  <c r="K369" i="48"/>
  <c r="K370" i="48" s="1"/>
  <c r="K385" i="48" s="1"/>
  <c r="J440" i="14"/>
  <c r="J455" i="14" s="1"/>
  <c r="J415" i="48"/>
  <c r="J416" i="48" s="1"/>
  <c r="M441" i="48"/>
  <c r="K417" i="14"/>
  <c r="K392" i="48"/>
  <c r="K393" i="48" s="1"/>
  <c r="K408" i="48" s="1"/>
  <c r="J417" i="14"/>
  <c r="J432" i="14" s="1"/>
  <c r="J392" i="48"/>
  <c r="J393" i="48" s="1"/>
  <c r="J394" i="14"/>
  <c r="J409" i="14" s="1"/>
  <c r="J369" i="48"/>
  <c r="J370" i="48" s="1"/>
  <c r="K440" i="14"/>
  <c r="K443" i="14" s="1"/>
  <c r="K446" i="14" s="1"/>
  <c r="K449" i="14" s="1"/>
  <c r="K415" i="48"/>
  <c r="K416" i="48" s="1"/>
  <c r="K419" i="48" s="1"/>
  <c r="K422" i="48" s="1"/>
  <c r="L253" i="41"/>
  <c r="L255" i="41" s="1"/>
  <c r="M253" i="48"/>
  <c r="G54" i="40" s="1"/>
  <c r="L273" i="41"/>
  <c r="M260" i="48"/>
  <c r="K212" i="41"/>
  <c r="K214" i="41" s="1"/>
  <c r="L299" i="48"/>
  <c r="F41" i="40" s="1"/>
  <c r="I217" i="41"/>
  <c r="I222" i="41" s="1"/>
  <c r="I224" i="41" s="1"/>
  <c r="K232" i="41"/>
  <c r="L306" i="48"/>
  <c r="L51" i="48"/>
  <c r="J21" i="41"/>
  <c r="J22" i="41" s="1"/>
  <c r="J29" i="41" s="1"/>
  <c r="K61" i="48"/>
  <c r="K49" i="48"/>
  <c r="K52" i="48" s="1"/>
  <c r="M7" i="41"/>
  <c r="M9" i="41" s="1"/>
  <c r="N44" i="48"/>
  <c r="L12" i="41"/>
  <c r="L19" i="41" s="1"/>
  <c r="M45" i="48"/>
  <c r="M46" i="48" s="1"/>
  <c r="M49" i="48" s="1"/>
  <c r="L490" i="48"/>
  <c r="M283" i="48"/>
  <c r="M490" i="48" s="1"/>
  <c r="M514" i="14"/>
  <c r="O238" i="14"/>
  <c r="O214" i="48" s="1"/>
  <c r="L393" i="14"/>
  <c r="K140" i="14"/>
  <c r="K141" i="14" s="1"/>
  <c r="K144" i="14" s="1"/>
  <c r="J55" i="48"/>
  <c r="N146" i="14"/>
  <c r="M68" i="41" s="1"/>
  <c r="O69" i="14"/>
  <c r="M115" i="14"/>
  <c r="M91" i="48" s="1"/>
  <c r="G40" i="40" s="1"/>
  <c r="J301" i="48"/>
  <c r="K324" i="14"/>
  <c r="K325" i="14" s="1"/>
  <c r="K328" i="14" s="1"/>
  <c r="E79" i="40" s="1"/>
  <c r="N139" i="14"/>
  <c r="P162" i="14"/>
  <c r="L1100" i="43"/>
  <c r="F82" i="42" s="1"/>
  <c r="K350" i="14"/>
  <c r="K326" i="48" s="1"/>
  <c r="J164" i="14"/>
  <c r="J179" i="14" s="1"/>
  <c r="K163" i="14"/>
  <c r="K139" i="48" s="1"/>
  <c r="N238" i="14"/>
  <c r="N214" i="48" s="1"/>
  <c r="K235" i="14"/>
  <c r="L1124" i="43"/>
  <c r="H92" i="48"/>
  <c r="J93" i="48"/>
  <c r="N949" i="11"/>
  <c r="N951" i="11" s="1"/>
  <c r="J278" i="14"/>
  <c r="J254" i="48" s="1"/>
  <c r="N882" i="11"/>
  <c r="N884" i="11" s="1"/>
  <c r="N69" i="14"/>
  <c r="O215" i="14"/>
  <c r="N191" i="41" s="1"/>
  <c r="J255" i="14"/>
  <c r="N215" i="14"/>
  <c r="M191" i="41" s="1"/>
  <c r="N535" i="11"/>
  <c r="N541" i="11" s="1"/>
  <c r="L458" i="11"/>
  <c r="N284" i="14"/>
  <c r="L61" i="48"/>
  <c r="L49" i="48"/>
  <c r="M330" i="14"/>
  <c r="M70" i="14"/>
  <c r="O353" i="14"/>
  <c r="O329" i="48" s="1"/>
  <c r="M235" i="14"/>
  <c r="M211" i="48" s="1"/>
  <c r="L281" i="14"/>
  <c r="K116" i="14"/>
  <c r="L416" i="14"/>
  <c r="N353" i="14"/>
  <c r="N329" i="48" s="1"/>
  <c r="K1099" i="43"/>
  <c r="E77" i="42" s="1"/>
  <c r="K1095" i="43"/>
  <c r="K1100" i="43" s="1"/>
  <c r="N241" i="11"/>
  <c r="S838" i="43"/>
  <c r="S840" i="43" s="1"/>
  <c r="T837" i="43"/>
  <c r="K973" i="43"/>
  <c r="K975" i="43" s="1"/>
  <c r="K971" i="43" s="1"/>
  <c r="K950" i="43"/>
  <c r="K983" i="43" s="1"/>
  <c r="K985" i="43" s="1"/>
  <c r="U927" i="43"/>
  <c r="U928" i="43" s="1"/>
  <c r="V925" i="43"/>
  <c r="V927" i="43" s="1"/>
  <c r="V928" i="43" s="1"/>
  <c r="R848" i="43"/>
  <c r="R850" i="43" s="1"/>
  <c r="S847" i="43"/>
  <c r="P244" i="11"/>
  <c r="P99" i="14" s="1"/>
  <c r="P721" i="11"/>
  <c r="P577" i="11"/>
  <c r="P726" i="11"/>
  <c r="P249" i="11"/>
  <c r="Q700" i="11"/>
  <c r="Q551" i="11"/>
  <c r="Q223" i="11"/>
  <c r="N718" i="11"/>
  <c r="N569" i="11"/>
  <c r="N307" i="14" s="1"/>
  <c r="E78" i="45"/>
  <c r="C37" i="47" s="1"/>
  <c r="E172" i="45"/>
  <c r="E189" i="45" s="1"/>
  <c r="M560" i="11"/>
  <c r="M561" i="11"/>
  <c r="M300" i="14" s="1"/>
  <c r="G10" i="45"/>
  <c r="G9" i="45" s="1"/>
  <c r="M1327" i="11"/>
  <c r="M1331" i="11" s="1"/>
  <c r="N564" i="11"/>
  <c r="N558" i="11"/>
  <c r="G109" i="45"/>
  <c r="M1400" i="11"/>
  <c r="M1402" i="11" s="1"/>
  <c r="O1394" i="11"/>
  <c r="I99" i="45"/>
  <c r="I98" i="45" s="1"/>
  <c r="N1396" i="11"/>
  <c r="N1398" i="11" s="1"/>
  <c r="H101" i="45"/>
  <c r="H181" i="45" s="1"/>
  <c r="E80" i="45"/>
  <c r="L1040" i="43"/>
  <c r="L1104" i="43" s="1"/>
  <c r="F70" i="42" s="1"/>
  <c r="N950" i="43"/>
  <c r="N983" i="43" s="1"/>
  <c r="N985" i="43" s="1"/>
  <c r="K1420" i="11"/>
  <c r="M709" i="11"/>
  <c r="G73" i="45" s="1"/>
  <c r="G81" i="45" s="1"/>
  <c r="M710" i="11"/>
  <c r="M711" i="11" s="1"/>
  <c r="E74" i="45"/>
  <c r="M1366" i="11"/>
  <c r="G70" i="45"/>
  <c r="G69" i="45" s="1"/>
  <c r="M1368" i="11"/>
  <c r="M1369" i="11"/>
  <c r="M1374" i="11"/>
  <c r="M1370" i="11"/>
  <c r="L1355" i="11"/>
  <c r="F66" i="45" s="1"/>
  <c r="F65" i="45"/>
  <c r="M1353" i="11"/>
  <c r="G64" i="45"/>
  <c r="K1375" i="11"/>
  <c r="F72" i="45"/>
  <c r="L1372" i="11"/>
  <c r="M1357" i="11"/>
  <c r="M1351" i="11"/>
  <c r="M1352" i="11"/>
  <c r="K1358" i="11"/>
  <c r="M1349" i="11"/>
  <c r="N1346" i="11"/>
  <c r="N1363" i="11"/>
  <c r="N1435" i="11" s="1"/>
  <c r="O149" i="43"/>
  <c r="O335" i="43"/>
  <c r="N1209" i="43"/>
  <c r="N971" i="43"/>
  <c r="N1034" i="43"/>
  <c r="O770" i="43"/>
  <c r="O292" i="43"/>
  <c r="N861" i="43"/>
  <c r="M1095" i="43"/>
  <c r="M1100" i="43" s="1"/>
  <c r="G82" i="42" s="1"/>
  <c r="O95" i="43"/>
  <c r="O60" i="43"/>
  <c r="O71" i="43"/>
  <c r="O932" i="43"/>
  <c r="N1081" i="43"/>
  <c r="O89" i="43"/>
  <c r="N1026" i="43"/>
  <c r="P1071" i="43"/>
  <c r="P1098" i="43" s="1"/>
  <c r="P1016" i="43"/>
  <c r="P23" i="43"/>
  <c r="P38" i="43" s="1"/>
  <c r="N1083" i="43"/>
  <c r="O1076" i="43"/>
  <c r="O1088" i="43"/>
  <c r="O1084" i="43"/>
  <c r="O1074" i="43"/>
  <c r="O1087" i="43"/>
  <c r="O1075" i="43"/>
  <c r="O1077" i="43"/>
  <c r="O1086" i="43"/>
  <c r="O1080" i="43"/>
  <c r="O1085" i="43"/>
  <c r="O1216" i="43"/>
  <c r="O1218" i="43" s="1"/>
  <c r="O1220" i="43" s="1"/>
  <c r="O1222" i="43" s="1"/>
  <c r="O1079" i="43"/>
  <c r="O1078" i="43"/>
  <c r="Q32" i="43"/>
  <c r="O1025" i="43"/>
  <c r="O1022" i="43"/>
  <c r="O1031" i="43"/>
  <c r="O1023" i="43"/>
  <c r="O1024" i="43"/>
  <c r="O1020" i="43"/>
  <c r="O1019" i="43"/>
  <c r="O1030" i="43"/>
  <c r="O1033" i="43"/>
  <c r="O1021" i="43"/>
  <c r="O1032" i="43"/>
  <c r="O1029" i="43"/>
  <c r="P37" i="43"/>
  <c r="P54" i="43" s="1"/>
  <c r="M1038" i="43"/>
  <c r="M1028" i="43" s="1"/>
  <c r="M1035" i="43" s="1"/>
  <c r="O77" i="43"/>
  <c r="R20" i="43"/>
  <c r="Q21" i="43"/>
  <c r="Q37" i="43" s="1"/>
  <c r="Q932" i="43" s="1"/>
  <c r="O54" i="43"/>
  <c r="O555" i="11"/>
  <c r="L457" i="11"/>
  <c r="M1408" i="11"/>
  <c r="M1410" i="11" s="1"/>
  <c r="G47" i="45"/>
  <c r="N487" i="11"/>
  <c r="N488" i="11" s="1"/>
  <c r="N486" i="11"/>
  <c r="H14" i="45" s="1"/>
  <c r="H23" i="45" s="1"/>
  <c r="G41" i="45"/>
  <c r="G39" i="45" s="1"/>
  <c r="L493" i="11"/>
  <c r="L231" i="14"/>
  <c r="L207" i="48" s="1"/>
  <c r="N453" i="11"/>
  <c r="N451" i="11"/>
  <c r="H13" i="45" s="1"/>
  <c r="H22" i="45" s="1"/>
  <c r="M453" i="11"/>
  <c r="M451" i="11"/>
  <c r="G13" i="45" s="1"/>
  <c r="G22" i="45" s="1"/>
  <c r="O449" i="11"/>
  <c r="K171" i="41"/>
  <c r="K173" i="41" s="1"/>
  <c r="L492" i="11"/>
  <c r="L238" i="11"/>
  <c r="L715" i="11"/>
  <c r="L566" i="11"/>
  <c r="L208" i="14"/>
  <c r="L184" i="48" s="1"/>
  <c r="F49" i="40" s="1"/>
  <c r="P3" i="42"/>
  <c r="K210" i="14"/>
  <c r="K225" i="14" s="1"/>
  <c r="J176" i="41"/>
  <c r="P845" i="43"/>
  <c r="P859" i="43" s="1"/>
  <c r="P858" i="43"/>
  <c r="Q123" i="43"/>
  <c r="R109" i="43"/>
  <c r="Q683" i="43"/>
  <c r="R682" i="43"/>
  <c r="P692" i="43"/>
  <c r="P685" i="43"/>
  <c r="P693" i="43" s="1"/>
  <c r="Q117" i="43"/>
  <c r="R103" i="43"/>
  <c r="O868" i="43"/>
  <c r="O870" i="43" s="1"/>
  <c r="O879" i="43"/>
  <c r="O881" i="43" s="1"/>
  <c r="P454" i="43"/>
  <c r="P452" i="43"/>
  <c r="O571" i="43"/>
  <c r="O573" i="43" s="1"/>
  <c r="O614" i="43" s="1"/>
  <c r="O616" i="43" s="1"/>
  <c r="P570" i="43"/>
  <c r="J629" i="43"/>
  <c r="J631" i="43" s="1"/>
  <c r="J607" i="43" s="1"/>
  <c r="J592" i="43"/>
  <c r="Q688" i="43"/>
  <c r="Q690" i="43" s="1"/>
  <c r="R687" i="43"/>
  <c r="R547" i="43"/>
  <c r="Q558" i="43"/>
  <c r="R262" i="43"/>
  <c r="Q275" i="43"/>
  <c r="Q75" i="43"/>
  <c r="R74" i="43"/>
  <c r="R260" i="43"/>
  <c r="Q273" i="43"/>
  <c r="P566" i="43"/>
  <c r="P568" i="43" s="1"/>
  <c r="Q565" i="43"/>
  <c r="R448" i="43"/>
  <c r="Q449" i="43"/>
  <c r="R543" i="43"/>
  <c r="Q554" i="43"/>
  <c r="R257" i="43"/>
  <c r="Q270" i="43"/>
  <c r="Q87" i="43"/>
  <c r="R86" i="43"/>
  <c r="L586" i="43"/>
  <c r="M585" i="43"/>
  <c r="O535" i="43"/>
  <c r="O506" i="43"/>
  <c r="O494" i="43"/>
  <c r="O518" i="43"/>
  <c r="O512" i="43"/>
  <c r="O488" i="43"/>
  <c r="Q230" i="43"/>
  <c r="R229" i="43"/>
  <c r="P763" i="43"/>
  <c r="R63" i="43"/>
  <c r="Q65" i="43"/>
  <c r="R253" i="43"/>
  <c r="Q266" i="43"/>
  <c r="Q52" i="43"/>
  <c r="R51" i="43"/>
  <c r="K588" i="43"/>
  <c r="K591" i="43"/>
  <c r="P549" i="43"/>
  <c r="Q58" i="43"/>
  <c r="R57" i="43"/>
  <c r="R201" i="43"/>
  <c r="Q202" i="43"/>
  <c r="Q304" i="43" s="1"/>
  <c r="R545" i="43"/>
  <c r="Q556" i="43"/>
  <c r="N780" i="43"/>
  <c r="N782" i="43" s="1"/>
  <c r="N791" i="43"/>
  <c r="N793" i="43" s="1"/>
  <c r="R539" i="43"/>
  <c r="Q550" i="43"/>
  <c r="R100" i="43"/>
  <c r="Q114" i="43"/>
  <c r="R102" i="43"/>
  <c r="Q116" i="43"/>
  <c r="R546" i="43"/>
  <c r="Q557" i="43"/>
  <c r="P391" i="43"/>
  <c r="P394" i="43" s="1"/>
  <c r="P161" i="43"/>
  <c r="P164" i="43" s="1"/>
  <c r="P347" i="43"/>
  <c r="P350" i="43" s="1"/>
  <c r="N576" i="43"/>
  <c r="N578" i="43" s="1"/>
  <c r="N619" i="43" s="1"/>
  <c r="N621" i="43" s="1"/>
  <c r="O575" i="43"/>
  <c r="Q121" i="43"/>
  <c r="R107" i="43"/>
  <c r="M581" i="43"/>
  <c r="M583" i="43" s="1"/>
  <c r="M624" i="43" s="1"/>
  <c r="M626" i="43" s="1"/>
  <c r="N580" i="43"/>
  <c r="R540" i="43"/>
  <c r="Q551" i="43"/>
  <c r="R544" i="43"/>
  <c r="Q555" i="43"/>
  <c r="Q48" i="43"/>
  <c r="R46" i="43"/>
  <c r="R101" i="43"/>
  <c r="Q115" i="43"/>
  <c r="P306" i="43"/>
  <c r="M750" i="11"/>
  <c r="M752" i="11" s="1"/>
  <c r="M793" i="11" s="1"/>
  <c r="M795" i="11" s="1"/>
  <c r="N749" i="11"/>
  <c r="P402" i="43"/>
  <c r="P405" i="43" s="1"/>
  <c r="P358" i="43"/>
  <c r="P361" i="43" s="1"/>
  <c r="P172" i="43"/>
  <c r="P175" i="43" s="1"/>
  <c r="O771" i="43"/>
  <c r="L755" i="11"/>
  <c r="M754" i="11"/>
  <c r="R105" i="43"/>
  <c r="Q119" i="43"/>
  <c r="Q276" i="43"/>
  <c r="R263" i="43"/>
  <c r="P321" i="43"/>
  <c r="Q213" i="43"/>
  <c r="Q319" i="43" s="1"/>
  <c r="Q321" i="43" s="1"/>
  <c r="R212" i="43"/>
  <c r="K760" i="11"/>
  <c r="E20" i="40" s="1"/>
  <c r="K757" i="11"/>
  <c r="P125" i="43"/>
  <c r="P111" i="43"/>
  <c r="Q120" i="43"/>
  <c r="R106" i="43"/>
  <c r="R256" i="43"/>
  <c r="Q269" i="43"/>
  <c r="N456" i="43"/>
  <c r="Q122" i="43"/>
  <c r="R108" i="43"/>
  <c r="R254" i="43"/>
  <c r="Q267" i="43"/>
  <c r="P766" i="43"/>
  <c r="P768" i="43" s="1"/>
  <c r="Q765" i="43"/>
  <c r="O693" i="43"/>
  <c r="R241" i="43"/>
  <c r="Q242" i="43"/>
  <c r="P278" i="43"/>
  <c r="P265" i="43"/>
  <c r="P439" i="43" s="1"/>
  <c r="P441" i="43" s="1"/>
  <c r="R92" i="43"/>
  <c r="Q93" i="43"/>
  <c r="Q853" i="43"/>
  <c r="Q855" i="43" s="1"/>
  <c r="R852" i="43"/>
  <c r="R259" i="43"/>
  <c r="Q272" i="43"/>
  <c r="Q112" i="43"/>
  <c r="R98" i="43"/>
  <c r="R104" i="43"/>
  <c r="Q118" i="43"/>
  <c r="J798" i="11"/>
  <c r="J800" i="11" s="1"/>
  <c r="J776" i="11" s="1"/>
  <c r="J761" i="11"/>
  <c r="R223" i="43"/>
  <c r="Q224" i="43"/>
  <c r="Q309" i="43" s="1"/>
  <c r="Q311" i="43" s="1"/>
  <c r="R255" i="43"/>
  <c r="Q268" i="43"/>
  <c r="M1124" i="43"/>
  <c r="R541" i="43"/>
  <c r="Q552" i="43"/>
  <c r="R542" i="43"/>
  <c r="Q553" i="43"/>
  <c r="R235" i="43"/>
  <c r="Q236" i="43"/>
  <c r="R258" i="43"/>
  <c r="Q271" i="43"/>
  <c r="Q761" i="43"/>
  <c r="R760" i="43"/>
  <c r="R261" i="43"/>
  <c r="Q274" i="43"/>
  <c r="Q843" i="43"/>
  <c r="R842" i="43"/>
  <c r="G16" i="40"/>
  <c r="G22" i="40" s="1"/>
  <c r="G6" i="40" s="1"/>
  <c r="G21" i="40"/>
  <c r="M1425" i="11"/>
  <c r="N1278" i="11"/>
  <c r="H4" i="45" s="1"/>
  <c r="H2" i="45" s="1"/>
  <c r="N1302" i="11"/>
  <c r="M1182" i="43"/>
  <c r="M1184" i="43" s="1"/>
  <c r="M1187" i="43" s="1"/>
  <c r="M1188" i="43" s="1"/>
  <c r="N591" i="11"/>
  <c r="N643" i="11" s="1"/>
  <c r="N1178" i="43"/>
  <c r="N1180" i="43" s="1"/>
  <c r="N1186" i="43" s="1"/>
  <c r="N589" i="11"/>
  <c r="H27" i="40"/>
  <c r="J216" i="14"/>
  <c r="I189" i="41" s="1"/>
  <c r="I190" i="41" s="1"/>
  <c r="N1133" i="43"/>
  <c r="N1171" i="43" s="1"/>
  <c r="H69" i="42" s="1"/>
  <c r="Q331" i="43"/>
  <c r="K26" i="40"/>
  <c r="Q406" i="11"/>
  <c r="Q408" i="11"/>
  <c r="R329" i="43"/>
  <c r="R333" i="43" s="1"/>
  <c r="R403" i="11"/>
  <c r="R404" i="11" s="1"/>
  <c r="D88" i="40"/>
  <c r="D19" i="46" s="1"/>
  <c r="O495" i="11"/>
  <c r="J357" i="14"/>
  <c r="J313" i="14"/>
  <c r="K348" i="14"/>
  <c r="M713" i="11"/>
  <c r="N704" i="11"/>
  <c r="N707" i="11" s="1"/>
  <c r="L716" i="11"/>
  <c r="L346" i="14"/>
  <c r="L322" i="48" s="1"/>
  <c r="P362" i="14"/>
  <c r="P316" i="14"/>
  <c r="P523" i="14"/>
  <c r="N490" i="11"/>
  <c r="M233" i="14"/>
  <c r="P224" i="14"/>
  <c r="P247" i="14"/>
  <c r="I27" i="40"/>
  <c r="N495" i="11"/>
  <c r="P445" i="11"/>
  <c r="P498" i="11"/>
  <c r="P503" i="11"/>
  <c r="Q1275" i="11"/>
  <c r="Q477" i="11"/>
  <c r="K140" i="41"/>
  <c r="K142" i="41" s="1"/>
  <c r="N440" i="11"/>
  <c r="N1013" i="43"/>
  <c r="N1004" i="43" s="1"/>
  <c r="N1011" i="43" s="1"/>
  <c r="R290" i="43"/>
  <c r="R288" i="43"/>
  <c r="T285" i="43"/>
  <c r="S328" i="43"/>
  <c r="S286" i="43"/>
  <c r="N1170" i="43"/>
  <c r="H63" i="42" s="1"/>
  <c r="P244" i="43"/>
  <c r="P226" i="43"/>
  <c r="P204" i="43"/>
  <c r="P215" i="43"/>
  <c r="P232" i="43"/>
  <c r="P238" i="43"/>
  <c r="O1130" i="43"/>
  <c r="N260" i="11"/>
  <c r="P1147" i="43"/>
  <c r="P1155" i="43"/>
  <c r="P1144" i="43"/>
  <c r="P1227" i="43"/>
  <c r="P1229" i="43" s="1"/>
  <c r="P1232" i="43" s="1"/>
  <c r="P1153" i="43"/>
  <c r="P1145" i="43"/>
  <c r="P1151" i="43"/>
  <c r="P1146" i="43"/>
  <c r="P1142" i="43"/>
  <c r="P1152" i="43"/>
  <c r="P1143" i="43"/>
  <c r="P1141" i="43"/>
  <c r="P1165" i="43"/>
  <c r="P1119" i="43"/>
  <c r="P1129" i="43"/>
  <c r="P1117" i="43"/>
  <c r="P1126" i="43"/>
  <c r="P1120" i="43"/>
  <c r="P1118" i="43"/>
  <c r="P1125" i="43"/>
  <c r="P1116" i="43"/>
  <c r="P1121" i="43"/>
  <c r="P1115" i="43"/>
  <c r="P1128" i="43"/>
  <c r="P1127" i="43"/>
  <c r="O189" i="43"/>
  <c r="O433" i="43" s="1"/>
  <c r="O435" i="43" s="1"/>
  <c r="O421" i="43" s="1"/>
  <c r="S180" i="43"/>
  <c r="R181" i="43"/>
  <c r="R184" i="43"/>
  <c r="O1122" i="43"/>
  <c r="Q185" i="43"/>
  <c r="Q1138" i="43"/>
  <c r="Q1112" i="43"/>
  <c r="Q187" i="43"/>
  <c r="Q177" i="43"/>
  <c r="Q176" i="43" s="1"/>
  <c r="O1148" i="43"/>
  <c r="N1166" i="43"/>
  <c r="H76" i="42" s="1"/>
  <c r="O1057" i="43"/>
  <c r="P1050" i="43"/>
  <c r="P1049" i="43"/>
  <c r="P1051" i="43"/>
  <c r="P1054" i="43"/>
  <c r="P1211" i="43"/>
  <c r="P1213" i="43" s="1"/>
  <c r="P1053" i="43"/>
  <c r="P1048" i="43"/>
  <c r="P1052" i="43"/>
  <c r="O1002" i="43"/>
  <c r="O1055" i="43"/>
  <c r="N1068" i="43"/>
  <c r="S25" i="43"/>
  <c r="R26" i="43"/>
  <c r="Q1045" i="43"/>
  <c r="Q992" i="43"/>
  <c r="Q28" i="43"/>
  <c r="O1010" i="43"/>
  <c r="P1062" i="43"/>
  <c r="P1009" i="43"/>
  <c r="P1006" i="43"/>
  <c r="P995" i="43"/>
  <c r="P997" i="43"/>
  <c r="P1007" i="43"/>
  <c r="P1005" i="43"/>
  <c r="P1008" i="43"/>
  <c r="P1059" i="43"/>
  <c r="P1061" i="43"/>
  <c r="P996" i="43"/>
  <c r="P1058" i="43"/>
  <c r="P1060" i="43"/>
  <c r="P999" i="43"/>
  <c r="P1001" i="43"/>
  <c r="P1000" i="43"/>
  <c r="P998" i="43"/>
  <c r="I25" i="40"/>
  <c r="I18" i="40"/>
  <c r="H18" i="40"/>
  <c r="M19" i="42"/>
  <c r="M21" i="42" s="1"/>
  <c r="Q14" i="42"/>
  <c r="G12" i="40"/>
  <c r="G5" i="40" s="1"/>
  <c r="N12" i="42"/>
  <c r="N18" i="42"/>
  <c r="M1415" i="11"/>
  <c r="K1205" i="11"/>
  <c r="M1285" i="11"/>
  <c r="M1290" i="11"/>
  <c r="M1292" i="11"/>
  <c r="M1284" i="11"/>
  <c r="M1282" i="11"/>
  <c r="M1286" i="11"/>
  <c r="M1291" i="11"/>
  <c r="M1283" i="11"/>
  <c r="M1309" i="11"/>
  <c r="M1307" i="11"/>
  <c r="M1314" i="11"/>
  <c r="M1306" i="11"/>
  <c r="M1308" i="11"/>
  <c r="M1316" i="11"/>
  <c r="M1315" i="11"/>
  <c r="M1310" i="11"/>
  <c r="M1203" i="11"/>
  <c r="M1172" i="11"/>
  <c r="K1206" i="11"/>
  <c r="M1264" i="11"/>
  <c r="L1204" i="11"/>
  <c r="K1185" i="11"/>
  <c r="K1177" i="11" s="1"/>
  <c r="K1183" i="11" s="1"/>
  <c r="L1197" i="11"/>
  <c r="L1208" i="11" s="1"/>
  <c r="L1199" i="11" s="1"/>
  <c r="M1194" i="11"/>
  <c r="M1200" i="11"/>
  <c r="J1210" i="11"/>
  <c r="J1270" i="11" s="1"/>
  <c r="D35" i="42" s="1"/>
  <c r="L1182" i="11"/>
  <c r="M1201" i="11"/>
  <c r="M1195" i="11"/>
  <c r="M1202" i="11"/>
  <c r="M1169" i="11"/>
  <c r="N1188" i="11"/>
  <c r="N1239" i="11"/>
  <c r="N1413" i="11" s="1"/>
  <c r="M1191" i="11"/>
  <c r="M1192" i="11"/>
  <c r="M1173" i="11"/>
  <c r="M1247" i="11"/>
  <c r="M1246" i="11"/>
  <c r="M1254" i="11"/>
  <c r="M1253" i="11"/>
  <c r="M1252" i="11"/>
  <c r="M1242" i="11"/>
  <c r="M1245" i="11"/>
  <c r="M1251" i="11"/>
  <c r="M1243" i="11"/>
  <c r="M1244" i="11"/>
  <c r="M1196" i="11"/>
  <c r="M1193" i="11"/>
  <c r="M1181" i="11"/>
  <c r="M1178" i="11"/>
  <c r="L1175" i="11"/>
  <c r="M1170" i="11"/>
  <c r="M1179" i="11"/>
  <c r="M1171" i="11"/>
  <c r="M1180" i="11"/>
  <c r="M1227" i="11"/>
  <c r="M1228" i="11"/>
  <c r="M1229" i="11"/>
  <c r="M1174" i="11"/>
  <c r="M1220" i="11"/>
  <c r="M1219" i="11"/>
  <c r="M1221" i="11"/>
  <c r="M1223" i="11"/>
  <c r="M1218" i="11"/>
  <c r="M1222" i="11"/>
  <c r="N1166" i="11"/>
  <c r="N1215" i="11"/>
  <c r="M38" i="11"/>
  <c r="H14" i="40"/>
  <c r="N37" i="11"/>
  <c r="N60" i="11" s="1"/>
  <c r="O34" i="11"/>
  <c r="Q1163" i="11"/>
  <c r="O460" i="11"/>
  <c r="O191" i="11"/>
  <c r="N191" i="11"/>
  <c r="P201" i="14"/>
  <c r="O2" i="41"/>
  <c r="N169" i="14"/>
  <c r="P68" i="14"/>
  <c r="P44" i="48" s="1"/>
  <c r="K79" i="14"/>
  <c r="K81" i="14" s="1"/>
  <c r="K86" i="14"/>
  <c r="P188" i="11"/>
  <c r="O455" i="11"/>
  <c r="N7" i="41"/>
  <c r="N9" i="41" s="1"/>
  <c r="Q184" i="11"/>
  <c r="Q441" i="11"/>
  <c r="Q170" i="11"/>
  <c r="Q176" i="11"/>
  <c r="Q213" i="11" s="1"/>
  <c r="P27" i="19"/>
  <c r="P463" i="11"/>
  <c r="P468" i="11"/>
  <c r="N455" i="11"/>
  <c r="J1142" i="11"/>
  <c r="J1144" i="11" s="1"/>
  <c r="P1106" i="11"/>
  <c r="J1119" i="11"/>
  <c r="N460" i="11"/>
  <c r="M192" i="11"/>
  <c r="M75" i="14"/>
  <c r="L76" i="14"/>
  <c r="K25" i="41" s="1"/>
  <c r="K26" i="41" s="1"/>
  <c r="N29" i="11"/>
  <c r="H13" i="40"/>
  <c r="N277" i="14"/>
  <c r="E33" i="40"/>
  <c r="E34" i="40"/>
  <c r="O516" i="11"/>
  <c r="I30" i="40"/>
  <c r="I7" i="40" s="1"/>
  <c r="N252" i="11"/>
  <c r="N251" i="11" s="1"/>
  <c r="H17" i="40"/>
  <c r="H21" i="40" s="1"/>
  <c r="O365" i="11"/>
  <c r="L190" i="11"/>
  <c r="M202" i="11"/>
  <c r="M205" i="11" s="1"/>
  <c r="K202" i="14"/>
  <c r="K190" i="14"/>
  <c r="E89" i="40" s="1"/>
  <c r="J202" i="14"/>
  <c r="J190" i="14"/>
  <c r="D89" i="40" s="1"/>
  <c r="L436" i="11"/>
  <c r="L410" i="11" s="1"/>
  <c r="P84" i="14"/>
  <c r="BT62" i="38"/>
  <c r="BT70" i="38"/>
  <c r="BT61" i="38"/>
  <c r="BT64" i="38"/>
  <c r="BT66" i="38"/>
  <c r="BT65" i="38"/>
  <c r="BT60" i="38"/>
  <c r="BT68" i="38"/>
  <c r="BT59" i="38"/>
  <c r="BT63" i="38"/>
  <c r="BT67" i="38"/>
  <c r="BT58" i="38"/>
  <c r="BJ59" i="38"/>
  <c r="BJ64" i="38"/>
  <c r="BJ67" i="38"/>
  <c r="BJ62" i="38"/>
  <c r="BJ58" i="38"/>
  <c r="BU57" i="38"/>
  <c r="BU63" i="38" s="1"/>
  <c r="BJ70" i="38"/>
  <c r="BJ63" i="38"/>
  <c r="BK57" i="38"/>
  <c r="BV57" i="38" s="1"/>
  <c r="BJ61" i="38"/>
  <c r="BJ60" i="38"/>
  <c r="BJ66" i="38"/>
  <c r="BJ69" i="38"/>
  <c r="BJ68" i="38"/>
  <c r="P14" i="19"/>
  <c r="Q12" i="19"/>
  <c r="BS59" i="38"/>
  <c r="BS58" i="38"/>
  <c r="BS64" i="38"/>
  <c r="BS66" i="38"/>
  <c r="BS67" i="38"/>
  <c r="BS68" i="38"/>
  <c r="BS61" i="38"/>
  <c r="BS60" i="38"/>
  <c r="BS69" i="38"/>
  <c r="BS62" i="38"/>
  <c r="BS70" i="38"/>
  <c r="BS65" i="38"/>
  <c r="BS63" i="38"/>
  <c r="N57" i="35"/>
  <c r="Q8" i="36"/>
  <c r="R6" i="36"/>
  <c r="R7" i="36" s="1"/>
  <c r="Q9" i="36"/>
  <c r="Q11" i="36"/>
  <c r="Q12" i="36" s="1"/>
  <c r="O34" i="35"/>
  <c r="O69" i="35"/>
  <c r="O57" i="35" s="1"/>
  <c r="Q8" i="35"/>
  <c r="Q11" i="35"/>
  <c r="Q12" i="35" s="1"/>
  <c r="Q9" i="35"/>
  <c r="R6" i="35"/>
  <c r="R7" i="35" s="1"/>
  <c r="P22" i="36"/>
  <c r="P21" i="36"/>
  <c r="P14" i="35"/>
  <c r="P22" i="35"/>
  <c r="P21" i="35"/>
  <c r="M90" i="23"/>
  <c r="N90" i="23" s="1"/>
  <c r="L79" i="24"/>
  <c r="L79" i="25" s="1"/>
  <c r="L73" i="24"/>
  <c r="L73" i="25" s="1"/>
  <c r="O70" i="24"/>
  <c r="O70" i="25" s="1"/>
  <c r="P78" i="24"/>
  <c r="P78" i="25" s="1"/>
  <c r="N84" i="23"/>
  <c r="M73" i="24"/>
  <c r="M73" i="25" s="1"/>
  <c r="P96" i="15"/>
  <c r="M32" i="28"/>
  <c r="M82" i="23"/>
  <c r="O47" i="28"/>
  <c r="N36" i="28"/>
  <c r="O45" i="28"/>
  <c r="O88" i="23" s="1"/>
  <c r="O40" i="28"/>
  <c r="P8" i="28"/>
  <c r="P52" i="28" s="1"/>
  <c r="Q6" i="28"/>
  <c r="Q7" i="28" s="1"/>
  <c r="Q9" i="28" s="1"/>
  <c r="Q35" i="28" s="1"/>
  <c r="P9" i="28"/>
  <c r="P35" i="28" s="1"/>
  <c r="P14" i="28"/>
  <c r="Q104" i="15"/>
  <c r="P360" i="11"/>
  <c r="P361" i="11" s="1"/>
  <c r="R1515" i="11"/>
  <c r="R1517" i="11" s="1"/>
  <c r="Q357" i="41" s="1"/>
  <c r="O348" i="11"/>
  <c r="P337" i="11"/>
  <c r="Q337" i="11" s="1"/>
  <c r="O363" i="11"/>
  <c r="M1030" i="11"/>
  <c r="N960" i="11"/>
  <c r="N962" i="11" s="1"/>
  <c r="P734" i="11"/>
  <c r="P735" i="11" s="1"/>
  <c r="P737" i="11" s="1"/>
  <c r="P778" i="11" s="1"/>
  <c r="P780" i="11" s="1"/>
  <c r="N415" i="14"/>
  <c r="N391" i="48" s="1"/>
  <c r="O115" i="11"/>
  <c r="P100" i="11"/>
  <c r="P114" i="11" s="1"/>
  <c r="O691" i="11"/>
  <c r="O122" i="11"/>
  <c r="N609" i="11"/>
  <c r="P929" i="11"/>
  <c r="P930" i="11" s="1"/>
  <c r="P932" i="11" s="1"/>
  <c r="P1016" i="11"/>
  <c r="P1017" i="11" s="1"/>
  <c r="P1019" i="11" s="1"/>
  <c r="P1094" i="11"/>
  <c r="P1096" i="11" s="1"/>
  <c r="P1097" i="11" s="1"/>
  <c r="O916" i="11"/>
  <c r="N1009" i="11"/>
  <c r="N1028" i="11" s="1"/>
  <c r="P1021" i="11"/>
  <c r="P1022" i="11" s="1"/>
  <c r="P1024" i="11" s="1"/>
  <c r="O518" i="11"/>
  <c r="P51" i="11"/>
  <c r="Q51" i="11" s="1"/>
  <c r="P513" i="11"/>
  <c r="P514" i="11" s="1"/>
  <c r="P1391" i="11" s="1"/>
  <c r="M942" i="11"/>
  <c r="P1011" i="11"/>
  <c r="P1012" i="11" s="1"/>
  <c r="P1014" i="11" s="1"/>
  <c r="P851" i="11"/>
  <c r="P852" i="11" s="1"/>
  <c r="P856" i="11"/>
  <c r="P857" i="11" s="1"/>
  <c r="P859" i="11" s="1"/>
  <c r="P1099" i="11"/>
  <c r="P1103" i="11" s="1"/>
  <c r="O65" i="11"/>
  <c r="O939" i="11"/>
  <c r="P744" i="11"/>
  <c r="P745" i="11" s="1"/>
  <c r="P747" i="11" s="1"/>
  <c r="P788" i="11" s="1"/>
  <c r="P790" i="11" s="1"/>
  <c r="P934" i="11"/>
  <c r="P935" i="11" s="1"/>
  <c r="P937" i="11" s="1"/>
  <c r="O1028" i="11"/>
  <c r="O861" i="11"/>
  <c r="O1027" i="11"/>
  <c r="P739" i="11"/>
  <c r="P740" i="11" s="1"/>
  <c r="P742" i="11" s="1"/>
  <c r="P783" i="11" s="1"/>
  <c r="P785" i="11" s="1"/>
  <c r="O48" i="11"/>
  <c r="N392" i="14"/>
  <c r="N368" i="48" s="1"/>
  <c r="N871" i="11"/>
  <c r="N873" i="11" s="1"/>
  <c r="Q634" i="11"/>
  <c r="M655" i="11"/>
  <c r="Q813" i="11"/>
  <c r="M631" i="11"/>
  <c r="Q887" i="11"/>
  <c r="Q965" i="11"/>
  <c r="M625" i="11"/>
  <c r="M60" i="11"/>
  <c r="L367" i="11"/>
  <c r="M71" i="11"/>
  <c r="N891" i="11"/>
  <c r="N396" i="14" s="1"/>
  <c r="N372" i="48" s="1"/>
  <c r="M864" i="11"/>
  <c r="M290" i="11"/>
  <c r="K534" i="11"/>
  <c r="K536" i="11" s="1"/>
  <c r="K522" i="11" s="1"/>
  <c r="N686" i="11"/>
  <c r="N327" i="14" s="1"/>
  <c r="N303" i="48" s="1"/>
  <c r="O169" i="14"/>
  <c r="L264" i="11"/>
  <c r="O520" i="11"/>
  <c r="P332" i="11"/>
  <c r="O345" i="11"/>
  <c r="Q98" i="11"/>
  <c r="P112" i="11"/>
  <c r="Q322" i="11"/>
  <c r="P324" i="11"/>
  <c r="P628" i="11"/>
  <c r="O629" i="11"/>
  <c r="P329" i="11"/>
  <c r="O342" i="11"/>
  <c r="M313" i="11"/>
  <c r="M319" i="11"/>
  <c r="M307" i="11"/>
  <c r="P955" i="11"/>
  <c r="O957" i="11"/>
  <c r="Q104" i="11"/>
  <c r="P118" i="11"/>
  <c r="P68" i="11"/>
  <c r="O69" i="11"/>
  <c r="P86" i="11"/>
  <c r="O87" i="11"/>
  <c r="P612" i="11"/>
  <c r="O614" i="11"/>
  <c r="P107" i="11"/>
  <c r="O121" i="11"/>
  <c r="J156" i="14"/>
  <c r="J144" i="14"/>
  <c r="D86" i="40" s="1"/>
  <c r="P99" i="11"/>
  <c r="O113" i="11"/>
  <c r="P287" i="11"/>
  <c r="O288" i="11"/>
  <c r="M465" i="14"/>
  <c r="P679" i="11"/>
  <c r="O690" i="11"/>
  <c r="P1070" i="11"/>
  <c r="O1072" i="11"/>
  <c r="O984" i="11"/>
  <c r="P982" i="11"/>
  <c r="Q333" i="11"/>
  <c r="P346" i="11"/>
  <c r="P21" i="11"/>
  <c r="P22" i="11" s="1"/>
  <c r="M323" i="14"/>
  <c r="M635" i="11"/>
  <c r="M637" i="11" s="1"/>
  <c r="P336" i="11"/>
  <c r="O349" i="11"/>
  <c r="P282" i="11"/>
  <c r="O284" i="11"/>
  <c r="O476" i="11" s="1"/>
  <c r="O699" i="11" s="1"/>
  <c r="P683" i="11"/>
  <c r="O694" i="11"/>
  <c r="P640" i="11"/>
  <c r="O641" i="11"/>
  <c r="M643" i="11"/>
  <c r="N340" i="11"/>
  <c r="N353" i="11"/>
  <c r="N122" i="14" s="1"/>
  <c r="N98" i="48" s="1"/>
  <c r="M649" i="11"/>
  <c r="Q877" i="11"/>
  <c r="P879" i="11"/>
  <c r="M540" i="11"/>
  <c r="M542" i="11" s="1"/>
  <c r="M119" i="14"/>
  <c r="M95" i="48" s="1"/>
  <c r="P652" i="11"/>
  <c r="O653" i="11"/>
  <c r="Q101" i="11"/>
  <c r="P115" i="11"/>
  <c r="O940" i="11"/>
  <c r="P831" i="11"/>
  <c r="O833" i="11"/>
  <c r="Q109" i="11"/>
  <c r="P123" i="11"/>
  <c r="Q46" i="11"/>
  <c r="P48" i="11"/>
  <c r="R8" i="11"/>
  <c r="S6" i="11"/>
  <c r="S7" i="11" s="1"/>
  <c r="R9" i="11"/>
  <c r="R1460" i="11" s="1"/>
  <c r="R11" i="11"/>
  <c r="R12" i="11" s="1"/>
  <c r="P334" i="11"/>
  <c r="O347" i="11"/>
  <c r="O862" i="11"/>
  <c r="P681" i="11"/>
  <c r="O692" i="11"/>
  <c r="P622" i="11"/>
  <c r="O623" i="11"/>
  <c r="S11" i="6"/>
  <c r="S8" i="6"/>
  <c r="S9" i="6"/>
  <c r="T6" i="6"/>
  <c r="T7" i="6" s="1"/>
  <c r="N262" i="11"/>
  <c r="N290" i="11" s="1"/>
  <c r="P26" i="11"/>
  <c r="O27" i="11"/>
  <c r="O1108" i="11" s="1"/>
  <c r="O1109" i="11" s="1"/>
  <c r="Q74" i="11"/>
  <c r="P75" i="11"/>
  <c r="P1065" i="11"/>
  <c r="O1067" i="11"/>
  <c r="N379" i="11"/>
  <c r="N161" i="11" s="1"/>
  <c r="N164" i="11" s="1"/>
  <c r="P1085" i="11"/>
  <c r="O1087" i="11"/>
  <c r="P271" i="11"/>
  <c r="O273" i="11"/>
  <c r="L1030" i="11"/>
  <c r="N818" i="11"/>
  <c r="N373" i="14" s="1"/>
  <c r="N349" i="48" s="1"/>
  <c r="M381" i="11"/>
  <c r="M422" i="11"/>
  <c r="M425" i="11" s="1"/>
  <c r="Q1091" i="11"/>
  <c r="Q31" i="11" s="1"/>
  <c r="Q771" i="11"/>
  <c r="Q1003" i="11"/>
  <c r="Q848" i="11"/>
  <c r="Q1036" i="11"/>
  <c r="Q926" i="11"/>
  <c r="Q1473" i="11"/>
  <c r="Q1006" i="11"/>
  <c r="Q948" i="11"/>
  <c r="Q870" i="11"/>
  <c r="Q400" i="11"/>
  <c r="Q357" i="11"/>
  <c r="Q582" i="11"/>
  <c r="Q731" i="11"/>
  <c r="Q510" i="11"/>
  <c r="Q92" i="11"/>
  <c r="P93" i="11"/>
  <c r="Q904" i="11"/>
  <c r="P906" i="11"/>
  <c r="Q304" i="11"/>
  <c r="P305" i="11"/>
  <c r="P977" i="11"/>
  <c r="O979" i="11"/>
  <c r="P255" i="11"/>
  <c r="R256" i="11" s="1"/>
  <c r="R442" i="11" s="1"/>
  <c r="P894" i="11"/>
  <c r="O896" i="11"/>
  <c r="O999" i="11"/>
  <c r="P997" i="11"/>
  <c r="Q335" i="11"/>
  <c r="P348" i="11"/>
  <c r="P276" i="11"/>
  <c r="O277" i="11"/>
  <c r="P987" i="11"/>
  <c r="O989" i="11"/>
  <c r="O146" i="14"/>
  <c r="N68" i="41" s="1"/>
  <c r="P646" i="11"/>
  <c r="O647" i="11"/>
  <c r="P821" i="11"/>
  <c r="O823" i="11"/>
  <c r="P808" i="11"/>
  <c r="O810" i="11"/>
  <c r="Q961" i="11"/>
  <c r="Q41" i="11"/>
  <c r="Q43" i="11" s="1"/>
  <c r="Q81" i="11" s="1"/>
  <c r="Q83" i="11" s="1"/>
  <c r="R12" i="6"/>
  <c r="Q266" i="11"/>
  <c r="Q268" i="11" s="1"/>
  <c r="Q867" i="11"/>
  <c r="Q945" i="11"/>
  <c r="Q422" i="14" s="1"/>
  <c r="Q398" i="48" s="1"/>
  <c r="Q1538" i="11"/>
  <c r="Q1542" i="11" s="1"/>
  <c r="Q1033" i="11"/>
  <c r="Q445" i="14" s="1"/>
  <c r="Q421" i="48" s="1"/>
  <c r="Q767" i="11"/>
  <c r="Q376" i="14" s="1"/>
  <c r="Q352" i="48" s="1"/>
  <c r="Q15" i="11"/>
  <c r="P682" i="11"/>
  <c r="O693" i="11"/>
  <c r="Q331" i="11"/>
  <c r="P344" i="11"/>
  <c r="S6" i="25"/>
  <c r="S7" i="25" s="1"/>
  <c r="R8" i="25"/>
  <c r="R36" i="25" s="1"/>
  <c r="R9" i="25"/>
  <c r="R11" i="25"/>
  <c r="R12" i="25" s="1"/>
  <c r="P669" i="11"/>
  <c r="O670" i="11"/>
  <c r="P1075" i="11"/>
  <c r="O1077" i="11"/>
  <c r="P919" i="11"/>
  <c r="O921" i="11"/>
  <c r="Q680" i="11"/>
  <c r="P691" i="11"/>
  <c r="N969" i="11"/>
  <c r="N419" i="14" s="1"/>
  <c r="N395" i="48" s="1"/>
  <c r="O586" i="11"/>
  <c r="I29" i="40" s="1"/>
  <c r="I9" i="40" s="1"/>
  <c r="P585" i="11"/>
  <c r="P1043" i="11"/>
  <c r="O1045" i="11"/>
  <c r="P1053" i="11"/>
  <c r="P899" i="11"/>
  <c r="O901" i="11"/>
  <c r="P103" i="11"/>
  <c r="O117" i="11"/>
  <c r="P102" i="11"/>
  <c r="O116" i="11"/>
  <c r="Q684" i="11"/>
  <c r="P695" i="11"/>
  <c r="Q310" i="11"/>
  <c r="P311" i="11"/>
  <c r="P57" i="11"/>
  <c r="O58" i="11"/>
  <c r="N24" i="11"/>
  <c r="P677" i="11"/>
  <c r="O688" i="11"/>
  <c r="P992" i="11"/>
  <c r="O994" i="11"/>
  <c r="P376" i="14"/>
  <c r="P352" i="48" s="1"/>
  <c r="O609" i="11"/>
  <c r="P602" i="11"/>
  <c r="P391" i="11"/>
  <c r="P371" i="11"/>
  <c r="P376" i="11"/>
  <c r="P607" i="11"/>
  <c r="P1007" i="11"/>
  <c r="L593" i="11"/>
  <c r="N111" i="11"/>
  <c r="N24" i="14" s="1"/>
  <c r="N125" i="11"/>
  <c r="N27" i="14" s="1"/>
  <c r="N27" i="48" s="1"/>
  <c r="P106" i="11"/>
  <c r="O120" i="11"/>
  <c r="M396" i="11"/>
  <c r="M433" i="11"/>
  <c r="P972" i="11"/>
  <c r="O974" i="11"/>
  <c r="P338" i="11"/>
  <c r="O351" i="11"/>
  <c r="O550" i="11" s="1"/>
  <c r="N1057" i="11"/>
  <c r="N442" i="14" s="1"/>
  <c r="N418" i="48" s="1"/>
  <c r="P526" i="11"/>
  <c r="P531" i="11"/>
  <c r="P826" i="11"/>
  <c r="O828" i="11"/>
  <c r="P105" i="11"/>
  <c r="O119" i="11"/>
  <c r="Q676" i="11"/>
  <c r="P687" i="11"/>
  <c r="P803" i="11"/>
  <c r="O805" i="11"/>
  <c r="P617" i="11"/>
  <c r="O619" i="11"/>
  <c r="Q8" i="14"/>
  <c r="Q108" i="14" s="1"/>
  <c r="R6" i="14"/>
  <c r="R7" i="14" s="1"/>
  <c r="Q9" i="14"/>
  <c r="P3" i="41" s="1"/>
  <c r="Q11" i="14"/>
  <c r="Q12" i="14" s="1"/>
  <c r="Q14" i="14" s="1"/>
  <c r="P1080" i="11"/>
  <c r="O1082" i="11"/>
  <c r="P330" i="11"/>
  <c r="O343" i="11"/>
  <c r="N384" i="11"/>
  <c r="N386" i="11" s="1"/>
  <c r="P419" i="11"/>
  <c r="P414" i="11"/>
  <c r="P430" i="11"/>
  <c r="R14" i="23"/>
  <c r="P836" i="11"/>
  <c r="O838" i="11"/>
  <c r="P328" i="11"/>
  <c r="O341" i="11"/>
  <c r="Q108" i="11"/>
  <c r="P122" i="11"/>
  <c r="P1060" i="11"/>
  <c r="O1062" i="11"/>
  <c r="P298" i="11"/>
  <c r="O299" i="11"/>
  <c r="P678" i="11"/>
  <c r="O689" i="11"/>
  <c r="M95" i="11"/>
  <c r="M54" i="11"/>
  <c r="M77" i="11"/>
  <c r="M301" i="11"/>
  <c r="P65" i="11"/>
  <c r="Q63" i="11"/>
  <c r="Q316" i="11"/>
  <c r="P317" i="11"/>
  <c r="N394" i="11"/>
  <c r="P841" i="11"/>
  <c r="O843" i="11"/>
  <c r="S25" i="19"/>
  <c r="T23" i="19"/>
  <c r="Q914" i="11"/>
  <c r="P916" i="11"/>
  <c r="P431" i="14"/>
  <c r="P477" i="14"/>
  <c r="P36" i="14"/>
  <c r="P500" i="14"/>
  <c r="P270" i="14"/>
  <c r="P293" i="14"/>
  <c r="P131" i="14"/>
  <c r="P454" i="14"/>
  <c r="P339" i="14"/>
  <c r="P155" i="14"/>
  <c r="P385" i="14"/>
  <c r="P178" i="14"/>
  <c r="P408" i="14"/>
  <c r="P909" i="11"/>
  <c r="O911" i="11"/>
  <c r="Q14" i="15"/>
  <c r="R9" i="19"/>
  <c r="R11" i="19"/>
  <c r="R8" i="19"/>
  <c r="S6" i="19"/>
  <c r="S7" i="19" s="1"/>
  <c r="P62" i="19"/>
  <c r="P75" i="19" s="1"/>
  <c r="S6" i="15"/>
  <c r="S7" i="15" s="1"/>
  <c r="R9" i="15"/>
  <c r="R11" i="15"/>
  <c r="R12" i="15" s="1"/>
  <c r="R8" i="15"/>
  <c r="R62" i="15" s="1"/>
  <c r="T6" i="23"/>
  <c r="T7" i="23" s="1"/>
  <c r="S9" i="23"/>
  <c r="S11" i="23"/>
  <c r="S12" i="23" s="1"/>
  <c r="S8" i="23"/>
  <c r="S47" i="23" s="1"/>
  <c r="Q14" i="24"/>
  <c r="R8" i="24"/>
  <c r="R36" i="24" s="1"/>
  <c r="S6" i="24"/>
  <c r="S7" i="24" s="1"/>
  <c r="R9" i="24"/>
  <c r="R11" i="24"/>
  <c r="R12" i="24" s="1"/>
  <c r="M73" i="14" l="1"/>
  <c r="G46" i="40"/>
  <c r="G70" i="40" s="1"/>
  <c r="E109" i="40"/>
  <c r="F109" i="40"/>
  <c r="J256" i="14"/>
  <c r="J271" i="14" s="1"/>
  <c r="O486" i="11"/>
  <c r="I14" i="45" s="1"/>
  <c r="I23" i="45" s="1"/>
  <c r="O145" i="48"/>
  <c r="N109" i="41"/>
  <c r="N145" i="48"/>
  <c r="M109" i="41"/>
  <c r="M51" i="48"/>
  <c r="M52" i="48" s="1"/>
  <c r="M55" i="48" s="1"/>
  <c r="L27" i="41"/>
  <c r="Q210" i="11"/>
  <c r="Q72" i="14" s="1"/>
  <c r="P17" i="41" s="1"/>
  <c r="Q194" i="11"/>
  <c r="Q197" i="11"/>
  <c r="Q199" i="11" s="1"/>
  <c r="O490" i="11"/>
  <c r="I30" i="41"/>
  <c r="I33" i="41" s="1"/>
  <c r="G10" i="40"/>
  <c r="J330" i="48"/>
  <c r="J333" i="48" s="1"/>
  <c r="J340" i="48"/>
  <c r="D3" i="46"/>
  <c r="D5" i="40"/>
  <c r="D10" i="40" s="1"/>
  <c r="R257" i="11"/>
  <c r="U23" i="19"/>
  <c r="T26" i="19"/>
  <c r="Q14" i="19"/>
  <c r="Q26" i="19"/>
  <c r="Q62" i="19" s="1"/>
  <c r="Q75" i="19" s="1"/>
  <c r="D110" i="40"/>
  <c r="D23" i="49" s="1"/>
  <c r="O307" i="14"/>
  <c r="O283" i="48" s="1"/>
  <c r="P54" i="19"/>
  <c r="J1413" i="11"/>
  <c r="J1415" i="11" s="1"/>
  <c r="J1246" i="11"/>
  <c r="J1245" i="11"/>
  <c r="J1244" i="11"/>
  <c r="J1264" i="11"/>
  <c r="Q4" i="42" s="1"/>
  <c r="J1253" i="11"/>
  <c r="J1243" i="11"/>
  <c r="J1254" i="11"/>
  <c r="J1252" i="11"/>
  <c r="J1251" i="11"/>
  <c r="J1242" i="11"/>
  <c r="J1247" i="11"/>
  <c r="E18" i="50"/>
  <c r="J236" i="11"/>
  <c r="J230" i="11"/>
  <c r="J1408" i="11"/>
  <c r="J1218" i="11"/>
  <c r="J1219" i="11"/>
  <c r="J1223" i="11"/>
  <c r="J1221" i="11"/>
  <c r="J1220" i="11"/>
  <c r="J1222" i="11"/>
  <c r="H24" i="14"/>
  <c r="H27" i="14"/>
  <c r="J20" i="48"/>
  <c r="E15" i="40"/>
  <c r="E12" i="40" s="1"/>
  <c r="E5" i="40" s="1"/>
  <c r="E10" i="40" s="1"/>
  <c r="F9" i="50"/>
  <c r="K34" i="11"/>
  <c r="K38" i="11" s="1"/>
  <c r="K20" i="14" s="1"/>
  <c r="K222" i="11"/>
  <c r="K227" i="11" s="1"/>
  <c r="K1239" i="11"/>
  <c r="K37" i="11"/>
  <c r="K1215" i="11"/>
  <c r="J202" i="48"/>
  <c r="L1116" i="11"/>
  <c r="L1147" i="11" s="1"/>
  <c r="F35" i="40"/>
  <c r="P1110" i="11"/>
  <c r="P1113" i="11"/>
  <c r="P1115" i="11" s="1"/>
  <c r="P1116" i="11" s="1"/>
  <c r="P1147" i="11" s="1"/>
  <c r="O14" i="40"/>
  <c r="K5" i="50"/>
  <c r="P1101" i="11"/>
  <c r="J71" i="11"/>
  <c r="J60" i="11"/>
  <c r="J77" i="11"/>
  <c r="J95" i="11"/>
  <c r="J89" i="11"/>
  <c r="J54" i="11"/>
  <c r="Q572" i="11"/>
  <c r="Q5" i="11"/>
  <c r="R13" i="11"/>
  <c r="R5" i="11" s="1"/>
  <c r="L14" i="41"/>
  <c r="L21" i="41" s="1"/>
  <c r="L22" i="41" s="1"/>
  <c r="L29" i="41" s="1"/>
  <c r="M237" i="48"/>
  <c r="J340" i="14"/>
  <c r="F86" i="42"/>
  <c r="K373" i="48"/>
  <c r="K376" i="48" s="1"/>
  <c r="K379" i="48" s="1"/>
  <c r="K189" i="48"/>
  <c r="K192" i="48" s="1"/>
  <c r="K195" i="48" s="1"/>
  <c r="J123" i="14"/>
  <c r="J134" i="14" s="1"/>
  <c r="J133" i="14"/>
  <c r="K431" i="48"/>
  <c r="J132" i="14"/>
  <c r="J231" i="48"/>
  <c r="J232" i="48" s="1"/>
  <c r="J167" i="14"/>
  <c r="D87" i="40" s="1"/>
  <c r="D17" i="46" s="1"/>
  <c r="D35" i="46" s="1"/>
  <c r="J331" i="14"/>
  <c r="J334" i="14" s="1"/>
  <c r="J420" i="14"/>
  <c r="J433" i="14" s="1"/>
  <c r="J341" i="14"/>
  <c r="K255" i="14"/>
  <c r="H140" i="14"/>
  <c r="J239" i="14"/>
  <c r="J242" i="14" s="1"/>
  <c r="J244" i="14" s="1"/>
  <c r="I18" i="50"/>
  <c r="K455" i="14"/>
  <c r="J94" i="41"/>
  <c r="J96" i="41" s="1"/>
  <c r="K164" i="14"/>
  <c r="K179" i="14" s="1"/>
  <c r="I96" i="41"/>
  <c r="I103" i="41" s="1"/>
  <c r="I104" i="41" s="1"/>
  <c r="I111" i="41" s="1"/>
  <c r="N236" i="11"/>
  <c r="N233" i="11"/>
  <c r="N234" i="11" s="1"/>
  <c r="N239" i="11" s="1"/>
  <c r="M212" i="48"/>
  <c r="M215" i="48" s="1"/>
  <c r="I58" i="41"/>
  <c r="I60" i="41" s="1"/>
  <c r="I62" i="41" s="1"/>
  <c r="I63" i="41" s="1"/>
  <c r="I70" i="41" s="1"/>
  <c r="O222" i="11"/>
  <c r="O227" i="11" s="1"/>
  <c r="O230" i="11" s="1"/>
  <c r="J8" i="50"/>
  <c r="N864" i="11"/>
  <c r="N393" i="14" s="1"/>
  <c r="M233" i="11"/>
  <c r="M234" i="11" s="1"/>
  <c r="M232" i="11"/>
  <c r="G50" i="45" s="1"/>
  <c r="G58" i="45" s="1"/>
  <c r="I258" i="41"/>
  <c r="I260" i="41" s="1"/>
  <c r="J279" i="14"/>
  <c r="J282" i="14" s="1"/>
  <c r="D27" i="46" s="1"/>
  <c r="D18" i="46" s="1"/>
  <c r="D36" i="46" s="1"/>
  <c r="L257" i="48"/>
  <c r="O122" i="48"/>
  <c r="F60" i="40"/>
  <c r="L324" i="48"/>
  <c r="L339" i="48" s="1"/>
  <c r="H323" i="48"/>
  <c r="F57" i="40"/>
  <c r="H208" i="48"/>
  <c r="L209" i="48"/>
  <c r="L224" i="48" s="1"/>
  <c r="F165" i="45"/>
  <c r="D34" i="47"/>
  <c r="K1418" i="11"/>
  <c r="E92" i="40"/>
  <c r="M276" i="48"/>
  <c r="M302" i="14"/>
  <c r="K117" i="14"/>
  <c r="K92" i="48"/>
  <c r="K93" i="48" s="1"/>
  <c r="K96" i="48" s="1"/>
  <c r="O75" i="48"/>
  <c r="N191" i="48"/>
  <c r="O191" i="48"/>
  <c r="K236" i="14"/>
  <c r="K239" i="14" s="1"/>
  <c r="K249" i="14" s="1"/>
  <c r="K211" i="48"/>
  <c r="O89" i="41"/>
  <c r="O91" i="41" s="1"/>
  <c r="P138" i="48"/>
  <c r="J48" i="40" s="1"/>
  <c r="M48" i="41"/>
  <c r="M50" i="41" s="1"/>
  <c r="N115" i="48"/>
  <c r="H47" i="40" s="1"/>
  <c r="N122" i="48"/>
  <c r="N514" i="14"/>
  <c r="N75" i="48"/>
  <c r="J53" i="41"/>
  <c r="K116" i="48"/>
  <c r="K231" i="48" s="1"/>
  <c r="K232" i="48" s="1"/>
  <c r="J224" i="48"/>
  <c r="J212" i="48"/>
  <c r="K284" i="48"/>
  <c r="E98" i="40"/>
  <c r="L293" i="48"/>
  <c r="L281" i="48"/>
  <c r="L308" i="14"/>
  <c r="E57" i="40"/>
  <c r="E67" i="40" s="1"/>
  <c r="E12" i="49" s="1"/>
  <c r="K209" i="48"/>
  <c r="E25" i="46"/>
  <c r="E26" i="46" s="1"/>
  <c r="I219" i="41"/>
  <c r="I226" i="41" s="1"/>
  <c r="I227" i="41" s="1"/>
  <c r="I235" i="41" s="1"/>
  <c r="N24" i="48"/>
  <c r="P444" i="48"/>
  <c r="K432" i="14"/>
  <c r="K420" i="14"/>
  <c r="K423" i="14" s="1"/>
  <c r="N441" i="48"/>
  <c r="L394" i="14"/>
  <c r="L369" i="48"/>
  <c r="L370" i="48" s="1"/>
  <c r="L385" i="48" s="1"/>
  <c r="K397" i="14"/>
  <c r="K400" i="14" s="1"/>
  <c r="K409" i="14"/>
  <c r="L417" i="14"/>
  <c r="L392" i="48"/>
  <c r="L393" i="48" s="1"/>
  <c r="L408" i="48" s="1"/>
  <c r="K396" i="48"/>
  <c r="K399" i="48" s="1"/>
  <c r="K409" i="48" s="1"/>
  <c r="J443" i="14"/>
  <c r="J446" i="14" s="1"/>
  <c r="J449" i="14" s="1"/>
  <c r="J397" i="14"/>
  <c r="J410" i="14" s="1"/>
  <c r="M253" i="41"/>
  <c r="M255" i="41" s="1"/>
  <c r="N253" i="48"/>
  <c r="H54" i="40" s="1"/>
  <c r="M273" i="41"/>
  <c r="N260" i="48"/>
  <c r="L232" i="41"/>
  <c r="M306" i="48"/>
  <c r="L212" i="41"/>
  <c r="L214" i="41" s="1"/>
  <c r="M299" i="48"/>
  <c r="G41" i="40" s="1"/>
  <c r="J217" i="41"/>
  <c r="J222" i="41" s="1"/>
  <c r="J224" i="41" s="1"/>
  <c r="K300" i="48"/>
  <c r="K301" i="48" s="1"/>
  <c r="K316" i="48" s="1"/>
  <c r="N12" i="41"/>
  <c r="O45" i="48"/>
  <c r="O46" i="48" s="1"/>
  <c r="O49" i="48" s="1"/>
  <c r="M85" i="14"/>
  <c r="N70" i="14"/>
  <c r="N45" i="48"/>
  <c r="N46" i="48" s="1"/>
  <c r="M61" i="48"/>
  <c r="M12" i="41"/>
  <c r="M14" i="41" s="1"/>
  <c r="K62" i="48"/>
  <c r="K55" i="48"/>
  <c r="J30" i="41"/>
  <c r="J33" i="41" s="1"/>
  <c r="N283" i="48"/>
  <c r="L439" i="14"/>
  <c r="L415" i="48" s="1"/>
  <c r="K278" i="14"/>
  <c r="K254" i="48" s="1"/>
  <c r="K255" i="48" s="1"/>
  <c r="J373" i="48"/>
  <c r="J385" i="48"/>
  <c r="N330" i="14"/>
  <c r="O139" i="14"/>
  <c r="P215" i="14"/>
  <c r="O191" i="41" s="1"/>
  <c r="O70" i="14"/>
  <c r="J289" i="48"/>
  <c r="N75" i="14"/>
  <c r="M27" i="41" s="1"/>
  <c r="I928" i="43"/>
  <c r="J155" i="48"/>
  <c r="J143" i="48"/>
  <c r="J304" i="48"/>
  <c r="J316" i="48"/>
  <c r="N942" i="11"/>
  <c r="J408" i="48"/>
  <c r="J396" i="48"/>
  <c r="L350" i="14"/>
  <c r="L326" i="48" s="1"/>
  <c r="L324" i="14"/>
  <c r="L325" i="14" s="1"/>
  <c r="L52" i="48"/>
  <c r="K432" i="48"/>
  <c r="K425" i="48"/>
  <c r="J484" i="14"/>
  <c r="P69" i="14"/>
  <c r="J132" i="48"/>
  <c r="J120" i="48"/>
  <c r="L212" i="14"/>
  <c r="L188" i="48" s="1"/>
  <c r="K327" i="48"/>
  <c r="E99" i="40" s="1"/>
  <c r="E110" i="40" s="1"/>
  <c r="E23" i="49" s="1"/>
  <c r="L140" i="14"/>
  <c r="L141" i="14" s="1"/>
  <c r="L144" i="14" s="1"/>
  <c r="P353" i="14"/>
  <c r="P329" i="48" s="1"/>
  <c r="O277" i="14"/>
  <c r="M281" i="14"/>
  <c r="M257" i="48" s="1"/>
  <c r="M393" i="14"/>
  <c r="L209" i="14"/>
  <c r="J255" i="48"/>
  <c r="K140" i="48"/>
  <c r="J57" i="48"/>
  <c r="Q162" i="14"/>
  <c r="P241" i="11"/>
  <c r="P718" i="11"/>
  <c r="N438" i="14"/>
  <c r="N414" i="48" s="1"/>
  <c r="M20" i="14"/>
  <c r="M457" i="11"/>
  <c r="J96" i="48"/>
  <c r="J108" i="48"/>
  <c r="N566" i="11"/>
  <c r="P75" i="48"/>
  <c r="L163" i="14"/>
  <c r="N261" i="14"/>
  <c r="J195" i="48"/>
  <c r="O75" i="14"/>
  <c r="N27" i="41" s="1"/>
  <c r="M416" i="14"/>
  <c r="J431" i="48"/>
  <c r="J419" i="48"/>
  <c r="O330" i="14"/>
  <c r="O284" i="14"/>
  <c r="L116" i="14"/>
  <c r="L117" i="14" s="1"/>
  <c r="P238" i="14"/>
  <c r="P214" i="48" s="1"/>
  <c r="P569" i="11"/>
  <c r="P307" i="14" s="1"/>
  <c r="P60" i="43"/>
  <c r="Q244" i="11"/>
  <c r="Q99" i="14" s="1"/>
  <c r="Q721" i="11"/>
  <c r="Q249" i="11"/>
  <c r="Q726" i="11"/>
  <c r="Q577" i="11"/>
  <c r="F74" i="45"/>
  <c r="D35" i="47" s="1"/>
  <c r="F180" i="45"/>
  <c r="T838" i="43"/>
  <c r="T840" i="43" s="1"/>
  <c r="U837" i="43"/>
  <c r="R223" i="11"/>
  <c r="R700" i="11"/>
  <c r="R551" i="11"/>
  <c r="E82" i="42"/>
  <c r="E86" i="42" s="1"/>
  <c r="K1101" i="43"/>
  <c r="S848" i="43"/>
  <c r="S850" i="43" s="1"/>
  <c r="T847" i="43"/>
  <c r="H58" i="45"/>
  <c r="E82" i="45"/>
  <c r="E83" i="45" s="1"/>
  <c r="E84" i="45" s="1"/>
  <c r="F78" i="45"/>
  <c r="D37" i="47" s="1"/>
  <c r="F172" i="45"/>
  <c r="H10" i="45"/>
  <c r="H9" i="45" s="1"/>
  <c r="N1327" i="11"/>
  <c r="N1331" i="11" s="1"/>
  <c r="M562" i="11"/>
  <c r="M567" i="11" s="1"/>
  <c r="M304" i="14" s="1"/>
  <c r="N560" i="11"/>
  <c r="H102" i="45" s="1"/>
  <c r="H110" i="45" s="1"/>
  <c r="N561" i="11"/>
  <c r="N300" i="14" s="1"/>
  <c r="G102" i="45"/>
  <c r="O558" i="11"/>
  <c r="P1394" i="11"/>
  <c r="J99" i="45"/>
  <c r="J98" i="45" s="1"/>
  <c r="N1400" i="11"/>
  <c r="N1402" i="11" s="1"/>
  <c r="H109" i="45"/>
  <c r="H190" i="45" s="1"/>
  <c r="O1396" i="11"/>
  <c r="O1398" i="11" s="1"/>
  <c r="I101" i="45"/>
  <c r="I181" i="45" s="1"/>
  <c r="L1101" i="43"/>
  <c r="F80" i="45"/>
  <c r="L1375" i="11"/>
  <c r="N709" i="11"/>
  <c r="H73" i="45" s="1"/>
  <c r="H81" i="45" s="1"/>
  <c r="N710" i="11"/>
  <c r="N711" i="11" s="1"/>
  <c r="L1358" i="11"/>
  <c r="L1359" i="11" s="1"/>
  <c r="N1353" i="11"/>
  <c r="H64" i="45"/>
  <c r="N1366" i="11"/>
  <c r="H70" i="45"/>
  <c r="H69" i="45" s="1"/>
  <c r="N1368" i="11"/>
  <c r="N1374" i="11"/>
  <c r="N1369" i="11"/>
  <c r="N1370" i="11"/>
  <c r="M1355" i="11"/>
  <c r="G66" i="45" s="1"/>
  <c r="G65" i="45"/>
  <c r="G72" i="45"/>
  <c r="G180" i="45" s="1"/>
  <c r="M1372" i="11"/>
  <c r="K1359" i="11"/>
  <c r="E67" i="45"/>
  <c r="N1357" i="11"/>
  <c r="N1351" i="11"/>
  <c r="N1352" i="11"/>
  <c r="N1349" i="11"/>
  <c r="O1346" i="11"/>
  <c r="O1363" i="11"/>
  <c r="O1435" i="11" s="1"/>
  <c r="P292" i="43"/>
  <c r="P770" i="43"/>
  <c r="P89" i="43"/>
  <c r="N1038" i="43"/>
  <c r="N1028" i="43" s="1"/>
  <c r="N1035" i="43" s="1"/>
  <c r="M1040" i="43"/>
  <c r="M1104" i="43" s="1"/>
  <c r="G70" i="42" s="1"/>
  <c r="G86" i="42" s="1"/>
  <c r="N1095" i="43"/>
  <c r="N1100" i="43" s="1"/>
  <c r="H82" i="42" s="1"/>
  <c r="P771" i="43"/>
  <c r="P791" i="43" s="1"/>
  <c r="P793" i="43" s="1"/>
  <c r="Q54" i="43"/>
  <c r="P1021" i="43"/>
  <c r="P1022" i="43"/>
  <c r="P1024" i="43"/>
  <c r="P1030" i="43"/>
  <c r="P1023" i="43"/>
  <c r="P1019" i="43"/>
  <c r="P1029" i="43"/>
  <c r="P1032" i="43"/>
  <c r="P1031" i="43"/>
  <c r="P1025" i="43"/>
  <c r="P1033" i="43"/>
  <c r="P1020" i="43"/>
  <c r="P1074" i="43"/>
  <c r="P1078" i="43"/>
  <c r="P1086" i="43"/>
  <c r="P1077" i="43"/>
  <c r="P1076" i="43"/>
  <c r="P1087" i="43"/>
  <c r="P1216" i="43"/>
  <c r="P1218" i="43" s="1"/>
  <c r="P1220" i="43" s="1"/>
  <c r="P1222" i="43" s="1"/>
  <c r="P1079" i="43"/>
  <c r="P1075" i="43"/>
  <c r="P1088" i="43"/>
  <c r="P1084" i="43"/>
  <c r="P1085" i="43"/>
  <c r="P1080" i="43"/>
  <c r="Q77" i="43"/>
  <c r="O1026" i="43"/>
  <c r="O1036" i="43" s="1"/>
  <c r="O1103" i="43" s="1"/>
  <c r="I64" i="42" s="1"/>
  <c r="Q89" i="43"/>
  <c r="O39" i="43"/>
  <c r="O979" i="43" s="1"/>
  <c r="O980" i="43" s="1"/>
  <c r="N1099" i="43"/>
  <c r="H77" i="42" s="1"/>
  <c r="O1209" i="43"/>
  <c r="S20" i="43"/>
  <c r="R21" i="43"/>
  <c r="R37" i="43" s="1"/>
  <c r="O1083" i="43"/>
  <c r="P335" i="43"/>
  <c r="O939" i="43"/>
  <c r="O940" i="43" s="1"/>
  <c r="O942" i="43" s="1"/>
  <c r="O933" i="43"/>
  <c r="O935" i="43" s="1"/>
  <c r="Q60" i="43"/>
  <c r="N1036" i="43"/>
  <c r="N1103" i="43" s="1"/>
  <c r="H64" i="42" s="1"/>
  <c r="Q95" i="43"/>
  <c r="Q23" i="43"/>
  <c r="Q38" i="43" s="1"/>
  <c r="Q1071" i="43"/>
  <c r="Q1098" i="43" s="1"/>
  <c r="Q1016" i="43"/>
  <c r="Q71" i="43"/>
  <c r="O1081" i="43"/>
  <c r="O1099" i="43" s="1"/>
  <c r="I77" i="42" s="1"/>
  <c r="P71" i="43"/>
  <c r="P932" i="43"/>
  <c r="P77" i="43"/>
  <c r="R32" i="43"/>
  <c r="P95" i="43"/>
  <c r="O1034" i="43"/>
  <c r="M458" i="11"/>
  <c r="H41" i="45"/>
  <c r="H39" i="45" s="1"/>
  <c r="N208" i="14"/>
  <c r="N184" i="48" s="1"/>
  <c r="H49" i="40" s="1"/>
  <c r="N715" i="11"/>
  <c r="O564" i="11"/>
  <c r="M1406" i="11"/>
  <c r="M1417" i="11"/>
  <c r="G53" i="40" s="1"/>
  <c r="N1408" i="11"/>
  <c r="N1410" i="11" s="1"/>
  <c r="H47" i="45"/>
  <c r="H46" i="45" s="1"/>
  <c r="P555" i="11"/>
  <c r="L233" i="14"/>
  <c r="H232" i="14"/>
  <c r="K1269" i="11"/>
  <c r="E32" i="42" s="1"/>
  <c r="E42" i="45"/>
  <c r="N238" i="11"/>
  <c r="M171" i="41"/>
  <c r="M173" i="41" s="1"/>
  <c r="L235" i="14"/>
  <c r="L211" i="48" s="1"/>
  <c r="I493" i="11"/>
  <c r="H493" i="11" s="1"/>
  <c r="N1284" i="11"/>
  <c r="O453" i="11"/>
  <c r="O451" i="11"/>
  <c r="I13" i="45" s="1"/>
  <c r="I22" i="45" s="1"/>
  <c r="L171" i="41"/>
  <c r="L173" i="41" s="1"/>
  <c r="M566" i="11"/>
  <c r="M492" i="11"/>
  <c r="M715" i="11"/>
  <c r="M208" i="14"/>
  <c r="M184" i="48" s="1"/>
  <c r="G49" i="40" s="1"/>
  <c r="M238" i="11"/>
  <c r="K213" i="14"/>
  <c r="E88" i="40" s="1"/>
  <c r="E19" i="46" s="1"/>
  <c r="P449" i="11"/>
  <c r="P451" i="11" s="1"/>
  <c r="J13" i="45" s="1"/>
  <c r="J22" i="45" s="1"/>
  <c r="N492" i="11"/>
  <c r="J219" i="14"/>
  <c r="J221" i="14" s="1"/>
  <c r="J222" i="14" s="1"/>
  <c r="J227" i="14" s="1"/>
  <c r="I181" i="41"/>
  <c r="I183" i="41" s="1"/>
  <c r="I178" i="41"/>
  <c r="R65" i="43"/>
  <c r="S63" i="43"/>
  <c r="J369" i="14"/>
  <c r="J345" i="48" s="1"/>
  <c r="J437" i="48" s="1"/>
  <c r="D42" i="40" s="1"/>
  <c r="J772" i="11"/>
  <c r="J774" i="11" s="1"/>
  <c r="J769" i="11" s="1"/>
  <c r="J816" i="11"/>
  <c r="L757" i="11"/>
  <c r="L760" i="11"/>
  <c r="F20" i="40" s="1"/>
  <c r="S544" i="43"/>
  <c r="R555" i="43"/>
  <c r="S57" i="43"/>
  <c r="R58" i="43"/>
  <c r="S229" i="43"/>
  <c r="R230" i="43"/>
  <c r="S258" i="43"/>
  <c r="R271" i="43"/>
  <c r="R242" i="43"/>
  <c r="S241" i="43"/>
  <c r="S546" i="43"/>
  <c r="R557" i="43"/>
  <c r="S547" i="43"/>
  <c r="R558" i="43"/>
  <c r="P702" i="43"/>
  <c r="P704" i="43" s="1"/>
  <c r="P713" i="43"/>
  <c r="P715" i="43" s="1"/>
  <c r="N1282" i="11"/>
  <c r="N1292" i="11"/>
  <c r="O791" i="43"/>
  <c r="O793" i="43" s="1"/>
  <c r="O780" i="43"/>
  <c r="O782" i="43" s="1"/>
  <c r="R551" i="43"/>
  <c r="S540" i="43"/>
  <c r="O456" i="43"/>
  <c r="R554" i="43"/>
  <c r="S543" i="43"/>
  <c r="R688" i="43"/>
  <c r="R690" i="43" s="1"/>
  <c r="S687" i="43"/>
  <c r="L588" i="43"/>
  <c r="L591" i="43"/>
  <c r="R87" i="43"/>
  <c r="S86" i="43"/>
  <c r="N1283" i="11"/>
  <c r="S98" i="43"/>
  <c r="R112" i="43"/>
  <c r="J647" i="43"/>
  <c r="J603" i="43"/>
  <c r="J605" i="43" s="1"/>
  <c r="S542" i="43"/>
  <c r="R553" i="43"/>
  <c r="Q265" i="43"/>
  <c r="Q439" i="43" s="1"/>
  <c r="Q441" i="43" s="1"/>
  <c r="Q278" i="43"/>
  <c r="Q402" i="43"/>
  <c r="Q405" i="43" s="1"/>
  <c r="Q172" i="43"/>
  <c r="Q175" i="43" s="1"/>
  <c r="Q358" i="43"/>
  <c r="Q361" i="43" s="1"/>
  <c r="N750" i="11"/>
  <c r="N752" i="11" s="1"/>
  <c r="N793" i="11" s="1"/>
  <c r="N795" i="11" s="1"/>
  <c r="O749" i="11"/>
  <c r="Q549" i="43"/>
  <c r="Q566" i="43"/>
  <c r="Q568" i="43" s="1"/>
  <c r="Q609" i="43" s="1"/>
  <c r="Q611" i="43" s="1"/>
  <c r="R565" i="43"/>
  <c r="P498" i="43"/>
  <c r="P500" i="43" s="1"/>
  <c r="R75" i="43"/>
  <c r="S74" i="43"/>
  <c r="R268" i="43"/>
  <c r="S255" i="43"/>
  <c r="R48" i="43"/>
  <c r="S46" i="43"/>
  <c r="R556" i="43"/>
  <c r="S545" i="43"/>
  <c r="R761" i="43"/>
  <c r="S760" i="43"/>
  <c r="R269" i="43"/>
  <c r="S256" i="43"/>
  <c r="Q161" i="43"/>
  <c r="Q164" i="43" s="1"/>
  <c r="Q391" i="43"/>
  <c r="Q394" i="43" s="1"/>
  <c r="Q347" i="43"/>
  <c r="Q350" i="43" s="1"/>
  <c r="Q306" i="43"/>
  <c r="Q292" i="43" s="1"/>
  <c r="M755" i="11"/>
  <c r="N754" i="11"/>
  <c r="S103" i="43"/>
  <c r="R117" i="43"/>
  <c r="R683" i="43"/>
  <c r="S682" i="43"/>
  <c r="R843" i="43"/>
  <c r="S842" i="43"/>
  <c r="S259" i="43"/>
  <c r="R272" i="43"/>
  <c r="S254" i="43"/>
  <c r="R267" i="43"/>
  <c r="O576" i="43"/>
  <c r="O578" i="43" s="1"/>
  <c r="P575" i="43"/>
  <c r="S539" i="43"/>
  <c r="R550" i="43"/>
  <c r="P609" i="43"/>
  <c r="P611" i="43" s="1"/>
  <c r="P571" i="43"/>
  <c r="P573" i="43" s="1"/>
  <c r="P614" i="43" s="1"/>
  <c r="P616" i="43" s="1"/>
  <c r="Q570" i="43"/>
  <c r="S263" i="43"/>
  <c r="R276" i="43"/>
  <c r="N773" i="43"/>
  <c r="S260" i="43"/>
  <c r="R273" i="43"/>
  <c r="S261" i="43"/>
  <c r="R274" i="43"/>
  <c r="S101" i="43"/>
  <c r="R115" i="43"/>
  <c r="P488" i="43"/>
  <c r="P494" i="43"/>
  <c r="P506" i="43"/>
  <c r="P535" i="43"/>
  <c r="P512" i="43"/>
  <c r="P518" i="43"/>
  <c r="R93" i="43"/>
  <c r="S92" i="43"/>
  <c r="Q111" i="43"/>
  <c r="Q125" i="43"/>
  <c r="S105" i="43"/>
  <c r="R119" i="43"/>
  <c r="O861" i="43"/>
  <c r="Q763" i="43"/>
  <c r="R224" i="43"/>
  <c r="R309" i="43" s="1"/>
  <c r="R311" i="43" s="1"/>
  <c r="S223" i="43"/>
  <c r="S106" i="43"/>
  <c r="R120" i="43"/>
  <c r="S201" i="43"/>
  <c r="R202" i="43"/>
  <c r="R304" i="43" s="1"/>
  <c r="R306" i="43" s="1"/>
  <c r="R275" i="43"/>
  <c r="S262" i="43"/>
  <c r="S257" i="43"/>
  <c r="R270" i="43"/>
  <c r="S235" i="43"/>
  <c r="R236" i="43"/>
  <c r="S104" i="43"/>
  <c r="R118" i="43"/>
  <c r="O713" i="43"/>
  <c r="O715" i="43" s="1"/>
  <c r="O702" i="43"/>
  <c r="O704" i="43" s="1"/>
  <c r="K798" i="11"/>
  <c r="K800" i="11" s="1"/>
  <c r="K776" i="11" s="1"/>
  <c r="K761" i="11"/>
  <c r="N581" i="43"/>
  <c r="N583" i="43" s="1"/>
  <c r="N624" i="43" s="1"/>
  <c r="N626" i="43" s="1"/>
  <c r="O580" i="43"/>
  <c r="R116" i="43"/>
  <c r="S102" i="43"/>
  <c r="Q454" i="43"/>
  <c r="Q452" i="43"/>
  <c r="Q498" i="43" s="1"/>
  <c r="Q500" i="43" s="1"/>
  <c r="Q766" i="43"/>
  <c r="Q768" i="43" s="1"/>
  <c r="R765" i="43"/>
  <c r="K592" i="43"/>
  <c r="K629" i="43"/>
  <c r="K631" i="43" s="1"/>
  <c r="K607" i="43" s="1"/>
  <c r="R449" i="43"/>
  <c r="S448" i="43"/>
  <c r="Q685" i="43"/>
  <c r="Q693" i="43" s="1"/>
  <c r="Q692" i="43"/>
  <c r="N1290" i="11"/>
  <c r="S212" i="43"/>
  <c r="R213" i="43"/>
  <c r="R319" i="43" s="1"/>
  <c r="R321" i="43" s="1"/>
  <c r="R121" i="43"/>
  <c r="S107" i="43"/>
  <c r="S100" i="43"/>
  <c r="R114" i="43"/>
  <c r="S51" i="43"/>
  <c r="R52" i="43"/>
  <c r="R123" i="43"/>
  <c r="S109" i="43"/>
  <c r="Q845" i="43"/>
  <c r="Q859" i="43" s="1"/>
  <c r="Q858" i="43"/>
  <c r="S541" i="43"/>
  <c r="R552" i="43"/>
  <c r="R853" i="43"/>
  <c r="R855" i="43" s="1"/>
  <c r="S852" i="43"/>
  <c r="S108" i="43"/>
  <c r="R122" i="43"/>
  <c r="S253" i="43"/>
  <c r="R266" i="43"/>
  <c r="M586" i="43"/>
  <c r="N585" i="43"/>
  <c r="P868" i="43"/>
  <c r="P870" i="43" s="1"/>
  <c r="P879" i="43"/>
  <c r="P881" i="43" s="1"/>
  <c r="O591" i="11"/>
  <c r="O631" i="11" s="1"/>
  <c r="O1178" i="43"/>
  <c r="O1180" i="43" s="1"/>
  <c r="O1186" i="43" s="1"/>
  <c r="O589" i="11"/>
  <c r="O1302" i="11"/>
  <c r="O1278" i="11"/>
  <c r="I4" i="45" s="1"/>
  <c r="I2" i="45" s="1"/>
  <c r="N1285" i="11"/>
  <c r="N1286" i="11"/>
  <c r="N1182" i="43"/>
  <c r="N1184" i="43" s="1"/>
  <c r="N1187" i="43" s="1"/>
  <c r="N1188" i="43" s="1"/>
  <c r="N1291" i="11"/>
  <c r="N1425" i="11"/>
  <c r="J314" i="14"/>
  <c r="P149" i="43"/>
  <c r="N1124" i="43"/>
  <c r="R331" i="43"/>
  <c r="L26" i="40"/>
  <c r="R408" i="11"/>
  <c r="R406" i="11"/>
  <c r="S329" i="43"/>
  <c r="S331" i="43" s="1"/>
  <c r="S403" i="11"/>
  <c r="S404" i="11" s="1"/>
  <c r="H347" i="14"/>
  <c r="L348" i="14"/>
  <c r="N713" i="11"/>
  <c r="J359" i="14"/>
  <c r="J360" i="14" s="1"/>
  <c r="M716" i="11"/>
  <c r="M346" i="14"/>
  <c r="M322" i="48" s="1"/>
  <c r="K363" i="14"/>
  <c r="K351" i="14"/>
  <c r="O704" i="11"/>
  <c r="O707" i="11" s="1"/>
  <c r="O261" i="14"/>
  <c r="Q362" i="14"/>
  <c r="Q316" i="14"/>
  <c r="Q523" i="14"/>
  <c r="K137" i="41"/>
  <c r="P480" i="11"/>
  <c r="P481" i="11" s="1"/>
  <c r="P484" i="11" s="1"/>
  <c r="J27" i="40"/>
  <c r="M236" i="14"/>
  <c r="M248" i="14"/>
  <c r="N493" i="11"/>
  <c r="N231" i="14"/>
  <c r="N207" i="48" s="1"/>
  <c r="O493" i="11"/>
  <c r="O231" i="14"/>
  <c r="O207" i="48" s="1"/>
  <c r="Q224" i="14"/>
  <c r="Q247" i="14"/>
  <c r="Q445" i="11"/>
  <c r="Q498" i="11"/>
  <c r="Q503" i="11"/>
  <c r="R477" i="11"/>
  <c r="P495" i="11"/>
  <c r="L137" i="41"/>
  <c r="S288" i="43"/>
  <c r="S290" i="43"/>
  <c r="U285" i="43"/>
  <c r="T328" i="43"/>
  <c r="T286" i="43"/>
  <c r="O1068" i="43"/>
  <c r="R185" i="43"/>
  <c r="R1112" i="43"/>
  <c r="R1138" i="43"/>
  <c r="R187" i="43"/>
  <c r="R177" i="43"/>
  <c r="R176" i="43" s="1"/>
  <c r="S181" i="43"/>
  <c r="T180" i="43"/>
  <c r="S184" i="43"/>
  <c r="O440" i="11"/>
  <c r="P1122" i="43"/>
  <c r="Q1146" i="43"/>
  <c r="Q1151" i="43"/>
  <c r="Q1155" i="43"/>
  <c r="Q1141" i="43"/>
  <c r="Q1227" i="43"/>
  <c r="Q1229" i="43" s="1"/>
  <c r="Q1232" i="43" s="1"/>
  <c r="Q1142" i="43"/>
  <c r="Q1147" i="43"/>
  <c r="Q1152" i="43"/>
  <c r="Q1143" i="43"/>
  <c r="Q1144" i="43"/>
  <c r="Q1153" i="43"/>
  <c r="Q1145" i="43"/>
  <c r="P1130" i="43"/>
  <c r="P189" i="43"/>
  <c r="P433" i="43" s="1"/>
  <c r="P435" i="43" s="1"/>
  <c r="P421" i="43" s="1"/>
  <c r="O1133" i="43"/>
  <c r="O1171" i="43" s="1"/>
  <c r="I69" i="42" s="1"/>
  <c r="O1170" i="43"/>
  <c r="I63" i="42" s="1"/>
  <c r="O1166" i="43"/>
  <c r="I76" i="42" s="1"/>
  <c r="P1148" i="43"/>
  <c r="Q238" i="43"/>
  <c r="Q204" i="43"/>
  <c r="Q244" i="43"/>
  <c r="Q232" i="43"/>
  <c r="Q226" i="43"/>
  <c r="Q215" i="43"/>
  <c r="Q1165" i="43"/>
  <c r="Q1120" i="43"/>
  <c r="Q1118" i="43"/>
  <c r="Q1116" i="43"/>
  <c r="Q1119" i="43"/>
  <c r="Q1126" i="43"/>
  <c r="Q1127" i="43"/>
  <c r="Q1121" i="43"/>
  <c r="Q1117" i="43"/>
  <c r="Q1129" i="43"/>
  <c r="Q1125" i="43"/>
  <c r="Q1115" i="43"/>
  <c r="Q1128" i="43"/>
  <c r="P1010" i="43"/>
  <c r="P1002" i="43"/>
  <c r="O1013" i="43"/>
  <c r="P1055" i="43"/>
  <c r="P1057" i="43"/>
  <c r="Q1062" i="43"/>
  <c r="Q1009" i="43"/>
  <c r="Q1060" i="43"/>
  <c r="Q1058" i="43"/>
  <c r="Q1059" i="43"/>
  <c r="Q1008" i="43"/>
  <c r="Q1061" i="43"/>
  <c r="Q997" i="43"/>
  <c r="Q998" i="43"/>
  <c r="Q1006" i="43"/>
  <c r="Q996" i="43"/>
  <c r="Q1000" i="43"/>
  <c r="Q999" i="43"/>
  <c r="Q1007" i="43"/>
  <c r="Q995" i="43"/>
  <c r="Q1005" i="43"/>
  <c r="Q1001" i="43"/>
  <c r="Q1054" i="43"/>
  <c r="Q1051" i="43"/>
  <c r="Q1211" i="43"/>
  <c r="Q1213" i="43" s="1"/>
  <c r="Q1048" i="43"/>
  <c r="Q1050" i="43"/>
  <c r="Q1052" i="43"/>
  <c r="Q1053" i="43"/>
  <c r="Q1049" i="43"/>
  <c r="R1045" i="43"/>
  <c r="R992" i="43"/>
  <c r="R28" i="43"/>
  <c r="T25" i="43"/>
  <c r="S26" i="43"/>
  <c r="Q939" i="43"/>
  <c r="Q940" i="43" s="1"/>
  <c r="Q942" i="43" s="1"/>
  <c r="Q933" i="43"/>
  <c r="Q935" i="43" s="1"/>
  <c r="J25" i="40"/>
  <c r="O260" i="11"/>
  <c r="H16" i="40"/>
  <c r="H22" i="40" s="1"/>
  <c r="H6" i="40" s="1"/>
  <c r="I19" i="40"/>
  <c r="H12" i="40"/>
  <c r="H5" i="40" s="1"/>
  <c r="N1415" i="11"/>
  <c r="N19" i="42"/>
  <c r="Q17" i="42"/>
  <c r="W17" i="42" s="1"/>
  <c r="N1309" i="11"/>
  <c r="N1308" i="11"/>
  <c r="N1307" i="11"/>
  <c r="N1314" i="11"/>
  <c r="N1306" i="11"/>
  <c r="N1315" i="11"/>
  <c r="N1316" i="11"/>
  <c r="N1310" i="11"/>
  <c r="R1275" i="11"/>
  <c r="L1205" i="11"/>
  <c r="N1180" i="11"/>
  <c r="N1203" i="11"/>
  <c r="L1206" i="11"/>
  <c r="K1210" i="11"/>
  <c r="N1264" i="11"/>
  <c r="M1204" i="11"/>
  <c r="N1191" i="11"/>
  <c r="N1193" i="11"/>
  <c r="N1201" i="11"/>
  <c r="N1194" i="11"/>
  <c r="N1200" i="11"/>
  <c r="N1170" i="11"/>
  <c r="N1196" i="11"/>
  <c r="M1182" i="11"/>
  <c r="M1197" i="11"/>
  <c r="M1208" i="11" s="1"/>
  <c r="M1199" i="11" s="1"/>
  <c r="N1174" i="11"/>
  <c r="N1192" i="11"/>
  <c r="N1202" i="11"/>
  <c r="N1195" i="11"/>
  <c r="O1188" i="11"/>
  <c r="O1239" i="11"/>
  <c r="O1413" i="11" s="1"/>
  <c r="L1185" i="11"/>
  <c r="L1177" i="11" s="1"/>
  <c r="L1183" i="11" s="1"/>
  <c r="N1251" i="11"/>
  <c r="N1243" i="11"/>
  <c r="N1253" i="11"/>
  <c r="N1252" i="11"/>
  <c r="N1242" i="11"/>
  <c r="N1246" i="11"/>
  <c r="N1254" i="11"/>
  <c r="N1247" i="11"/>
  <c r="N1244" i="11"/>
  <c r="N1245" i="11"/>
  <c r="M1250" i="11"/>
  <c r="M1248" i="11"/>
  <c r="N1171" i="11"/>
  <c r="N1172" i="11"/>
  <c r="N1173" i="11"/>
  <c r="N1181" i="11"/>
  <c r="M1175" i="11"/>
  <c r="N1179" i="11"/>
  <c r="N1169" i="11"/>
  <c r="N1227" i="11"/>
  <c r="N1228" i="11"/>
  <c r="N1229" i="11"/>
  <c r="M1224" i="11"/>
  <c r="N1178" i="11"/>
  <c r="O1166" i="11"/>
  <c r="O1215" i="11"/>
  <c r="N1221" i="11"/>
  <c r="N1220" i="11"/>
  <c r="N1219" i="11"/>
  <c r="N1223" i="11"/>
  <c r="N1218" i="11"/>
  <c r="N1222" i="11"/>
  <c r="O192" i="11"/>
  <c r="N38" i="11"/>
  <c r="Q68" i="14"/>
  <c r="K340" i="14"/>
  <c r="I14" i="40"/>
  <c r="O37" i="11"/>
  <c r="O60" i="11" s="1"/>
  <c r="R1163" i="11"/>
  <c r="P34" i="11"/>
  <c r="P59" i="19"/>
  <c r="P460" i="11"/>
  <c r="Q201" i="14"/>
  <c r="P2" i="41"/>
  <c r="M190" i="11"/>
  <c r="N192" i="11"/>
  <c r="K193" i="14"/>
  <c r="K82" i="14"/>
  <c r="K87" i="14" s="1"/>
  <c r="Q463" i="11"/>
  <c r="Q468" i="11"/>
  <c r="Q188" i="11"/>
  <c r="K147" i="14"/>
  <c r="J66" i="41" s="1"/>
  <c r="J67" i="41" s="1"/>
  <c r="E86" i="40"/>
  <c r="R184" i="11"/>
  <c r="R441" i="11"/>
  <c r="R170" i="11"/>
  <c r="R176" i="11"/>
  <c r="R213" i="11" s="1"/>
  <c r="O7" i="41"/>
  <c r="O9" i="41" s="1"/>
  <c r="P191" i="11"/>
  <c r="N457" i="11"/>
  <c r="N458" i="11"/>
  <c r="K22" i="41"/>
  <c r="K29" i="41" s="1"/>
  <c r="P455" i="11"/>
  <c r="Q1106" i="11"/>
  <c r="J1157" i="11"/>
  <c r="J1159" i="11" s="1"/>
  <c r="K331" i="14"/>
  <c r="J230" i="41" s="1"/>
  <c r="M76" i="14"/>
  <c r="L25" i="41" s="1"/>
  <c r="L26" i="41" s="1"/>
  <c r="L79" i="14"/>
  <c r="L86" i="14"/>
  <c r="K1142" i="11"/>
  <c r="K1144" i="11" s="1"/>
  <c r="O535" i="11"/>
  <c r="O541" i="11" s="1"/>
  <c r="K1119" i="11"/>
  <c r="F33" i="40"/>
  <c r="F34" i="40"/>
  <c r="P516" i="11"/>
  <c r="J30" i="40"/>
  <c r="J7" i="40" s="1"/>
  <c r="O29" i="11"/>
  <c r="I13" i="40"/>
  <c r="O252" i="11"/>
  <c r="O251" i="11" s="1"/>
  <c r="I17" i="40"/>
  <c r="I21" i="40" s="1"/>
  <c r="P365" i="11"/>
  <c r="N202" i="11"/>
  <c r="N205" i="11" s="1"/>
  <c r="J203" i="14"/>
  <c r="J193" i="14"/>
  <c r="M436" i="11"/>
  <c r="M410" i="11" s="1"/>
  <c r="Q84" i="14"/>
  <c r="K156" i="14"/>
  <c r="BK59" i="38"/>
  <c r="BL57" i="38"/>
  <c r="BL62" i="38" s="1"/>
  <c r="BK64" i="38"/>
  <c r="BK62" i="38"/>
  <c r="BK67" i="38"/>
  <c r="BU58" i="38"/>
  <c r="BU70" i="38"/>
  <c r="BK58" i="38"/>
  <c r="BU67" i="38"/>
  <c r="BU59" i="38"/>
  <c r="BU62" i="38"/>
  <c r="BU65" i="38"/>
  <c r="BU69" i="38"/>
  <c r="BU64" i="38"/>
  <c r="BU66" i="38"/>
  <c r="BU60" i="38"/>
  <c r="BU61" i="38"/>
  <c r="BU68" i="38"/>
  <c r="BK63" i="38"/>
  <c r="BK68" i="38"/>
  <c r="BK60" i="38"/>
  <c r="BK65" i="38"/>
  <c r="BK61" i="38"/>
  <c r="BK66" i="38"/>
  <c r="BK70" i="38"/>
  <c r="BK69" i="38"/>
  <c r="Q27" i="19"/>
  <c r="R12" i="19"/>
  <c r="BV62" i="38"/>
  <c r="BV60" i="38"/>
  <c r="BV70" i="38"/>
  <c r="BV59" i="38"/>
  <c r="BV66" i="38"/>
  <c r="BV68" i="38"/>
  <c r="BV58" i="38"/>
  <c r="BV63" i="38"/>
  <c r="BV65" i="38"/>
  <c r="BV61" i="38"/>
  <c r="BV69" i="38"/>
  <c r="BV64" i="38"/>
  <c r="BV67" i="38"/>
  <c r="S6" i="35"/>
  <c r="S7" i="35" s="1"/>
  <c r="R9" i="35"/>
  <c r="R8" i="35"/>
  <c r="R11" i="35"/>
  <c r="R12" i="35" s="1"/>
  <c r="R9" i="36"/>
  <c r="S6" i="36"/>
  <c r="S7" i="36" s="1"/>
  <c r="R11" i="36"/>
  <c r="R12" i="36" s="1"/>
  <c r="R8" i="36"/>
  <c r="Q22" i="35"/>
  <c r="Q21" i="35"/>
  <c r="Q14" i="35"/>
  <c r="N61" i="35"/>
  <c r="N58" i="35"/>
  <c r="P34" i="35"/>
  <c r="P69" i="35"/>
  <c r="O58" i="35"/>
  <c r="O61" i="35"/>
  <c r="Q22" i="36"/>
  <c r="Q21" i="36"/>
  <c r="Q14" i="36"/>
  <c r="M79" i="24"/>
  <c r="M79" i="25" s="1"/>
  <c r="P70" i="24"/>
  <c r="P70" i="25" s="1"/>
  <c r="Q78" i="24"/>
  <c r="Q78" i="25" s="1"/>
  <c r="O90" i="23"/>
  <c r="N79" i="24"/>
  <c r="N79" i="25" s="1"/>
  <c r="O84" i="23"/>
  <c r="N73" i="24"/>
  <c r="N73" i="25" s="1"/>
  <c r="Q96" i="15"/>
  <c r="R96" i="15" s="1"/>
  <c r="N32" i="28"/>
  <c r="N82" i="23"/>
  <c r="P47" i="28"/>
  <c r="O36" i="28"/>
  <c r="R6" i="28"/>
  <c r="R7" i="28" s="1"/>
  <c r="S6" i="28" s="1"/>
  <c r="S7" i="28" s="1"/>
  <c r="Q11" i="28"/>
  <c r="Q12" i="28" s="1"/>
  <c r="Q14" i="28" s="1"/>
  <c r="P40" i="28"/>
  <c r="P45" i="28"/>
  <c r="P88" i="23" s="1"/>
  <c r="Q8" i="28"/>
  <c r="Q52" i="28" s="1"/>
  <c r="Q40" i="28"/>
  <c r="Q45" i="28"/>
  <c r="Q88" i="23" s="1"/>
  <c r="Q360" i="11"/>
  <c r="Q361" i="11" s="1"/>
  <c r="P363" i="11"/>
  <c r="R104" i="15"/>
  <c r="S1515" i="11"/>
  <c r="S1517" i="11" s="1"/>
  <c r="R357" i="41" s="1"/>
  <c r="P350" i="11"/>
  <c r="M439" i="14"/>
  <c r="Q734" i="11"/>
  <c r="Q735" i="11" s="1"/>
  <c r="Q737" i="11" s="1"/>
  <c r="Q778" i="11" s="1"/>
  <c r="Q780" i="11" s="1"/>
  <c r="Q100" i="11"/>
  <c r="R100" i="11" s="1"/>
  <c r="Q1094" i="11"/>
  <c r="Q1096" i="11" s="1"/>
  <c r="Q1097" i="11" s="1"/>
  <c r="K456" i="14"/>
  <c r="Q1016" i="11"/>
  <c r="Q1017" i="11" s="1"/>
  <c r="Q1019" i="11" s="1"/>
  <c r="Q513" i="11"/>
  <c r="Q514" i="11" s="1"/>
  <c r="Q1391" i="11" s="1"/>
  <c r="P518" i="11"/>
  <c r="P52" i="11"/>
  <c r="Q929" i="11"/>
  <c r="Q930" i="11" s="1"/>
  <c r="Q932" i="11" s="1"/>
  <c r="O1037" i="11"/>
  <c r="O1039" i="11" s="1"/>
  <c r="O438" i="14"/>
  <c r="O414" i="48" s="1"/>
  <c r="Q1021" i="11"/>
  <c r="Q1022" i="11" s="1"/>
  <c r="Q1024" i="11" s="1"/>
  <c r="P861" i="11"/>
  <c r="Q856" i="11"/>
  <c r="Q857" i="11" s="1"/>
  <c r="Q859" i="11" s="1"/>
  <c r="Q1011" i="11"/>
  <c r="Q1012" i="11" s="1"/>
  <c r="Q1014" i="11" s="1"/>
  <c r="Q1099" i="11"/>
  <c r="Q1103" i="11" s="1"/>
  <c r="Q744" i="11"/>
  <c r="Q745" i="11" s="1"/>
  <c r="Q747" i="11" s="1"/>
  <c r="Q788" i="11" s="1"/>
  <c r="Q790" i="11" s="1"/>
  <c r="P854" i="11"/>
  <c r="P862" i="11" s="1"/>
  <c r="Q851" i="11"/>
  <c r="Q852" i="11" s="1"/>
  <c r="P939" i="11"/>
  <c r="Q934" i="11"/>
  <c r="Q935" i="11" s="1"/>
  <c r="Q937" i="11" s="1"/>
  <c r="P940" i="11"/>
  <c r="O1048" i="11"/>
  <c r="O1050" i="11" s="1"/>
  <c r="Q739" i="11"/>
  <c r="Q740" i="11" s="1"/>
  <c r="Q742" i="11" s="1"/>
  <c r="Q783" i="11" s="1"/>
  <c r="Q785" i="11" s="1"/>
  <c r="R634" i="11"/>
  <c r="N301" i="11"/>
  <c r="M264" i="11"/>
  <c r="O969" i="11"/>
  <c r="O419" i="14" s="1"/>
  <c r="O395" i="48" s="1"/>
  <c r="O686" i="11"/>
  <c r="O327" i="14" s="1"/>
  <c r="O303" i="48" s="1"/>
  <c r="N89" i="11"/>
  <c r="P609" i="11"/>
  <c r="O1057" i="11"/>
  <c r="O442" i="14" s="1"/>
  <c r="O418" i="48" s="1"/>
  <c r="N71" i="11"/>
  <c r="R813" i="11"/>
  <c r="M593" i="11"/>
  <c r="M367" i="11"/>
  <c r="L534" i="11"/>
  <c r="L536" i="11" s="1"/>
  <c r="L522" i="11" s="1"/>
  <c r="R887" i="11"/>
  <c r="N649" i="11"/>
  <c r="R965" i="11"/>
  <c r="R316" i="11"/>
  <c r="Q317" i="11"/>
  <c r="M39" i="11"/>
  <c r="P146" i="14"/>
  <c r="O68" i="41" s="1"/>
  <c r="R684" i="11"/>
  <c r="Q695" i="11"/>
  <c r="P169" i="14"/>
  <c r="P520" i="11"/>
  <c r="P468" i="14"/>
  <c r="N77" i="11"/>
  <c r="N95" i="11"/>
  <c r="N54" i="11"/>
  <c r="Q399" i="14"/>
  <c r="P999" i="11"/>
  <c r="Q997" i="11"/>
  <c r="N672" i="11"/>
  <c r="U6" i="6"/>
  <c r="U7" i="6" s="1"/>
  <c r="V6" i="6" s="1"/>
  <c r="V7" i="6" s="1"/>
  <c r="T8" i="6"/>
  <c r="T11" i="6"/>
  <c r="T9" i="6"/>
  <c r="N1048" i="11"/>
  <c r="N1050" i="11" s="1"/>
  <c r="N1037" i="11"/>
  <c r="N1039" i="11" s="1"/>
  <c r="R1003" i="11"/>
  <c r="R848" i="11"/>
  <c r="R1036" i="11"/>
  <c r="R926" i="11"/>
  <c r="R1473" i="11"/>
  <c r="R1006" i="11"/>
  <c r="R948" i="11"/>
  <c r="R870" i="11"/>
  <c r="R1091" i="11"/>
  <c r="R31" i="11" s="1"/>
  <c r="R771" i="11"/>
  <c r="R400" i="11"/>
  <c r="R357" i="11"/>
  <c r="R582" i="11"/>
  <c r="R731" i="11"/>
  <c r="R510" i="11"/>
  <c r="O24" i="11"/>
  <c r="P984" i="11"/>
  <c r="Q982" i="11"/>
  <c r="O394" i="11"/>
  <c r="Q99" i="11"/>
  <c r="P113" i="11"/>
  <c r="J147" i="14"/>
  <c r="I66" i="41" s="1"/>
  <c r="I67" i="41" s="1"/>
  <c r="J157" i="14"/>
  <c r="Q677" i="11"/>
  <c r="P688" i="11"/>
  <c r="R63" i="11"/>
  <c r="Q65" i="11"/>
  <c r="N1104" i="11"/>
  <c r="M1111" i="11"/>
  <c r="Q328" i="11"/>
  <c r="P341" i="11"/>
  <c r="Q102" i="11"/>
  <c r="P116" i="11"/>
  <c r="Q669" i="11"/>
  <c r="P670" i="11"/>
  <c r="Q682" i="11"/>
  <c r="P693" i="11"/>
  <c r="Q294" i="11"/>
  <c r="Q295" i="11" s="1"/>
  <c r="O818" i="11"/>
  <c r="O373" i="14" s="1"/>
  <c r="O349" i="48" s="1"/>
  <c r="O379" i="11"/>
  <c r="O161" i="11" s="1"/>
  <c r="O164" i="11" s="1"/>
  <c r="Q1085" i="11"/>
  <c r="P1087" i="11"/>
  <c r="R51" i="11"/>
  <c r="Q52" i="11"/>
  <c r="Q681" i="11"/>
  <c r="P692" i="11"/>
  <c r="Q683" i="11"/>
  <c r="P694" i="11"/>
  <c r="Q336" i="11"/>
  <c r="P349" i="11"/>
  <c r="Q21" i="11"/>
  <c r="Q22" i="11" s="1"/>
  <c r="Q287" i="11"/>
  <c r="P288" i="11"/>
  <c r="R104" i="11"/>
  <c r="Q118" i="11"/>
  <c r="R98" i="11"/>
  <c r="Q112" i="11"/>
  <c r="T27" i="19"/>
  <c r="T25" i="19"/>
  <c r="Q617" i="11"/>
  <c r="P619" i="11"/>
  <c r="R14" i="25"/>
  <c r="R14" i="6"/>
  <c r="Q821" i="11"/>
  <c r="P823" i="11"/>
  <c r="Q276" i="11"/>
  <c r="P277" i="11"/>
  <c r="R304" i="11"/>
  <c r="Q305" i="11"/>
  <c r="Q371" i="11"/>
  <c r="Q376" i="11"/>
  <c r="Q391" i="11"/>
  <c r="Q602" i="11"/>
  <c r="Q607" i="11"/>
  <c r="Q1007" i="11"/>
  <c r="N279" i="11"/>
  <c r="R74" i="11"/>
  <c r="Q75" i="11"/>
  <c r="Q48" i="11"/>
  <c r="R46" i="11"/>
  <c r="R877" i="11"/>
  <c r="Q879" i="11"/>
  <c r="N625" i="11"/>
  <c r="Q86" i="11"/>
  <c r="P87" i="11"/>
  <c r="Q841" i="11"/>
  <c r="P843" i="11"/>
  <c r="Q836" i="11"/>
  <c r="P838" i="11"/>
  <c r="R676" i="11"/>
  <c r="Q687" i="11"/>
  <c r="Q678" i="11"/>
  <c r="P689" i="11"/>
  <c r="N631" i="11"/>
  <c r="O111" i="11"/>
  <c r="O24" i="14" s="1"/>
  <c r="O125" i="11"/>
  <c r="O27" i="14" s="1"/>
  <c r="O27" i="48" s="1"/>
  <c r="Q338" i="11"/>
  <c r="P351" i="11"/>
  <c r="Q57" i="11"/>
  <c r="P58" i="11"/>
  <c r="Q103" i="11"/>
  <c r="P117" i="11"/>
  <c r="Q1043" i="11"/>
  <c r="P1045" i="11"/>
  <c r="R680" i="11"/>
  <c r="Q691" i="11"/>
  <c r="R337" i="11"/>
  <c r="Q350" i="11"/>
  <c r="Q526" i="11"/>
  <c r="Q531" i="11"/>
  <c r="Q414" i="11"/>
  <c r="Q419" i="11"/>
  <c r="Q430" i="11"/>
  <c r="N422" i="11"/>
  <c r="N425" i="11" s="1"/>
  <c r="N381" i="11"/>
  <c r="Q1065" i="11"/>
  <c r="P1067" i="11"/>
  <c r="O353" i="11"/>
  <c r="O122" i="14" s="1"/>
  <c r="O98" i="48" s="1"/>
  <c r="O340" i="11"/>
  <c r="Q831" i="11"/>
  <c r="P833" i="11"/>
  <c r="Q652" i="11"/>
  <c r="P653" i="11"/>
  <c r="Q1070" i="11"/>
  <c r="P1072" i="11"/>
  <c r="Q329" i="11"/>
  <c r="P342" i="11"/>
  <c r="N433" i="11"/>
  <c r="N396" i="11"/>
  <c r="O384" i="11"/>
  <c r="O386" i="11" s="1"/>
  <c r="R904" i="11"/>
  <c r="Q906" i="11"/>
  <c r="Q334" i="11"/>
  <c r="P347" i="11"/>
  <c r="R333" i="11"/>
  <c r="Q346" i="11"/>
  <c r="Q107" i="11"/>
  <c r="P121" i="11"/>
  <c r="Q955" i="11"/>
  <c r="P957" i="11"/>
  <c r="R914" i="11"/>
  <c r="Q916" i="11"/>
  <c r="R108" i="11"/>
  <c r="Q122" i="11"/>
  <c r="R8" i="14"/>
  <c r="R108" i="14" s="1"/>
  <c r="S6" i="14"/>
  <c r="S7" i="14" s="1"/>
  <c r="R9" i="14"/>
  <c r="Q3" i="41" s="1"/>
  <c r="R11" i="14"/>
  <c r="R12" i="14" s="1"/>
  <c r="R14" i="14" s="1"/>
  <c r="Q105" i="11"/>
  <c r="P119" i="11"/>
  <c r="P1027" i="11"/>
  <c r="P1009" i="11"/>
  <c r="Q992" i="11"/>
  <c r="P994" i="11"/>
  <c r="Q646" i="11"/>
  <c r="P647" i="11"/>
  <c r="R335" i="11"/>
  <c r="Q348" i="11"/>
  <c r="O891" i="11"/>
  <c r="O396" i="14" s="1"/>
  <c r="O372" i="48" s="1"/>
  <c r="Q909" i="11"/>
  <c r="P911" i="11"/>
  <c r="Q298" i="11"/>
  <c r="P299" i="11"/>
  <c r="Q330" i="11"/>
  <c r="P343" i="11"/>
  <c r="Q477" i="14"/>
  <c r="Q36" i="14"/>
  <c r="Q500" i="14"/>
  <c r="Q270" i="14"/>
  <c r="Q293" i="14"/>
  <c r="Q131" i="14"/>
  <c r="Q454" i="14"/>
  <c r="Q339" i="14"/>
  <c r="Q155" i="14"/>
  <c r="Q385" i="14"/>
  <c r="Q178" i="14"/>
  <c r="Q408" i="14"/>
  <c r="Q431" i="14"/>
  <c r="Q803" i="11"/>
  <c r="P805" i="11"/>
  <c r="K451" i="14"/>
  <c r="K452" i="14" s="1"/>
  <c r="K457" i="14" s="1"/>
  <c r="Q106" i="11"/>
  <c r="P120" i="11"/>
  <c r="R310" i="11"/>
  <c r="Q311" i="11"/>
  <c r="Q899" i="11"/>
  <c r="P901" i="11"/>
  <c r="P586" i="11"/>
  <c r="J29" i="40" s="1"/>
  <c r="J9" i="40" s="1"/>
  <c r="Q585" i="11"/>
  <c r="Q919" i="11"/>
  <c r="P921" i="11"/>
  <c r="S11" i="25"/>
  <c r="S12" i="25" s="1"/>
  <c r="S14" i="25" s="1"/>
  <c r="S8" i="25"/>
  <c r="S36" i="25" s="1"/>
  <c r="S9" i="25"/>
  <c r="T6" i="25"/>
  <c r="T7" i="25" s="1"/>
  <c r="Q894" i="11"/>
  <c r="P896" i="11"/>
  <c r="N465" i="14"/>
  <c r="Q271" i="11"/>
  <c r="P273" i="11"/>
  <c r="N323" i="14"/>
  <c r="N635" i="11"/>
  <c r="N637" i="11" s="1"/>
  <c r="Q26" i="11"/>
  <c r="P27" i="11"/>
  <c r="P1108" i="11" s="1"/>
  <c r="R961" i="11"/>
  <c r="R41" i="11"/>
  <c r="R43" i="11" s="1"/>
  <c r="R81" i="11" s="1"/>
  <c r="R83" i="11" s="1"/>
  <c r="S12" i="6"/>
  <c r="S14" i="6" s="1"/>
  <c r="R867" i="11"/>
  <c r="R399" i="14" s="1"/>
  <c r="R375" i="48" s="1"/>
  <c r="R1033" i="11"/>
  <c r="R445" i="14" s="1"/>
  <c r="R421" i="48" s="1"/>
  <c r="R945" i="11"/>
  <c r="R422" i="14" s="1"/>
  <c r="R398" i="48" s="1"/>
  <c r="R1538" i="11"/>
  <c r="R1542" i="11" s="1"/>
  <c r="R266" i="11"/>
  <c r="R268" i="11" s="1"/>
  <c r="R294" i="11" s="1"/>
  <c r="R295" i="11" s="1"/>
  <c r="R767" i="11"/>
  <c r="R376" i="14" s="1"/>
  <c r="R352" i="48" s="1"/>
  <c r="R15" i="11"/>
  <c r="O415" i="14"/>
  <c r="O391" i="48" s="1"/>
  <c r="O960" i="11"/>
  <c r="O962" i="11" s="1"/>
  <c r="O949" i="11"/>
  <c r="O951" i="11" s="1"/>
  <c r="Q282" i="11"/>
  <c r="P284" i="11"/>
  <c r="P476" i="11" s="1"/>
  <c r="P699" i="11" s="1"/>
  <c r="Q679" i="11"/>
  <c r="P690" i="11"/>
  <c r="Q628" i="11"/>
  <c r="P629" i="11"/>
  <c r="Q332" i="11"/>
  <c r="P345" i="11"/>
  <c r="Q826" i="11"/>
  <c r="P828" i="11"/>
  <c r="Q808" i="11"/>
  <c r="P810" i="11"/>
  <c r="Q987" i="11"/>
  <c r="P989" i="11"/>
  <c r="O262" i="11"/>
  <c r="Q977" i="11"/>
  <c r="P979" i="11"/>
  <c r="N307" i="11"/>
  <c r="N319" i="11"/>
  <c r="N313" i="11"/>
  <c r="Q622" i="11"/>
  <c r="P623" i="11"/>
  <c r="O882" i="11"/>
  <c r="O884" i="11" s="1"/>
  <c r="O871" i="11"/>
  <c r="O873" i="11" s="1"/>
  <c r="O392" i="14"/>
  <c r="O368" i="48" s="1"/>
  <c r="N119" i="14"/>
  <c r="N95" i="48" s="1"/>
  <c r="N540" i="11"/>
  <c r="N542" i="11" s="1"/>
  <c r="Q640" i="11"/>
  <c r="P641" i="11"/>
  <c r="Q612" i="11"/>
  <c r="P614" i="11"/>
  <c r="Q1060" i="11"/>
  <c r="P1062" i="11"/>
  <c r="Q1080" i="11"/>
  <c r="P1082" i="11"/>
  <c r="Q972" i="11"/>
  <c r="P974" i="11"/>
  <c r="Q1053" i="11"/>
  <c r="Q1075" i="11"/>
  <c r="P1077" i="11"/>
  <c r="R331" i="11"/>
  <c r="Q344" i="11"/>
  <c r="Q255" i="11"/>
  <c r="S256" i="11" s="1"/>
  <c r="S442" i="11" s="1"/>
  <c r="R92" i="11"/>
  <c r="Q93" i="11"/>
  <c r="N115" i="14"/>
  <c r="N91" i="48" s="1"/>
  <c r="H40" i="40" s="1"/>
  <c r="S8" i="11"/>
  <c r="T6" i="11"/>
  <c r="T7" i="11" s="1"/>
  <c r="S9" i="11"/>
  <c r="S1460" i="11" s="1"/>
  <c r="S11" i="11"/>
  <c r="S12" i="11" s="1"/>
  <c r="R109" i="11"/>
  <c r="Q123" i="11"/>
  <c r="R101" i="11"/>
  <c r="Q115" i="11"/>
  <c r="N655" i="11"/>
  <c r="Q68" i="11"/>
  <c r="P69" i="11"/>
  <c r="R322" i="11"/>
  <c r="Q324" i="11"/>
  <c r="R14" i="15"/>
  <c r="S11" i="19"/>
  <c r="T6" i="19"/>
  <c r="T7" i="19" s="1"/>
  <c r="S8" i="19"/>
  <c r="S9" i="19"/>
  <c r="S9" i="15"/>
  <c r="S11" i="15"/>
  <c r="S12" i="15" s="1"/>
  <c r="T6" i="15"/>
  <c r="T7" i="15" s="1"/>
  <c r="S8" i="15"/>
  <c r="S14" i="23"/>
  <c r="T9" i="23"/>
  <c r="T11" i="23"/>
  <c r="T12" i="23" s="1"/>
  <c r="T8" i="23"/>
  <c r="T47" i="23" s="1"/>
  <c r="U6" i="23"/>
  <c r="U7" i="23" s="1"/>
  <c r="R14" i="24"/>
  <c r="S8" i="24"/>
  <c r="S36" i="24" s="1"/>
  <c r="T6" i="24"/>
  <c r="T7" i="24" s="1"/>
  <c r="S9" i="24"/>
  <c r="S11" i="24"/>
  <c r="S12" i="24" s="1"/>
  <c r="O73" i="14" l="1"/>
  <c r="I46" i="40"/>
  <c r="I70" i="40" s="1"/>
  <c r="G84" i="40"/>
  <c r="G85" i="40"/>
  <c r="J259" i="14"/>
  <c r="J272" i="14" s="1"/>
  <c r="N85" i="14"/>
  <c r="H46" i="40"/>
  <c r="H70" i="40" s="1"/>
  <c r="K256" i="14"/>
  <c r="K271" i="14" s="1"/>
  <c r="P145" i="48"/>
  <c r="O109" i="41"/>
  <c r="I35" i="41"/>
  <c r="R210" i="11"/>
  <c r="R72" i="14" s="1"/>
  <c r="Q17" i="41" s="1"/>
  <c r="R194" i="11"/>
  <c r="R197" i="11"/>
  <c r="R199" i="11" s="1"/>
  <c r="O514" i="14"/>
  <c r="H10" i="40"/>
  <c r="S257" i="11"/>
  <c r="V23" i="19"/>
  <c r="O490" i="48"/>
  <c r="R27" i="19"/>
  <c r="R54" i="19" s="1"/>
  <c r="R26" i="19"/>
  <c r="R62" i="19" s="1"/>
  <c r="R75" i="19" s="1"/>
  <c r="W6" i="6"/>
  <c r="W7" i="6" s="1"/>
  <c r="V8" i="6"/>
  <c r="V9" i="6"/>
  <c r="V11" i="6"/>
  <c r="G182" i="45"/>
  <c r="J1250" i="11"/>
  <c r="F15" i="40"/>
  <c r="F12" i="40" s="1"/>
  <c r="F5" i="40" s="1"/>
  <c r="F10" i="40" s="1"/>
  <c r="G9" i="50"/>
  <c r="L34" i="11"/>
  <c r="L38" i="11" s="1"/>
  <c r="L20" i="14" s="1"/>
  <c r="L37" i="11"/>
  <c r="L222" i="11"/>
  <c r="L227" i="11" s="1"/>
  <c r="L1239" i="11"/>
  <c r="L1215" i="11"/>
  <c r="H24" i="48"/>
  <c r="D39" i="40"/>
  <c r="H27" i="48"/>
  <c r="J39" i="11"/>
  <c r="J1248" i="11"/>
  <c r="K1221" i="11"/>
  <c r="K1218" i="11"/>
  <c r="K1223" i="11"/>
  <c r="K1220" i="11"/>
  <c r="K1222" i="11"/>
  <c r="E47" i="45"/>
  <c r="K1408" i="11"/>
  <c r="K1219" i="11"/>
  <c r="K60" i="11"/>
  <c r="K54" i="11"/>
  <c r="K95" i="11"/>
  <c r="K77" i="11"/>
  <c r="K89" i="11"/>
  <c r="K71" i="11"/>
  <c r="J126" i="14"/>
  <c r="J128" i="14" s="1"/>
  <c r="K1413" i="11"/>
  <c r="K1415" i="11" s="1"/>
  <c r="K1251" i="11"/>
  <c r="K1243" i="11"/>
  <c r="K1254" i="11"/>
  <c r="K1253" i="11"/>
  <c r="K1264" i="11"/>
  <c r="R4" i="42" s="1"/>
  <c r="K1246" i="11"/>
  <c r="K1247" i="11"/>
  <c r="K1244" i="11"/>
  <c r="K1252" i="11"/>
  <c r="K1242" i="11"/>
  <c r="K1245" i="11"/>
  <c r="K236" i="11"/>
  <c r="K230" i="11"/>
  <c r="F18" i="50"/>
  <c r="L5" i="50"/>
  <c r="Q1101" i="11"/>
  <c r="Q1110" i="11"/>
  <c r="Q1113" i="11"/>
  <c r="Q1115" i="11" s="1"/>
  <c r="J1224" i="11"/>
  <c r="J1410" i="11"/>
  <c r="J1406" i="11"/>
  <c r="K20" i="48"/>
  <c r="E39" i="40" s="1"/>
  <c r="J233" i="11"/>
  <c r="J234" i="11" s="1"/>
  <c r="J232" i="11"/>
  <c r="K202" i="48"/>
  <c r="K386" i="48"/>
  <c r="S13" i="11"/>
  <c r="R572" i="11"/>
  <c r="Q241" i="11"/>
  <c r="J180" i="14"/>
  <c r="J295" i="14"/>
  <c r="O1104" i="11"/>
  <c r="O236" i="11"/>
  <c r="J423" i="14"/>
  <c r="J426" i="14" s="1"/>
  <c r="J170" i="14"/>
  <c r="I107" i="41" s="1"/>
  <c r="I108" i="41" s="1"/>
  <c r="N73" i="14"/>
  <c r="K402" i="48"/>
  <c r="K404" i="48" s="1"/>
  <c r="K405" i="48" s="1"/>
  <c r="K410" i="48" s="1"/>
  <c r="J99" i="41"/>
  <c r="J101" i="41" s="1"/>
  <c r="J103" i="41" s="1"/>
  <c r="J104" i="41" s="1"/>
  <c r="J111" i="41" s="1"/>
  <c r="O237" i="48"/>
  <c r="L327" i="48"/>
  <c r="L330" i="48" s="1"/>
  <c r="L333" i="48" s="1"/>
  <c r="K108" i="48"/>
  <c r="R444" i="48"/>
  <c r="N237" i="48"/>
  <c r="O61" i="48"/>
  <c r="L255" i="14"/>
  <c r="K279" i="14"/>
  <c r="K294" i="14" s="1"/>
  <c r="J456" i="14"/>
  <c r="I263" i="41"/>
  <c r="I265" i="41" s="1"/>
  <c r="I267" i="41" s="1"/>
  <c r="N92" i="14"/>
  <c r="N68" i="48" s="1"/>
  <c r="H58" i="40" s="1"/>
  <c r="D36" i="47"/>
  <c r="K167" i="14"/>
  <c r="E87" i="40" s="1"/>
  <c r="E17" i="46" s="1"/>
  <c r="O232" i="11"/>
  <c r="I50" i="45" s="1"/>
  <c r="I58" i="45" s="1"/>
  <c r="O233" i="11"/>
  <c r="O234" i="11" s="1"/>
  <c r="O239" i="11" s="1"/>
  <c r="M218" i="48"/>
  <c r="M220" i="48" s="1"/>
  <c r="M221" i="48" s="1"/>
  <c r="M226" i="48" s="1"/>
  <c r="M225" i="48"/>
  <c r="J18" i="50"/>
  <c r="K117" i="48"/>
  <c r="K132" i="48" s="1"/>
  <c r="K242" i="14"/>
  <c r="K244" i="14" s="1"/>
  <c r="K245" i="14" s="1"/>
  <c r="K250" i="14" s="1"/>
  <c r="H116" i="48"/>
  <c r="J294" i="14"/>
  <c r="G96" i="40"/>
  <c r="J400" i="14"/>
  <c r="J403" i="14" s="1"/>
  <c r="M62" i="48"/>
  <c r="L164" i="14"/>
  <c r="L179" i="14" s="1"/>
  <c r="O85" i="14"/>
  <c r="J285" i="14"/>
  <c r="I271" i="41" s="1"/>
  <c r="I272" i="41" s="1"/>
  <c r="P514" i="14"/>
  <c r="P222" i="11"/>
  <c r="P227" i="11" s="1"/>
  <c r="P236" i="11" s="1"/>
  <c r="K8" i="50"/>
  <c r="M92" i="14"/>
  <c r="M239" i="11"/>
  <c r="M96" i="14" s="1"/>
  <c r="M72" i="48" s="1"/>
  <c r="M20" i="48"/>
  <c r="G39" i="40" s="1"/>
  <c r="P122" i="48"/>
  <c r="I57" i="40"/>
  <c r="O209" i="48"/>
  <c r="O224" i="48" s="1"/>
  <c r="H57" i="40"/>
  <c r="N209" i="48"/>
  <c r="N224" i="48" s="1"/>
  <c r="G60" i="40"/>
  <c r="M324" i="48"/>
  <c r="M339" i="48" s="1"/>
  <c r="D72" i="40"/>
  <c r="D17" i="49" s="1"/>
  <c r="L212" i="48"/>
  <c r="E164" i="45"/>
  <c r="C18" i="47"/>
  <c r="G165" i="45"/>
  <c r="E34" i="47"/>
  <c r="N562" i="11"/>
  <c r="N567" i="11" s="1"/>
  <c r="M280" i="48"/>
  <c r="P15" i="42"/>
  <c r="L92" i="48"/>
  <c r="L93" i="48" s="1"/>
  <c r="H163" i="14"/>
  <c r="L139" i="48"/>
  <c r="L140" i="48" s="1"/>
  <c r="P89" i="41"/>
  <c r="P91" i="41" s="1"/>
  <c r="Q138" i="48"/>
  <c r="K48" i="40" s="1"/>
  <c r="K176" i="41"/>
  <c r="L185" i="48"/>
  <c r="L186" i="48" s="1"/>
  <c r="K53" i="41"/>
  <c r="L116" i="48"/>
  <c r="L117" i="48" s="1"/>
  <c r="P191" i="48"/>
  <c r="N48" i="41"/>
  <c r="N50" i="41" s="1"/>
  <c r="O115" i="48"/>
  <c r="I47" i="40" s="1"/>
  <c r="K224" i="48"/>
  <c r="K212" i="48"/>
  <c r="L318" i="14"/>
  <c r="L311" i="14"/>
  <c r="L313" i="14" s="1"/>
  <c r="L314" i="14" s="1"/>
  <c r="L319" i="14" s="1"/>
  <c r="F98" i="40"/>
  <c r="L284" i="48"/>
  <c r="K287" i="48"/>
  <c r="K289" i="48" s="1"/>
  <c r="K290" i="48" s="1"/>
  <c r="K295" i="48" s="1"/>
  <c r="K294" i="48"/>
  <c r="D96" i="40"/>
  <c r="D106" i="40" s="1"/>
  <c r="D19" i="49" s="1"/>
  <c r="J215" i="48"/>
  <c r="J218" i="48" s="1"/>
  <c r="J220" i="48" s="1"/>
  <c r="J225" i="48"/>
  <c r="J55" i="41"/>
  <c r="J58" i="41"/>
  <c r="J60" i="41" s="1"/>
  <c r="K132" i="14"/>
  <c r="K120" i="14"/>
  <c r="M317" i="14"/>
  <c r="M305" i="14"/>
  <c r="G59" i="40"/>
  <c r="G68" i="40" s="1"/>
  <c r="G13" i="49" s="1"/>
  <c r="M278" i="48"/>
  <c r="L373" i="48"/>
  <c r="L376" i="48" s="1"/>
  <c r="L386" i="48" s="1"/>
  <c r="K304" i="48"/>
  <c r="K307" i="48" s="1"/>
  <c r="K310" i="48" s="1"/>
  <c r="J219" i="41"/>
  <c r="J226" i="41" s="1"/>
  <c r="O24" i="48"/>
  <c r="J258" i="41"/>
  <c r="J263" i="41" s="1"/>
  <c r="J265" i="41" s="1"/>
  <c r="I294" i="41"/>
  <c r="I296" i="41" s="1"/>
  <c r="J460" i="48"/>
  <c r="M417" i="14"/>
  <c r="M392" i="48"/>
  <c r="M393" i="48" s="1"/>
  <c r="L420" i="14"/>
  <c r="L423" i="14" s="1"/>
  <c r="L432" i="14"/>
  <c r="Q468" i="14"/>
  <c r="Q375" i="48"/>
  <c r="Q444" i="48" s="1"/>
  <c r="N394" i="14"/>
  <c r="N409" i="14" s="1"/>
  <c r="N369" i="48"/>
  <c r="N370" i="48" s="1"/>
  <c r="N373" i="48" s="1"/>
  <c r="N376" i="48" s="1"/>
  <c r="K403" i="14"/>
  <c r="K405" i="14" s="1"/>
  <c r="K406" i="14" s="1"/>
  <c r="K411" i="14" s="1"/>
  <c r="K410" i="14"/>
  <c r="L397" i="14"/>
  <c r="L400" i="14" s="1"/>
  <c r="L409" i="14"/>
  <c r="M440" i="14"/>
  <c r="M443" i="14" s="1"/>
  <c r="M446" i="14" s="1"/>
  <c r="M415" i="48"/>
  <c r="M416" i="48" s="1"/>
  <c r="O441" i="48"/>
  <c r="K433" i="14"/>
  <c r="K426" i="14"/>
  <c r="K428" i="14" s="1"/>
  <c r="K429" i="14" s="1"/>
  <c r="K434" i="14" s="1"/>
  <c r="L396" i="48"/>
  <c r="L399" i="48" s="1"/>
  <c r="L409" i="48" s="1"/>
  <c r="M394" i="14"/>
  <c r="M397" i="14" s="1"/>
  <c r="M400" i="14" s="1"/>
  <c r="M410" i="14" s="1"/>
  <c r="M369" i="48"/>
  <c r="M370" i="48" s="1"/>
  <c r="N253" i="41"/>
  <c r="N255" i="41" s="1"/>
  <c r="O253" i="48"/>
  <c r="I54" i="40" s="1"/>
  <c r="N273" i="41"/>
  <c r="O260" i="48"/>
  <c r="M232" i="41"/>
  <c r="N306" i="48"/>
  <c r="M212" i="41"/>
  <c r="M214" i="41" s="1"/>
  <c r="N299" i="48"/>
  <c r="H41" i="40" s="1"/>
  <c r="K217" i="41"/>
  <c r="K219" i="41" s="1"/>
  <c r="L300" i="48"/>
  <c r="L301" i="48" s="1"/>
  <c r="L316" i="48" s="1"/>
  <c r="N232" i="41"/>
  <c r="O306" i="48"/>
  <c r="O51" i="48"/>
  <c r="O52" i="48" s="1"/>
  <c r="O62" i="48" s="1"/>
  <c r="K57" i="48"/>
  <c r="K58" i="48" s="1"/>
  <c r="K63" i="48" s="1"/>
  <c r="P7" i="41"/>
  <c r="P9" i="41" s="1"/>
  <c r="Q44" i="48"/>
  <c r="O12" i="41"/>
  <c r="P45" i="48"/>
  <c r="P46" i="48" s="1"/>
  <c r="P49" i="48" s="1"/>
  <c r="M19" i="41"/>
  <c r="M21" i="41" s="1"/>
  <c r="M22" i="41" s="1"/>
  <c r="M29" i="41" s="1"/>
  <c r="N51" i="48"/>
  <c r="P70" i="14"/>
  <c r="J35" i="41"/>
  <c r="N14" i="41"/>
  <c r="N19" i="41"/>
  <c r="P283" i="48"/>
  <c r="N490" i="48"/>
  <c r="M140" i="14"/>
  <c r="Q69" i="14"/>
  <c r="N235" i="14"/>
  <c r="N211" i="48" s="1"/>
  <c r="J422" i="48"/>
  <c r="J432" i="48"/>
  <c r="P871" i="11"/>
  <c r="P873" i="11" s="1"/>
  <c r="N212" i="14"/>
  <c r="N188" i="48" s="1"/>
  <c r="K109" i="48"/>
  <c r="K99" i="48"/>
  <c r="J133" i="48"/>
  <c r="J123" i="48"/>
  <c r="J156" i="48"/>
  <c r="J146" i="48"/>
  <c r="J270" i="48"/>
  <c r="J258" i="48"/>
  <c r="D93" i="40" s="1"/>
  <c r="P960" i="11"/>
  <c r="P962" i="11" s="1"/>
  <c r="N96" i="14"/>
  <c r="N72" i="48" s="1"/>
  <c r="J335" i="48"/>
  <c r="M350" i="14"/>
  <c r="M326" i="48" s="1"/>
  <c r="M163" i="14"/>
  <c r="M164" i="14" s="1"/>
  <c r="P277" i="14"/>
  <c r="P192" i="11"/>
  <c r="Q238" i="14"/>
  <c r="Q214" i="48" s="1"/>
  <c r="J488" i="14"/>
  <c r="J197" i="48"/>
  <c r="J317" i="48"/>
  <c r="J307" i="48"/>
  <c r="M324" i="14"/>
  <c r="M300" i="48" s="1"/>
  <c r="M301" i="48" s="1"/>
  <c r="K330" i="48"/>
  <c r="N281" i="14"/>
  <c r="N257" i="48" s="1"/>
  <c r="Q353" i="14"/>
  <c r="Q329" i="48" s="1"/>
  <c r="K427" i="48"/>
  <c r="K428" i="48" s="1"/>
  <c r="K433" i="48" s="1"/>
  <c r="P330" i="14"/>
  <c r="P139" i="14"/>
  <c r="P115" i="48" s="1"/>
  <c r="J47" i="40" s="1"/>
  <c r="N209" i="14"/>
  <c r="M116" i="14"/>
  <c r="J235" i="48"/>
  <c r="J247" i="48"/>
  <c r="O115" i="14"/>
  <c r="O91" i="48" s="1"/>
  <c r="I40" i="40" s="1"/>
  <c r="N49" i="48"/>
  <c r="N61" i="48"/>
  <c r="J290" i="48"/>
  <c r="K94" i="41"/>
  <c r="K96" i="41" s="1"/>
  <c r="J109" i="48"/>
  <c r="J99" i="48"/>
  <c r="K247" i="48"/>
  <c r="K235" i="48"/>
  <c r="K238" i="48" s="1"/>
  <c r="M212" i="14"/>
  <c r="M188" i="48" s="1"/>
  <c r="Q215" i="14"/>
  <c r="P191" i="41" s="1"/>
  <c r="Q75" i="48"/>
  <c r="M57" i="48"/>
  <c r="M58" i="48" s="1"/>
  <c r="M63" i="48" s="1"/>
  <c r="O458" i="11"/>
  <c r="M209" i="14"/>
  <c r="J376" i="48"/>
  <c r="J386" i="48"/>
  <c r="J409" i="48"/>
  <c r="J399" i="48"/>
  <c r="K197" i="48"/>
  <c r="K198" i="48" s="1"/>
  <c r="K203" i="48" s="1"/>
  <c r="J58" i="48"/>
  <c r="L55" i="48"/>
  <c r="L62" i="48"/>
  <c r="N416" i="14"/>
  <c r="K258" i="48"/>
  <c r="K270" i="48"/>
  <c r="P284" i="14"/>
  <c r="L278" i="14"/>
  <c r="K484" i="14"/>
  <c r="K460" i="48" s="1"/>
  <c r="N20" i="14"/>
  <c r="O235" i="14"/>
  <c r="O211" i="48" s="1"/>
  <c r="R162" i="14"/>
  <c r="Q569" i="11"/>
  <c r="Q307" i="14" s="1"/>
  <c r="K155" i="48"/>
  <c r="K143" i="48"/>
  <c r="K146" i="48" s="1"/>
  <c r="K381" i="48"/>
  <c r="K382" i="48" s="1"/>
  <c r="K387" i="48" s="1"/>
  <c r="L416" i="48"/>
  <c r="T848" i="43"/>
  <c r="T850" i="43" s="1"/>
  <c r="U847" i="43"/>
  <c r="I238" i="41"/>
  <c r="I240" i="41"/>
  <c r="U838" i="43"/>
  <c r="U840" i="43" s="1"/>
  <c r="V837" i="43"/>
  <c r="V838" i="43" s="1"/>
  <c r="V840" i="43" s="1"/>
  <c r="Q718" i="11"/>
  <c r="R244" i="11"/>
  <c r="R99" i="14" s="1"/>
  <c r="R721" i="11"/>
  <c r="R577" i="11"/>
  <c r="R726" i="11"/>
  <c r="R249" i="11"/>
  <c r="S223" i="11"/>
  <c r="S700" i="11"/>
  <c r="S551" i="11"/>
  <c r="H191" i="45"/>
  <c r="H182" i="45"/>
  <c r="F82" i="45"/>
  <c r="F189" i="45"/>
  <c r="G78" i="45"/>
  <c r="E37" i="47" s="1"/>
  <c r="G172" i="45"/>
  <c r="O560" i="11"/>
  <c r="I102" i="45" s="1"/>
  <c r="I110" i="45" s="1"/>
  <c r="O561" i="11"/>
  <c r="O300" i="14" s="1"/>
  <c r="G110" i="45"/>
  <c r="G103" i="45"/>
  <c r="E27" i="47" s="1"/>
  <c r="E28" i="47" s="1"/>
  <c r="I10" i="45"/>
  <c r="I9" i="45" s="1"/>
  <c r="O1327" i="11"/>
  <c r="O1331" i="11" s="1"/>
  <c r="H111" i="45"/>
  <c r="F30" i="47" s="1"/>
  <c r="F31" i="47" s="1"/>
  <c r="H103" i="45"/>
  <c r="F27" i="47" s="1"/>
  <c r="F28" i="47" s="1"/>
  <c r="P558" i="11"/>
  <c r="O1400" i="11"/>
  <c r="O1402" i="11" s="1"/>
  <c r="I109" i="45"/>
  <c r="I190" i="45" s="1"/>
  <c r="Q1394" i="11"/>
  <c r="K99" i="45"/>
  <c r="K98" i="45" s="1"/>
  <c r="P1396" i="11"/>
  <c r="P1398" i="11" s="1"/>
  <c r="J101" i="45"/>
  <c r="J181" i="45" s="1"/>
  <c r="F67" i="45"/>
  <c r="M1420" i="11"/>
  <c r="G92" i="40" s="1"/>
  <c r="O709" i="11"/>
  <c r="I73" i="45" s="1"/>
  <c r="I81" i="45" s="1"/>
  <c r="O710" i="11"/>
  <c r="O711" i="11" s="1"/>
  <c r="O1366" i="11"/>
  <c r="I70" i="45"/>
  <c r="I69" i="45" s="1"/>
  <c r="O1374" i="11"/>
  <c r="O1368" i="11"/>
  <c r="O1369" i="11"/>
  <c r="O1370" i="11"/>
  <c r="O1353" i="11"/>
  <c r="I64" i="45"/>
  <c r="N1355" i="11"/>
  <c r="H66" i="45" s="1"/>
  <c r="H65" i="45"/>
  <c r="M1358" i="11"/>
  <c r="G74" i="45"/>
  <c r="E35" i="47" s="1"/>
  <c r="H72" i="45"/>
  <c r="N1372" i="11"/>
  <c r="G80" i="45"/>
  <c r="M1375" i="11"/>
  <c r="O1357" i="11"/>
  <c r="O1351" i="11"/>
  <c r="O1352" i="11"/>
  <c r="O1349" i="11"/>
  <c r="P1346" i="11"/>
  <c r="P1363" i="11"/>
  <c r="P1435" i="11" s="1"/>
  <c r="M1101" i="43"/>
  <c r="N1040" i="43"/>
  <c r="N1104" i="43" s="1"/>
  <c r="H70" i="42" s="1"/>
  <c r="H86" i="42" s="1"/>
  <c r="Q39" i="43"/>
  <c r="Q979" i="43" s="1"/>
  <c r="Q980" i="43" s="1"/>
  <c r="P780" i="43"/>
  <c r="P782" i="43" s="1"/>
  <c r="P773" i="43" s="1"/>
  <c r="R932" i="43"/>
  <c r="R939" i="43" s="1"/>
  <c r="R940" i="43" s="1"/>
  <c r="R942" i="43" s="1"/>
  <c r="R95" i="43"/>
  <c r="R71" i="43"/>
  <c r="P1083" i="43"/>
  <c r="R60" i="43"/>
  <c r="Q335" i="43"/>
  <c r="R89" i="43"/>
  <c r="P39" i="43"/>
  <c r="P979" i="43" s="1"/>
  <c r="P980" i="43" s="1"/>
  <c r="P1026" i="43"/>
  <c r="P1036" i="43" s="1"/>
  <c r="P1103" i="43" s="1"/>
  <c r="R54" i="43"/>
  <c r="R77" i="43"/>
  <c r="O1038" i="43"/>
  <c r="O1028" i="43" s="1"/>
  <c r="O1035" i="43" s="1"/>
  <c r="P1081" i="43"/>
  <c r="P1099" i="43" s="1"/>
  <c r="O973" i="43"/>
  <c r="O975" i="43" s="1"/>
  <c r="O971" i="43" s="1"/>
  <c r="O950" i="43"/>
  <c r="O983" i="43" s="1"/>
  <c r="O985" i="43" s="1"/>
  <c r="S32" i="43"/>
  <c r="P1209" i="43"/>
  <c r="P933" i="43"/>
  <c r="P935" i="43" s="1"/>
  <c r="P939" i="43"/>
  <c r="P940" i="43" s="1"/>
  <c r="P942" i="43" s="1"/>
  <c r="Q149" i="43"/>
  <c r="P695" i="43"/>
  <c r="O1095" i="43"/>
  <c r="O1100" i="43" s="1"/>
  <c r="R23" i="43"/>
  <c r="R38" i="43" s="1"/>
  <c r="R1016" i="43"/>
  <c r="R1071" i="43"/>
  <c r="R1098" i="43" s="1"/>
  <c r="P1034" i="43"/>
  <c r="T20" i="43"/>
  <c r="S21" i="43"/>
  <c r="S37" i="43" s="1"/>
  <c r="S932" i="43" s="1"/>
  <c r="Q1024" i="43"/>
  <c r="Q1019" i="43"/>
  <c r="Q1032" i="43"/>
  <c r="Q1030" i="43"/>
  <c r="Q1031" i="43"/>
  <c r="Q1022" i="43"/>
  <c r="Q1029" i="43"/>
  <c r="Q1021" i="43"/>
  <c r="Q1023" i="43"/>
  <c r="Q1025" i="43"/>
  <c r="Q1020" i="43"/>
  <c r="Q1033" i="43"/>
  <c r="Q1078" i="43"/>
  <c r="Q1084" i="43"/>
  <c r="Q1086" i="43"/>
  <c r="Q1085" i="43"/>
  <c r="Q1076" i="43"/>
  <c r="Q1077" i="43"/>
  <c r="Q1087" i="43"/>
  <c r="Q1074" i="43"/>
  <c r="Q1079" i="43"/>
  <c r="Q1216" i="43"/>
  <c r="Q1218" i="43" s="1"/>
  <c r="Q1220" i="43" s="1"/>
  <c r="Q1222" i="43" s="1"/>
  <c r="Q1080" i="43"/>
  <c r="Q1088" i="43"/>
  <c r="Q1075" i="43"/>
  <c r="N1406" i="11"/>
  <c r="N1417" i="11"/>
  <c r="H53" i="40" s="1"/>
  <c r="G49" i="42"/>
  <c r="Q555" i="11"/>
  <c r="O457" i="11"/>
  <c r="P564" i="11"/>
  <c r="L248" i="14"/>
  <c r="L236" i="14"/>
  <c r="L239" i="14" s="1"/>
  <c r="O1408" i="11"/>
  <c r="O1410" i="11" s="1"/>
  <c r="I47" i="45"/>
  <c r="I46" i="45" s="1"/>
  <c r="P486" i="11"/>
  <c r="J14" i="45" s="1"/>
  <c r="J23" i="45" s="1"/>
  <c r="P487" i="11"/>
  <c r="P488" i="11" s="1"/>
  <c r="K1270" i="11"/>
  <c r="E35" i="42" s="1"/>
  <c r="E43" i="45"/>
  <c r="E44" i="45"/>
  <c r="I41" i="45"/>
  <c r="I39" i="45" s="1"/>
  <c r="L1269" i="11"/>
  <c r="F32" i="42" s="1"/>
  <c r="F42" i="45"/>
  <c r="K216" i="14"/>
  <c r="J189" i="41" s="1"/>
  <c r="J190" i="41" s="1"/>
  <c r="N171" i="41"/>
  <c r="N173" i="41" s="1"/>
  <c r="O492" i="11"/>
  <c r="O715" i="11"/>
  <c r="O208" i="14"/>
  <c r="O184" i="48" s="1"/>
  <c r="I49" i="40" s="1"/>
  <c r="O566" i="11"/>
  <c r="O238" i="11"/>
  <c r="Q449" i="11"/>
  <c r="P453" i="11"/>
  <c r="I185" i="41"/>
  <c r="I186" i="41" s="1"/>
  <c r="T223" i="43"/>
  <c r="S224" i="43"/>
  <c r="S309" i="43" s="1"/>
  <c r="S311" i="43" s="1"/>
  <c r="R692" i="43"/>
  <c r="R685" i="43"/>
  <c r="R693" i="43" s="1"/>
  <c r="M588" i="43"/>
  <c r="M591" i="43"/>
  <c r="T46" i="43"/>
  <c r="S48" i="43"/>
  <c r="T229" i="43"/>
  <c r="S230" i="43"/>
  <c r="K647" i="43"/>
  <c r="K603" i="43"/>
  <c r="K605" i="43" s="1"/>
  <c r="K600" i="43" s="1"/>
  <c r="T104" i="43"/>
  <c r="S118" i="43"/>
  <c r="Q770" i="43"/>
  <c r="P456" i="43"/>
  <c r="T103" i="43"/>
  <c r="S117" i="43"/>
  <c r="T253" i="43"/>
  <c r="S266" i="43"/>
  <c r="T51" i="43"/>
  <c r="S52" i="43"/>
  <c r="R766" i="43"/>
  <c r="R768" i="43" s="1"/>
  <c r="S765" i="43"/>
  <c r="Q771" i="43"/>
  <c r="R549" i="43"/>
  <c r="N755" i="11"/>
  <c r="O754" i="11"/>
  <c r="T255" i="43"/>
  <c r="S268" i="43"/>
  <c r="T57" i="43"/>
  <c r="S58" i="43"/>
  <c r="T100" i="43"/>
  <c r="S114" i="43"/>
  <c r="R111" i="43"/>
  <c r="R125" i="43"/>
  <c r="P576" i="43"/>
  <c r="P578" i="43" s="1"/>
  <c r="P619" i="43" s="1"/>
  <c r="P621" i="43" s="1"/>
  <c r="Q575" i="43"/>
  <c r="S75" i="43"/>
  <c r="T74" i="43"/>
  <c r="S688" i="43"/>
  <c r="S690" i="43" s="1"/>
  <c r="T687" i="43"/>
  <c r="T544" i="43"/>
  <c r="S555" i="43"/>
  <c r="T108" i="43"/>
  <c r="S122" i="43"/>
  <c r="T107" i="43"/>
  <c r="S121" i="43"/>
  <c r="Q506" i="43"/>
  <c r="Q518" i="43"/>
  <c r="Q494" i="43"/>
  <c r="Q488" i="43"/>
  <c r="Q512" i="43"/>
  <c r="Q535" i="43"/>
  <c r="T105" i="43"/>
  <c r="S119" i="43"/>
  <c r="S274" i="43"/>
  <c r="T261" i="43"/>
  <c r="O619" i="43"/>
  <c r="O621" i="43" s="1"/>
  <c r="T542" i="43"/>
  <c r="S553" i="43"/>
  <c r="T547" i="43"/>
  <c r="S558" i="43"/>
  <c r="T86" i="43"/>
  <c r="S87" i="43"/>
  <c r="L592" i="43"/>
  <c r="L629" i="43"/>
  <c r="L631" i="43" s="1"/>
  <c r="L607" i="43" s="1"/>
  <c r="T257" i="43"/>
  <c r="S270" i="43"/>
  <c r="T262" i="43"/>
  <c r="S275" i="43"/>
  <c r="T254" i="43"/>
  <c r="S267" i="43"/>
  <c r="T546" i="43"/>
  <c r="S557" i="43"/>
  <c r="T212" i="43"/>
  <c r="S213" i="43"/>
  <c r="S319" i="43" s="1"/>
  <c r="S551" i="43"/>
  <c r="T540" i="43"/>
  <c r="K772" i="11"/>
  <c r="K774" i="11" s="1"/>
  <c r="K769" i="11" s="1"/>
  <c r="K369" i="14"/>
  <c r="K345" i="48" s="1"/>
  <c r="K437" i="48" s="1"/>
  <c r="E42" i="40" s="1"/>
  <c r="K816" i="11"/>
  <c r="T201" i="43"/>
  <c r="S202" i="43"/>
  <c r="S304" i="43" s="1"/>
  <c r="S843" i="43"/>
  <c r="T842" i="43"/>
  <c r="S761" i="43"/>
  <c r="T760" i="43"/>
  <c r="S65" i="43"/>
  <c r="T63" i="43"/>
  <c r="T109" i="43"/>
  <c r="S123" i="43"/>
  <c r="S449" i="43"/>
  <c r="T448" i="43"/>
  <c r="O695" i="43"/>
  <c r="T106" i="43"/>
  <c r="S120" i="43"/>
  <c r="Q571" i="43"/>
  <c r="Q573" i="43" s="1"/>
  <c r="Q614" i="43" s="1"/>
  <c r="Q616" i="43" s="1"/>
  <c r="R570" i="43"/>
  <c r="S683" i="43"/>
  <c r="T682" i="43"/>
  <c r="T545" i="43"/>
  <c r="S556" i="43"/>
  <c r="T258" i="43"/>
  <c r="S271" i="43"/>
  <c r="N586" i="43"/>
  <c r="O585" i="43"/>
  <c r="R454" i="43"/>
  <c r="R452" i="43"/>
  <c r="R498" i="43" s="1"/>
  <c r="R500" i="43" s="1"/>
  <c r="T235" i="43"/>
  <c r="S236" i="43"/>
  <c r="T101" i="43"/>
  <c r="S115" i="43"/>
  <c r="T539" i="43"/>
  <c r="S550" i="43"/>
  <c r="M757" i="11"/>
  <c r="M760" i="11"/>
  <c r="G20" i="40" s="1"/>
  <c r="S853" i="43"/>
  <c r="S855" i="43" s="1"/>
  <c r="T852" i="43"/>
  <c r="T102" i="43"/>
  <c r="S116" i="43"/>
  <c r="J600" i="43"/>
  <c r="J594" i="43" s="1"/>
  <c r="T543" i="43"/>
  <c r="S554" i="43"/>
  <c r="L761" i="11"/>
  <c r="L798" i="11"/>
  <c r="L800" i="11" s="1"/>
  <c r="L776" i="11" s="1"/>
  <c r="R402" i="43"/>
  <c r="R405" i="43" s="1"/>
  <c r="R172" i="43"/>
  <c r="R175" i="43" s="1"/>
  <c r="R358" i="43"/>
  <c r="R361" i="43" s="1"/>
  <c r="S273" i="43"/>
  <c r="T260" i="43"/>
  <c r="O581" i="43"/>
  <c r="O583" i="43" s="1"/>
  <c r="P580" i="43"/>
  <c r="T92" i="43"/>
  <c r="S93" i="43"/>
  <c r="R278" i="43"/>
  <c r="R265" i="43"/>
  <c r="R439" i="43" s="1"/>
  <c r="R441" i="43" s="1"/>
  <c r="T256" i="43"/>
  <c r="S269" i="43"/>
  <c r="R566" i="43"/>
  <c r="R568" i="43" s="1"/>
  <c r="R609" i="43" s="1"/>
  <c r="R611" i="43" s="1"/>
  <c r="S565" i="43"/>
  <c r="J763" i="11"/>
  <c r="T541" i="43"/>
  <c r="S552" i="43"/>
  <c r="R161" i="43"/>
  <c r="R164" i="43" s="1"/>
  <c r="R391" i="43"/>
  <c r="R394" i="43" s="1"/>
  <c r="R347" i="43"/>
  <c r="R350" i="43" s="1"/>
  <c r="T259" i="43"/>
  <c r="S272" i="43"/>
  <c r="S112" i="43"/>
  <c r="T98" i="43"/>
  <c r="S242" i="43"/>
  <c r="T241" i="43"/>
  <c r="J461" i="14"/>
  <c r="J319" i="14"/>
  <c r="P861" i="43"/>
  <c r="Q879" i="43"/>
  <c r="Q881" i="43" s="1"/>
  <c r="Q868" i="43"/>
  <c r="Q870" i="43" s="1"/>
  <c r="Q713" i="43"/>
  <c r="Q715" i="43" s="1"/>
  <c r="Q702" i="43"/>
  <c r="Q704" i="43" s="1"/>
  <c r="T263" i="43"/>
  <c r="S276" i="43"/>
  <c r="R845" i="43"/>
  <c r="R859" i="43" s="1"/>
  <c r="R858" i="43"/>
  <c r="R763" i="43"/>
  <c r="O750" i="11"/>
  <c r="O752" i="11" s="1"/>
  <c r="O793" i="11" s="1"/>
  <c r="O795" i="11" s="1"/>
  <c r="P749" i="11"/>
  <c r="O773" i="43"/>
  <c r="P1178" i="43"/>
  <c r="P1180" i="43" s="1"/>
  <c r="P1186" i="43" s="1"/>
  <c r="P591" i="11"/>
  <c r="P655" i="11" s="1"/>
  <c r="P589" i="11"/>
  <c r="P1278" i="11"/>
  <c r="J4" i="45" s="1"/>
  <c r="J2" i="45" s="1"/>
  <c r="P1302" i="11"/>
  <c r="O1425" i="11"/>
  <c r="O1182" i="43"/>
  <c r="O1184" i="43" s="1"/>
  <c r="O1187" i="43" s="1"/>
  <c r="O1188" i="43" s="1"/>
  <c r="O1285" i="11"/>
  <c r="O1004" i="43"/>
  <c r="O1011" i="43" s="1"/>
  <c r="S333" i="43"/>
  <c r="S406" i="11"/>
  <c r="S408" i="11"/>
  <c r="M26" i="40"/>
  <c r="T329" i="43"/>
  <c r="T331" i="43" s="1"/>
  <c r="T403" i="11"/>
  <c r="T404" i="11" s="1"/>
  <c r="N26" i="40" s="1"/>
  <c r="P550" i="11"/>
  <c r="O713" i="11"/>
  <c r="J365" i="14"/>
  <c r="K354" i="14"/>
  <c r="M348" i="14"/>
  <c r="N716" i="11"/>
  <c r="N346" i="14"/>
  <c r="O233" i="14"/>
  <c r="P704" i="11"/>
  <c r="P707" i="11" s="1"/>
  <c r="L363" i="14"/>
  <c r="L351" i="14"/>
  <c r="L354" i="14" s="1"/>
  <c r="J245" i="14"/>
  <c r="J250" i="14" s="1"/>
  <c r="P261" i="14"/>
  <c r="R362" i="14"/>
  <c r="R523" i="14"/>
  <c r="R316" i="14"/>
  <c r="L140" i="41"/>
  <c r="L142" i="41" s="1"/>
  <c r="M239" i="14"/>
  <c r="K27" i="40"/>
  <c r="Q480" i="11"/>
  <c r="Q481" i="11" s="1"/>
  <c r="Q484" i="11" s="1"/>
  <c r="N233" i="14"/>
  <c r="P490" i="11"/>
  <c r="R224" i="14"/>
  <c r="R247" i="14"/>
  <c r="R445" i="11"/>
  <c r="R498" i="11"/>
  <c r="R503" i="11"/>
  <c r="O1283" i="11"/>
  <c r="Q495" i="11"/>
  <c r="O1292" i="11"/>
  <c r="O1282" i="11"/>
  <c r="O1290" i="11"/>
  <c r="O1291" i="11"/>
  <c r="S477" i="11"/>
  <c r="O1286" i="11"/>
  <c r="N137" i="41"/>
  <c r="O1284" i="11"/>
  <c r="O1124" i="43"/>
  <c r="Q1130" i="43"/>
  <c r="T288" i="43"/>
  <c r="T290" i="43"/>
  <c r="V285" i="43"/>
  <c r="U328" i="43"/>
  <c r="U286" i="43"/>
  <c r="R292" i="43"/>
  <c r="P440" i="11"/>
  <c r="P1170" i="43"/>
  <c r="P1133" i="43"/>
  <c r="P1171" i="43" s="1"/>
  <c r="J18" i="40"/>
  <c r="P260" i="11"/>
  <c r="Q1122" i="43"/>
  <c r="Q189" i="43"/>
  <c r="Q433" i="43" s="1"/>
  <c r="Q435" i="43" s="1"/>
  <c r="Q421" i="43" s="1"/>
  <c r="P1166" i="43"/>
  <c r="Q1148" i="43"/>
  <c r="R1227" i="43"/>
  <c r="R1229" i="43" s="1"/>
  <c r="R1232" i="43" s="1"/>
  <c r="R1142" i="43"/>
  <c r="R1144" i="43"/>
  <c r="R1146" i="43"/>
  <c r="R1147" i="43"/>
  <c r="R1151" i="43"/>
  <c r="R1155" i="43"/>
  <c r="R1153" i="43"/>
  <c r="R1145" i="43"/>
  <c r="R1152" i="43"/>
  <c r="R1143" i="43"/>
  <c r="R1141" i="43"/>
  <c r="R226" i="43"/>
  <c r="R215" i="43"/>
  <c r="R244" i="43"/>
  <c r="R238" i="43"/>
  <c r="R232" i="43"/>
  <c r="R204" i="43"/>
  <c r="R1126" i="43"/>
  <c r="R1117" i="43"/>
  <c r="R1128" i="43"/>
  <c r="R1127" i="43"/>
  <c r="R1165" i="43"/>
  <c r="R1115" i="43"/>
  <c r="R1116" i="43"/>
  <c r="R1119" i="43"/>
  <c r="R1118" i="43"/>
  <c r="R1120" i="43"/>
  <c r="R1121" i="43"/>
  <c r="R1125" i="43"/>
  <c r="R1129" i="43"/>
  <c r="U180" i="43"/>
  <c r="T184" i="43"/>
  <c r="T181" i="43"/>
  <c r="S1112" i="43"/>
  <c r="S185" i="43"/>
  <c r="S1138" i="43"/>
  <c r="S187" i="43"/>
  <c r="S177" i="43"/>
  <c r="S176" i="43" s="1"/>
  <c r="Q1010" i="43"/>
  <c r="Q1002" i="43"/>
  <c r="P1013" i="43"/>
  <c r="P1004" i="43" s="1"/>
  <c r="P1011" i="43" s="1"/>
  <c r="S28" i="43"/>
  <c r="S1045" i="43"/>
  <c r="S992" i="43"/>
  <c r="U25" i="43"/>
  <c r="T26" i="43"/>
  <c r="Q1057" i="43"/>
  <c r="R1062" i="43"/>
  <c r="R1001" i="43"/>
  <c r="R1058" i="43"/>
  <c r="R1009" i="43"/>
  <c r="R996" i="43"/>
  <c r="R995" i="43"/>
  <c r="R1059" i="43"/>
  <c r="R1008" i="43"/>
  <c r="R1061" i="43"/>
  <c r="R1060" i="43"/>
  <c r="R998" i="43"/>
  <c r="R999" i="43"/>
  <c r="R1007" i="43"/>
  <c r="R1005" i="43"/>
  <c r="R1000" i="43"/>
  <c r="R997" i="43"/>
  <c r="R1006" i="43"/>
  <c r="R1053" i="43"/>
  <c r="R1211" i="43"/>
  <c r="R1213" i="43" s="1"/>
  <c r="R1049" i="43"/>
  <c r="R1052" i="43"/>
  <c r="R1054" i="43"/>
  <c r="R1048" i="43"/>
  <c r="R1050" i="43"/>
  <c r="R1051" i="43"/>
  <c r="P1068" i="43"/>
  <c r="Q1055" i="43"/>
  <c r="Q973" i="43"/>
  <c r="Q975" i="43" s="1"/>
  <c r="Q950" i="43"/>
  <c r="Q983" i="43" s="1"/>
  <c r="Q985" i="43" s="1"/>
  <c r="K25" i="40"/>
  <c r="I16" i="40"/>
  <c r="I22" i="40" s="1"/>
  <c r="I6" i="40" s="1"/>
  <c r="J19" i="40"/>
  <c r="K18" i="40"/>
  <c r="N21" i="42"/>
  <c r="I12" i="40"/>
  <c r="I5" i="40" s="1"/>
  <c r="O1415" i="11"/>
  <c r="S96" i="15"/>
  <c r="O1315" i="11"/>
  <c r="O1309" i="11"/>
  <c r="O1308" i="11"/>
  <c r="O1307" i="11"/>
  <c r="O1314" i="11"/>
  <c r="O1306" i="11"/>
  <c r="O1316" i="11"/>
  <c r="O1310" i="11"/>
  <c r="S1275" i="11"/>
  <c r="O1193" i="11"/>
  <c r="M1205" i="11"/>
  <c r="R68" i="14"/>
  <c r="O1200" i="11"/>
  <c r="O1203" i="11"/>
  <c r="O1195" i="11"/>
  <c r="O1201" i="11"/>
  <c r="O1194" i="11"/>
  <c r="O1196" i="11"/>
  <c r="M1261" i="11"/>
  <c r="M1265" i="11"/>
  <c r="O1264" i="11"/>
  <c r="L1210" i="11"/>
  <c r="N1197" i="11"/>
  <c r="N1208" i="11" s="1"/>
  <c r="N1199" i="11" s="1"/>
  <c r="M1206" i="11"/>
  <c r="N1204" i="11"/>
  <c r="O1202" i="11"/>
  <c r="M1185" i="11"/>
  <c r="M1177" i="11" s="1"/>
  <c r="M1183" i="11" s="1"/>
  <c r="O1191" i="11"/>
  <c r="N1182" i="11"/>
  <c r="O1192" i="11"/>
  <c r="N1175" i="11"/>
  <c r="N1248" i="11"/>
  <c r="N1250" i="11"/>
  <c r="O1244" i="11"/>
  <c r="O1254" i="11"/>
  <c r="O1251" i="11"/>
  <c r="O1243" i="11"/>
  <c r="O1253" i="11"/>
  <c r="O1252" i="11"/>
  <c r="O1242" i="11"/>
  <c r="O1247" i="11"/>
  <c r="O1245" i="11"/>
  <c r="O1246" i="11"/>
  <c r="P1188" i="11"/>
  <c r="P1239" i="11"/>
  <c r="P1413" i="11" s="1"/>
  <c r="O1181" i="11"/>
  <c r="O1227" i="11"/>
  <c r="O1228" i="11"/>
  <c r="O1229" i="11"/>
  <c r="O1169" i="11"/>
  <c r="N1224" i="11"/>
  <c r="O1222" i="11"/>
  <c r="O1221" i="11"/>
  <c r="O1220" i="11"/>
  <c r="O1219" i="11"/>
  <c r="O1223" i="11"/>
  <c r="O1218" i="11"/>
  <c r="P1166" i="11"/>
  <c r="P1215" i="11"/>
  <c r="O1178" i="11"/>
  <c r="O1180" i="11"/>
  <c r="O1174" i="11"/>
  <c r="O1170" i="11"/>
  <c r="O1171" i="11"/>
  <c r="O1172" i="11"/>
  <c r="O1179" i="11"/>
  <c r="O1173" i="11"/>
  <c r="O38" i="11"/>
  <c r="K150" i="14"/>
  <c r="K152" i="14" s="1"/>
  <c r="J14" i="40"/>
  <c r="P37" i="11"/>
  <c r="P71" i="11" s="1"/>
  <c r="K1157" i="11"/>
  <c r="K1159" i="11" s="1"/>
  <c r="Q34" i="11"/>
  <c r="S1163" i="11"/>
  <c r="P75" i="14"/>
  <c r="O27" i="41" s="1"/>
  <c r="R1106" i="11"/>
  <c r="K196" i="14"/>
  <c r="K198" i="14" s="1"/>
  <c r="K199" i="14" s="1"/>
  <c r="K204" i="14" s="1"/>
  <c r="K203" i="14"/>
  <c r="K341" i="14"/>
  <c r="K157" i="14"/>
  <c r="R201" i="14"/>
  <c r="Q2" i="41"/>
  <c r="K334" i="14"/>
  <c r="K336" i="14" s="1"/>
  <c r="K337" i="14" s="1"/>
  <c r="K342" i="14" s="1"/>
  <c r="Q455" i="11"/>
  <c r="L147" i="14"/>
  <c r="K66" i="41" s="1"/>
  <c r="K67" i="41" s="1"/>
  <c r="F86" i="40"/>
  <c r="M140" i="41"/>
  <c r="M142" i="41" s="1"/>
  <c r="M137" i="41"/>
  <c r="O76" i="14"/>
  <c r="N25" i="41" s="1"/>
  <c r="N26" i="41" s="1"/>
  <c r="S184" i="11"/>
  <c r="S170" i="11"/>
  <c r="S441" i="11"/>
  <c r="S572" i="11" s="1"/>
  <c r="S176" i="11"/>
  <c r="S213" i="11" s="1"/>
  <c r="I71" i="41"/>
  <c r="R463" i="11"/>
  <c r="R468" i="11"/>
  <c r="R188" i="11"/>
  <c r="J231" i="41"/>
  <c r="K30" i="41"/>
  <c r="M79" i="14"/>
  <c r="M86" i="14"/>
  <c r="Q191" i="11"/>
  <c r="L81" i="14"/>
  <c r="L82" i="14" s="1"/>
  <c r="L87" i="14" s="1"/>
  <c r="Q460" i="11"/>
  <c r="L1142" i="11"/>
  <c r="L1144" i="11" s="1"/>
  <c r="L1119" i="11"/>
  <c r="Q518" i="11"/>
  <c r="K30" i="40"/>
  <c r="K7" i="40" s="1"/>
  <c r="G33" i="40"/>
  <c r="P29" i="11"/>
  <c r="J13" i="40"/>
  <c r="P535" i="11"/>
  <c r="P541" i="11" s="1"/>
  <c r="G34" i="40"/>
  <c r="P252" i="11"/>
  <c r="P251" i="11" s="1"/>
  <c r="J17" i="40"/>
  <c r="J21" i="40" s="1"/>
  <c r="L156" i="14"/>
  <c r="N190" i="11"/>
  <c r="Q363" i="11"/>
  <c r="O202" i="11"/>
  <c r="O205" i="11" s="1"/>
  <c r="N436" i="11"/>
  <c r="N410" i="11" s="1"/>
  <c r="J196" i="14"/>
  <c r="R84" i="14"/>
  <c r="S62" i="15"/>
  <c r="BL65" i="38"/>
  <c r="BL70" i="38"/>
  <c r="BL63" i="38"/>
  <c r="BL61" i="38"/>
  <c r="BL58" i="38"/>
  <c r="BW57" i="38"/>
  <c r="BW69" i="38" s="1"/>
  <c r="BL67" i="38"/>
  <c r="BM57" i="38"/>
  <c r="BM62" i="38" s="1"/>
  <c r="BL68" i="38"/>
  <c r="BL64" i="38"/>
  <c r="BL66" i="38"/>
  <c r="BL60" i="38"/>
  <c r="BL59" i="38"/>
  <c r="BL69" i="38"/>
  <c r="T59" i="19"/>
  <c r="Q59" i="19"/>
  <c r="R14" i="19"/>
  <c r="Q54" i="19"/>
  <c r="S12" i="19"/>
  <c r="T54" i="19"/>
  <c r="R22" i="36"/>
  <c r="R21" i="36"/>
  <c r="R14" i="36"/>
  <c r="S9" i="36"/>
  <c r="S11" i="36"/>
  <c r="S12" i="36" s="1"/>
  <c r="S8" i="36"/>
  <c r="T6" i="36"/>
  <c r="T7" i="36" s="1"/>
  <c r="R22" i="35"/>
  <c r="R21" i="35"/>
  <c r="R14" i="35"/>
  <c r="P57" i="35"/>
  <c r="Q34" i="35"/>
  <c r="Q69" i="35"/>
  <c r="Q57" i="35" s="1"/>
  <c r="S11" i="35"/>
  <c r="S12" i="35" s="1"/>
  <c r="S8" i="35"/>
  <c r="S9" i="35"/>
  <c r="T6" i="35"/>
  <c r="T7" i="35" s="1"/>
  <c r="T62" i="19"/>
  <c r="T75" i="19" s="1"/>
  <c r="Q70" i="24"/>
  <c r="Q70" i="25" s="1"/>
  <c r="R78" i="24"/>
  <c r="R78" i="25" s="1"/>
  <c r="P90" i="23"/>
  <c r="O79" i="24"/>
  <c r="O79" i="25" s="1"/>
  <c r="P84" i="23"/>
  <c r="O73" i="24"/>
  <c r="O73" i="25" s="1"/>
  <c r="O32" i="28"/>
  <c r="O82" i="23"/>
  <c r="Q47" i="28"/>
  <c r="P36" i="28"/>
  <c r="R8" i="28"/>
  <c r="R52" i="28" s="1"/>
  <c r="R9" i="28"/>
  <c r="R35" i="28" s="1"/>
  <c r="R11" i="28"/>
  <c r="R12" i="28" s="1"/>
  <c r="R14" i="28" s="1"/>
  <c r="R360" i="11"/>
  <c r="R361" i="11" s="1"/>
  <c r="Q365" i="11"/>
  <c r="S11" i="28"/>
  <c r="S12" i="28" s="1"/>
  <c r="S9" i="28"/>
  <c r="S35" i="28" s="1"/>
  <c r="S8" i="28"/>
  <c r="S52" i="28" s="1"/>
  <c r="T6" i="28"/>
  <c r="T7" i="28" s="1"/>
  <c r="S104" i="15"/>
  <c r="T1515" i="11"/>
  <c r="T1517" i="11" s="1"/>
  <c r="S357" i="41" s="1"/>
  <c r="R734" i="11"/>
  <c r="R735" i="11" s="1"/>
  <c r="R737" i="11" s="1"/>
  <c r="R778" i="11" s="1"/>
  <c r="R780" i="11" s="1"/>
  <c r="R1094" i="11"/>
  <c r="R1096" i="11" s="1"/>
  <c r="R1097" i="11" s="1"/>
  <c r="Q114" i="11"/>
  <c r="Q516" i="11"/>
  <c r="R513" i="11"/>
  <c r="R514" i="11" s="1"/>
  <c r="R1391" i="11" s="1"/>
  <c r="R1016" i="11"/>
  <c r="R1017" i="11" s="1"/>
  <c r="R1019" i="11" s="1"/>
  <c r="L440" i="14"/>
  <c r="L443" i="14" s="1"/>
  <c r="R856" i="11"/>
  <c r="R857" i="11" s="1"/>
  <c r="R859" i="11" s="1"/>
  <c r="R1021" i="11"/>
  <c r="R1022" i="11" s="1"/>
  <c r="R1024" i="11" s="1"/>
  <c r="R739" i="11"/>
  <c r="R740" i="11" s="1"/>
  <c r="R742" i="11" s="1"/>
  <c r="R783" i="11" s="1"/>
  <c r="R785" i="11" s="1"/>
  <c r="R929" i="11"/>
  <c r="R930" i="11" s="1"/>
  <c r="R932" i="11" s="1"/>
  <c r="R1099" i="11"/>
  <c r="R1103" i="11" s="1"/>
  <c r="P949" i="11"/>
  <c r="P951" i="11" s="1"/>
  <c r="R1011" i="11"/>
  <c r="R1012" i="11" s="1"/>
  <c r="R1014" i="11" s="1"/>
  <c r="O1030" i="11"/>
  <c r="R744" i="11"/>
  <c r="R745" i="11" s="1"/>
  <c r="R747" i="11" s="1"/>
  <c r="R788" i="11" s="1"/>
  <c r="R790" i="11" s="1"/>
  <c r="Q861" i="11"/>
  <c r="R851" i="11"/>
  <c r="R852" i="11" s="1"/>
  <c r="R854" i="11" s="1"/>
  <c r="Q854" i="11"/>
  <c r="Q862" i="11" s="1"/>
  <c r="R934" i="11"/>
  <c r="R935" i="11" s="1"/>
  <c r="R937" i="11" s="1"/>
  <c r="Q939" i="11"/>
  <c r="Q940" i="11"/>
  <c r="P392" i="14"/>
  <c r="P368" i="48" s="1"/>
  <c r="P882" i="11"/>
  <c r="P884" i="11" s="1"/>
  <c r="P415" i="14"/>
  <c r="P391" i="48" s="1"/>
  <c r="S887" i="11"/>
  <c r="M534" i="11"/>
  <c r="M536" i="11" s="1"/>
  <c r="M522" i="11" s="1"/>
  <c r="O71" i="11"/>
  <c r="O89" i="11"/>
  <c r="Q169" i="14"/>
  <c r="Q146" i="14"/>
  <c r="P68" i="41" s="1"/>
  <c r="P686" i="11"/>
  <c r="P327" i="14" s="1"/>
  <c r="P303" i="48" s="1"/>
  <c r="O655" i="11"/>
  <c r="O643" i="11"/>
  <c r="R468" i="14"/>
  <c r="S813" i="11"/>
  <c r="O625" i="11"/>
  <c r="Q520" i="11"/>
  <c r="R1007" i="11"/>
  <c r="S331" i="11"/>
  <c r="R344" i="11"/>
  <c r="S322" i="11"/>
  <c r="R324" i="11"/>
  <c r="P262" i="11"/>
  <c r="P301" i="11" s="1"/>
  <c r="R612" i="11"/>
  <c r="Q614" i="11"/>
  <c r="Q1027" i="11"/>
  <c r="Q1009" i="11"/>
  <c r="Q1028" i="11" s="1"/>
  <c r="S101" i="11"/>
  <c r="R115" i="11"/>
  <c r="R1053" i="11"/>
  <c r="J451" i="14"/>
  <c r="J452" i="14" s="1"/>
  <c r="O864" i="11"/>
  <c r="R987" i="11"/>
  <c r="Q989" i="11"/>
  <c r="O323" i="14"/>
  <c r="O635" i="11"/>
  <c r="O637" i="11" s="1"/>
  <c r="T8" i="25"/>
  <c r="T36" i="25" s="1"/>
  <c r="T9" i="25"/>
  <c r="T11" i="25"/>
  <c r="T12" i="25" s="1"/>
  <c r="T14" i="25" s="1"/>
  <c r="U6" i="25"/>
  <c r="U7" i="25" s="1"/>
  <c r="R330" i="11"/>
  <c r="Q343" i="11"/>
  <c r="R298" i="11"/>
  <c r="Q299" i="11"/>
  <c r="P111" i="11"/>
  <c r="P24" i="14" s="1"/>
  <c r="P125" i="11"/>
  <c r="P27" i="14" s="1"/>
  <c r="P27" i="48" s="1"/>
  <c r="R831" i="11"/>
  <c r="Q833" i="11"/>
  <c r="S337" i="11"/>
  <c r="R350" i="11"/>
  <c r="N593" i="11"/>
  <c r="R86" i="11"/>
  <c r="Q87" i="11"/>
  <c r="R21" i="11"/>
  <c r="R22" i="11" s="1"/>
  <c r="O422" i="11"/>
  <c r="O425" i="11" s="1"/>
  <c r="O381" i="11"/>
  <c r="O672" i="11"/>
  <c r="S92" i="11"/>
  <c r="R93" i="11"/>
  <c r="P1057" i="11"/>
  <c r="P442" i="14" s="1"/>
  <c r="P418" i="48" s="1"/>
  <c r="P891" i="11"/>
  <c r="P396" i="14" s="1"/>
  <c r="P372" i="48" s="1"/>
  <c r="R841" i="11"/>
  <c r="Q843" i="11"/>
  <c r="R628" i="11"/>
  <c r="Q629" i="11"/>
  <c r="R679" i="11"/>
  <c r="Q690" i="11"/>
  <c r="R271" i="11"/>
  <c r="Q273" i="11"/>
  <c r="R899" i="11"/>
  <c r="Q901" i="11"/>
  <c r="R803" i="11"/>
  <c r="Q805" i="11"/>
  <c r="R105" i="11"/>
  <c r="Q119" i="11"/>
  <c r="S914" i="11"/>
  <c r="R916" i="11"/>
  <c r="R107" i="11"/>
  <c r="Q121" i="11"/>
  <c r="P340" i="11"/>
  <c r="P353" i="11"/>
  <c r="P122" i="14" s="1"/>
  <c r="P98" i="48" s="1"/>
  <c r="S904" i="11"/>
  <c r="R906" i="11"/>
  <c r="R1070" i="11"/>
  <c r="Q1072" i="11"/>
  <c r="O649" i="11"/>
  <c r="R57" i="11"/>
  <c r="Q58" i="11"/>
  <c r="S100" i="11"/>
  <c r="R114" i="11"/>
  <c r="P24" i="11"/>
  <c r="S51" i="11"/>
  <c r="R52" i="11"/>
  <c r="O465" i="14"/>
  <c r="R102" i="11"/>
  <c r="Q116" i="11"/>
  <c r="S63" i="11"/>
  <c r="R65" i="11"/>
  <c r="J150" i="14"/>
  <c r="O95" i="11"/>
  <c r="O54" i="11"/>
  <c r="O77" i="11"/>
  <c r="U8" i="6"/>
  <c r="U11" i="6"/>
  <c r="U9" i="6"/>
  <c r="M1148" i="11"/>
  <c r="M1149" i="11" s="1"/>
  <c r="M21" i="14"/>
  <c r="M21" i="48" s="1"/>
  <c r="R909" i="11"/>
  <c r="Q911" i="11"/>
  <c r="S109" i="11"/>
  <c r="R123" i="11"/>
  <c r="P969" i="11"/>
  <c r="P419" i="14" s="1"/>
  <c r="P395" i="48" s="1"/>
  <c r="O942" i="11"/>
  <c r="R334" i="11"/>
  <c r="Q347" i="11"/>
  <c r="R1065" i="11"/>
  <c r="Q1067" i="11"/>
  <c r="S676" i="11"/>
  <c r="R687" i="11"/>
  <c r="S98" i="11"/>
  <c r="R112" i="11"/>
  <c r="N1111" i="11"/>
  <c r="R585" i="11"/>
  <c r="Q586" i="11"/>
  <c r="K29" i="40" s="1"/>
  <c r="K9" i="40" s="1"/>
  <c r="R68" i="11"/>
  <c r="Q69" i="11"/>
  <c r="S961" i="11"/>
  <c r="S41" i="11"/>
  <c r="S43" i="11" s="1"/>
  <c r="S81" i="11" s="1"/>
  <c r="S83" i="11" s="1"/>
  <c r="T12" i="6"/>
  <c r="T14" i="6" s="1"/>
  <c r="S1033" i="11"/>
  <c r="S445" i="14" s="1"/>
  <c r="S421" i="48" s="1"/>
  <c r="S1538" i="11"/>
  <c r="S1542" i="11" s="1"/>
  <c r="S266" i="11"/>
  <c r="S268" i="11" s="1"/>
  <c r="S294" i="11" s="1"/>
  <c r="S295" i="11" s="1"/>
  <c r="S867" i="11"/>
  <c r="S399" i="14" s="1"/>
  <c r="S375" i="48" s="1"/>
  <c r="S945" i="11"/>
  <c r="S422" i="14" s="1"/>
  <c r="S398" i="48" s="1"/>
  <c r="S767" i="11"/>
  <c r="S376" i="14" s="1"/>
  <c r="S352" i="48" s="1"/>
  <c r="S15" i="11"/>
  <c r="R972" i="11"/>
  <c r="Q974" i="11"/>
  <c r="R622" i="11"/>
  <c r="Q623" i="11"/>
  <c r="R826" i="11"/>
  <c r="Q828" i="11"/>
  <c r="S310" i="11"/>
  <c r="R311" i="11"/>
  <c r="S333" i="11"/>
  <c r="R346" i="11"/>
  <c r="N367" i="11"/>
  <c r="S680" i="11"/>
  <c r="R691" i="11"/>
  <c r="L340" i="14"/>
  <c r="L328" i="14"/>
  <c r="F79" i="40" s="1"/>
  <c r="S877" i="11"/>
  <c r="R879" i="11"/>
  <c r="P379" i="11"/>
  <c r="P161" i="11" s="1"/>
  <c r="P164" i="11" s="1"/>
  <c r="R336" i="11"/>
  <c r="Q349" i="11"/>
  <c r="R1085" i="11"/>
  <c r="Q1087" i="11"/>
  <c r="R677" i="11"/>
  <c r="Q688" i="11"/>
  <c r="R99" i="11"/>
  <c r="Q113" i="11"/>
  <c r="R391" i="11"/>
  <c r="R602" i="11"/>
  <c r="R371" i="11"/>
  <c r="R376" i="11"/>
  <c r="R607" i="11"/>
  <c r="N1030" i="11"/>
  <c r="S634" i="11"/>
  <c r="L132" i="14"/>
  <c r="L120" i="14"/>
  <c r="R977" i="11"/>
  <c r="Q979" i="11"/>
  <c r="T6" i="14"/>
  <c r="T7" i="14" s="1"/>
  <c r="S9" i="14"/>
  <c r="R3" i="41" s="1"/>
  <c r="S11" i="14"/>
  <c r="S12" i="14" s="1"/>
  <c r="S14" i="14" s="1"/>
  <c r="S8" i="14"/>
  <c r="S108" i="14" s="1"/>
  <c r="R836" i="11"/>
  <c r="Q838" i="11"/>
  <c r="S74" i="11"/>
  <c r="R75" i="11"/>
  <c r="R276" i="11"/>
  <c r="Q277" i="11"/>
  <c r="S104" i="11"/>
  <c r="R118" i="11"/>
  <c r="O433" i="11"/>
  <c r="O396" i="11"/>
  <c r="R526" i="11"/>
  <c r="R531" i="11"/>
  <c r="R414" i="11"/>
  <c r="R419" i="11"/>
  <c r="R430" i="11"/>
  <c r="Q999" i="11"/>
  <c r="R997" i="11"/>
  <c r="S684" i="11"/>
  <c r="R695" i="11"/>
  <c r="Q27" i="11"/>
  <c r="Q1108" i="11" s="1"/>
  <c r="R26" i="11"/>
  <c r="O119" i="14"/>
  <c r="O95" i="48" s="1"/>
  <c r="O540" i="11"/>
  <c r="O542" i="11" s="1"/>
  <c r="T8" i="11"/>
  <c r="U6" i="11"/>
  <c r="U7" i="11" s="1"/>
  <c r="T9" i="11"/>
  <c r="T1460" i="11" s="1"/>
  <c r="T11" i="11"/>
  <c r="T12" i="11" s="1"/>
  <c r="R255" i="11"/>
  <c r="T256" i="11" s="1"/>
  <c r="T442" i="11" s="1"/>
  <c r="R1080" i="11"/>
  <c r="Q1082" i="11"/>
  <c r="O307" i="11"/>
  <c r="O319" i="11"/>
  <c r="O313" i="11"/>
  <c r="R808" i="11"/>
  <c r="Q810" i="11"/>
  <c r="R282" i="11"/>
  <c r="Q284" i="11"/>
  <c r="Q476" i="11" s="1"/>
  <c r="Q699" i="11" s="1"/>
  <c r="R919" i="11"/>
  <c r="Q921" i="11"/>
  <c r="R106" i="11"/>
  <c r="Q120" i="11"/>
  <c r="S335" i="11"/>
  <c r="R348" i="11"/>
  <c r="R992" i="11"/>
  <c r="Q994" i="11"/>
  <c r="R477" i="14"/>
  <c r="R36" i="14"/>
  <c r="R500" i="14"/>
  <c r="R270" i="14"/>
  <c r="R293" i="14"/>
  <c r="R131" i="14"/>
  <c r="R454" i="14"/>
  <c r="R339" i="14"/>
  <c r="R155" i="14"/>
  <c r="R385" i="14"/>
  <c r="R178" i="14"/>
  <c r="R408" i="14"/>
  <c r="R431" i="14"/>
  <c r="S965" i="11"/>
  <c r="R329" i="11"/>
  <c r="Q342" i="11"/>
  <c r="R1043" i="11"/>
  <c r="Q1045" i="11"/>
  <c r="R338" i="11"/>
  <c r="Q351" i="11"/>
  <c r="Q550" i="11" s="1"/>
  <c r="R678" i="11"/>
  <c r="Q689" i="11"/>
  <c r="R48" i="11"/>
  <c r="S46" i="11"/>
  <c r="N264" i="11"/>
  <c r="P818" i="11"/>
  <c r="P373" i="14" s="1"/>
  <c r="P349" i="48" s="1"/>
  <c r="R683" i="11"/>
  <c r="Q694" i="11"/>
  <c r="R682" i="11"/>
  <c r="Q693" i="11"/>
  <c r="R328" i="11"/>
  <c r="Q341" i="11"/>
  <c r="O290" i="11"/>
  <c r="S316" i="11"/>
  <c r="R317" i="11"/>
  <c r="S1003" i="11"/>
  <c r="S848" i="11"/>
  <c r="S1036" i="11"/>
  <c r="S926" i="11"/>
  <c r="S1473" i="11"/>
  <c r="S1006" i="11"/>
  <c r="S948" i="11"/>
  <c r="S870" i="11"/>
  <c r="S1091" i="11"/>
  <c r="S31" i="11" s="1"/>
  <c r="S771" i="11"/>
  <c r="S582" i="11"/>
  <c r="S731" i="11"/>
  <c r="S510" i="11"/>
  <c r="S400" i="11"/>
  <c r="S357" i="11"/>
  <c r="P1028" i="11"/>
  <c r="R821" i="11"/>
  <c r="Q823" i="11"/>
  <c r="U25" i="19"/>
  <c r="P394" i="11"/>
  <c r="R681" i="11"/>
  <c r="Q692" i="11"/>
  <c r="Q984" i="11"/>
  <c r="R982" i="11"/>
  <c r="R640" i="11"/>
  <c r="Q641" i="11"/>
  <c r="R1075" i="11"/>
  <c r="Q1077" i="11"/>
  <c r="R652" i="11"/>
  <c r="Q653" i="11"/>
  <c r="R1060" i="11"/>
  <c r="Q1062" i="11"/>
  <c r="J336" i="14"/>
  <c r="J337" i="14" s="1"/>
  <c r="R332" i="11"/>
  <c r="Q345" i="11"/>
  <c r="R894" i="11"/>
  <c r="Q896" i="11"/>
  <c r="P384" i="11"/>
  <c r="P386" i="11" s="1"/>
  <c r="R646" i="11"/>
  <c r="Q647" i="11"/>
  <c r="S108" i="11"/>
  <c r="R122" i="11"/>
  <c r="R955" i="11"/>
  <c r="Q957" i="11"/>
  <c r="O301" i="11"/>
  <c r="R103" i="11"/>
  <c r="Q117" i="11"/>
  <c r="Q609" i="11"/>
  <c r="S304" i="11"/>
  <c r="R305" i="11"/>
  <c r="R617" i="11"/>
  <c r="Q619" i="11"/>
  <c r="R287" i="11"/>
  <c r="Q288" i="11"/>
  <c r="O279" i="11"/>
  <c r="R669" i="11"/>
  <c r="Q670" i="11"/>
  <c r="N39" i="11"/>
  <c r="S14" i="15"/>
  <c r="T8" i="19"/>
  <c r="U6" i="19"/>
  <c r="U7" i="19" s="1"/>
  <c r="T9" i="19"/>
  <c r="T11" i="19"/>
  <c r="T11" i="15"/>
  <c r="T12" i="15" s="1"/>
  <c r="T8" i="15"/>
  <c r="T62" i="15" s="1"/>
  <c r="T9" i="15"/>
  <c r="U6" i="15"/>
  <c r="U7" i="15" s="1"/>
  <c r="U11" i="23"/>
  <c r="U12" i="23" s="1"/>
  <c r="U8" i="23"/>
  <c r="U47" i="23" s="1"/>
  <c r="V6" i="23"/>
  <c r="V7" i="23" s="1"/>
  <c r="U9" i="23"/>
  <c r="T14" i="23"/>
  <c r="S14" i="24"/>
  <c r="T8" i="24"/>
  <c r="T36" i="24" s="1"/>
  <c r="U6" i="24"/>
  <c r="U7" i="24" s="1"/>
  <c r="T9" i="24"/>
  <c r="T11" i="24"/>
  <c r="T12" i="24" s="1"/>
  <c r="G109" i="40" l="1"/>
  <c r="J262" i="14"/>
  <c r="I84" i="40"/>
  <c r="I85" i="40"/>
  <c r="D43" i="40"/>
  <c r="D3" i="49" s="1"/>
  <c r="H84" i="40"/>
  <c r="H85" i="40"/>
  <c r="K259" i="14"/>
  <c r="K262" i="14" s="1"/>
  <c r="K265" i="14" s="1"/>
  <c r="P85" i="14"/>
  <c r="J46" i="40"/>
  <c r="J70" i="40" s="1"/>
  <c r="Q145" i="48"/>
  <c r="P109" i="41"/>
  <c r="I193" i="41"/>
  <c r="I194" i="41" s="1"/>
  <c r="I197" i="41" s="1"/>
  <c r="I199" i="41" s="1"/>
  <c r="E168" i="45"/>
  <c r="C12" i="47" s="1"/>
  <c r="Q13" i="47" s="1"/>
  <c r="Q15" i="47" s="1"/>
  <c r="T257" i="11"/>
  <c r="S210" i="11"/>
  <c r="S72" i="14" s="1"/>
  <c r="R17" i="41" s="1"/>
  <c r="S194" i="11"/>
  <c r="S197" i="11"/>
  <c r="S199" i="11" s="1"/>
  <c r="I10" i="40"/>
  <c r="N140" i="41"/>
  <c r="N142" i="41" s="1"/>
  <c r="R59" i="19"/>
  <c r="I840" i="43"/>
  <c r="S14" i="19"/>
  <c r="S26" i="19"/>
  <c r="S62" i="19" s="1"/>
  <c r="S75" i="19" s="1"/>
  <c r="N304" i="14"/>
  <c r="N280" i="48" s="1"/>
  <c r="W8" i="6"/>
  <c r="W9" i="6"/>
  <c r="W11" i="6"/>
  <c r="L379" i="48"/>
  <c r="L381" i="48" s="1"/>
  <c r="L382" i="48" s="1"/>
  <c r="L387" i="48" s="1"/>
  <c r="J92" i="14"/>
  <c r="J239" i="11"/>
  <c r="J96" i="14" s="1"/>
  <c r="K232" i="11"/>
  <c r="E50" i="45" s="1"/>
  <c r="K233" i="11"/>
  <c r="K234" i="11" s="1"/>
  <c r="J1261" i="11"/>
  <c r="J1265" i="11"/>
  <c r="D33" i="42" s="1"/>
  <c r="J1148" i="11"/>
  <c r="J1149" i="11" s="1"/>
  <c r="J1140" i="11" s="1"/>
  <c r="J485" i="14" s="1"/>
  <c r="J21" i="14"/>
  <c r="K1248" i="11"/>
  <c r="M5" i="50"/>
  <c r="R1101" i="11"/>
  <c r="L1408" i="11"/>
  <c r="F47" i="45"/>
  <c r="L1219" i="11"/>
  <c r="L1220" i="11"/>
  <c r="L1222" i="11"/>
  <c r="L1221" i="11"/>
  <c r="L1223" i="11"/>
  <c r="L1218" i="11"/>
  <c r="K1410" i="11"/>
  <c r="K1406" i="11"/>
  <c r="L1413" i="11"/>
  <c r="L1415" i="11" s="1"/>
  <c r="L1264" i="11"/>
  <c r="S4" i="42" s="1"/>
  <c r="L1253" i="11"/>
  <c r="L1254" i="11"/>
  <c r="L1242" i="11"/>
  <c r="L1252" i="11"/>
  <c r="L1244" i="11"/>
  <c r="L1251" i="11"/>
  <c r="L1247" i="11"/>
  <c r="L1246" i="11"/>
  <c r="L1245" i="11"/>
  <c r="L1243" i="11"/>
  <c r="K39" i="11"/>
  <c r="L89" i="11"/>
  <c r="L54" i="11"/>
  <c r="L71" i="11"/>
  <c r="L77" i="11"/>
  <c r="L60" i="11"/>
  <c r="L95" i="11"/>
  <c r="L20" i="48"/>
  <c r="K1250" i="11"/>
  <c r="J173" i="14"/>
  <c r="J175" i="14" s="1"/>
  <c r="L236" i="11"/>
  <c r="L230" i="11"/>
  <c r="G18" i="50"/>
  <c r="R1110" i="11"/>
  <c r="R1113" i="11"/>
  <c r="R1115" i="11" s="1"/>
  <c r="K1224" i="11"/>
  <c r="N70" i="48"/>
  <c r="N85" i="48" s="1"/>
  <c r="T13" i="11"/>
  <c r="T5" i="11" s="1"/>
  <c r="S5" i="11"/>
  <c r="N76" i="14"/>
  <c r="M25" i="41" s="1"/>
  <c r="M26" i="41" s="1"/>
  <c r="J62" i="41"/>
  <c r="J63" i="41" s="1"/>
  <c r="H185" i="48"/>
  <c r="O1040" i="43"/>
  <c r="O1104" i="43" s="1"/>
  <c r="I70" i="42" s="1"/>
  <c r="R335" i="43"/>
  <c r="Q695" i="43"/>
  <c r="I112" i="41"/>
  <c r="I115" i="41" s="1"/>
  <c r="P230" i="11"/>
  <c r="P232" i="11" s="1"/>
  <c r="J50" i="45" s="1"/>
  <c r="J58" i="45" s="1"/>
  <c r="P1104" i="11"/>
  <c r="P864" i="11"/>
  <c r="P393" i="14" s="1"/>
  <c r="K18" i="50"/>
  <c r="N94" i="14"/>
  <c r="N109" i="14" s="1"/>
  <c r="K99" i="41"/>
  <c r="K101" i="41" s="1"/>
  <c r="K103" i="41" s="1"/>
  <c r="N397" i="14"/>
  <c r="N400" i="14" s="1"/>
  <c r="N410" i="14" s="1"/>
  <c r="F99" i="40"/>
  <c r="M511" i="14"/>
  <c r="L167" i="14"/>
  <c r="F87" i="40" s="1"/>
  <c r="F17" i="46" s="1"/>
  <c r="O92" i="14"/>
  <c r="O68" i="48" s="1"/>
  <c r="P73" i="14"/>
  <c r="K282" i="14"/>
  <c r="K285" i="14" s="1"/>
  <c r="N21" i="41"/>
  <c r="N22" i="41" s="1"/>
  <c r="N29" i="41" s="1"/>
  <c r="L402" i="48"/>
  <c r="L404" i="48" s="1"/>
  <c r="L405" i="48" s="1"/>
  <c r="L410" i="48" s="1"/>
  <c r="M487" i="48"/>
  <c r="K170" i="14"/>
  <c r="J107" i="41" s="1"/>
  <c r="J108" i="41" s="1"/>
  <c r="M409" i="14"/>
  <c r="M403" i="14"/>
  <c r="M405" i="14" s="1"/>
  <c r="M406" i="14" s="1"/>
  <c r="M411" i="14" s="1"/>
  <c r="L304" i="48"/>
  <c r="L307" i="48" s="1"/>
  <c r="L310" i="48" s="1"/>
  <c r="P942" i="11"/>
  <c r="P416" i="14" s="1"/>
  <c r="P392" i="48" s="1"/>
  <c r="P393" i="48" s="1"/>
  <c r="O212" i="48"/>
  <c r="O215" i="48" s="1"/>
  <c r="O225" i="48" s="1"/>
  <c r="E36" i="47"/>
  <c r="J260" i="41"/>
  <c r="J267" i="41" s="1"/>
  <c r="J268" i="41" s="1"/>
  <c r="J275" i="41" s="1"/>
  <c r="L94" i="41"/>
  <c r="L96" i="41" s="1"/>
  <c r="P61" i="48"/>
  <c r="L231" i="48"/>
  <c r="M325" i="14"/>
  <c r="M340" i="14" s="1"/>
  <c r="O236" i="14"/>
  <c r="O239" i="14" s="1"/>
  <c r="O242" i="14" s="1"/>
  <c r="O244" i="14" s="1"/>
  <c r="H139" i="48"/>
  <c r="M22" i="48"/>
  <c r="M37" i="48" s="1"/>
  <c r="Q222" i="11"/>
  <c r="Q227" i="11" s="1"/>
  <c r="Q230" i="11" s="1"/>
  <c r="L8" i="50"/>
  <c r="M94" i="14"/>
  <c r="M68" i="48"/>
  <c r="J288" i="14"/>
  <c r="J290" i="14" s="1"/>
  <c r="J291" i="14" s="1"/>
  <c r="E179" i="45"/>
  <c r="K120" i="48"/>
  <c r="K123" i="48" s="1"/>
  <c r="K126" i="48" s="1"/>
  <c r="K317" i="48"/>
  <c r="L340" i="48"/>
  <c r="O48" i="41"/>
  <c r="O50" i="41" s="1"/>
  <c r="M507" i="14"/>
  <c r="M509" i="14" s="1"/>
  <c r="N20" i="48"/>
  <c r="H39" i="40" s="1"/>
  <c r="L279" i="14"/>
  <c r="L294" i="14" s="1"/>
  <c r="Q122" i="48"/>
  <c r="N348" i="14"/>
  <c r="N363" i="14" s="1"/>
  <c r="N322" i="48"/>
  <c r="E72" i="40"/>
  <c r="E17" i="49" s="1"/>
  <c r="E43" i="40"/>
  <c r="F164" i="45"/>
  <c r="D18" i="47"/>
  <c r="H165" i="45"/>
  <c r="F34" i="47"/>
  <c r="O562" i="11"/>
  <c r="O567" i="11" s="1"/>
  <c r="O304" i="14" s="1"/>
  <c r="F83" i="45"/>
  <c r="F84" i="45" s="1"/>
  <c r="D38" i="47"/>
  <c r="D39" i="47" s="1"/>
  <c r="Q89" i="41"/>
  <c r="Q91" i="41" s="1"/>
  <c r="R138" i="48"/>
  <c r="L48" i="40" s="1"/>
  <c r="L176" i="41"/>
  <c r="M185" i="48"/>
  <c r="M186" i="48" s="1"/>
  <c r="M189" i="48" s="1"/>
  <c r="M192" i="48" s="1"/>
  <c r="Q191" i="48"/>
  <c r="M117" i="14"/>
  <c r="M120" i="14" s="1"/>
  <c r="M133" i="14" s="1"/>
  <c r="M92" i="48"/>
  <c r="M93" i="48" s="1"/>
  <c r="M96" i="48" s="1"/>
  <c r="M176" i="41"/>
  <c r="N185" i="48"/>
  <c r="N186" i="48" s="1"/>
  <c r="N201" i="48" s="1"/>
  <c r="M255" i="14"/>
  <c r="M139" i="48"/>
  <c r="M140" i="48" s="1"/>
  <c r="L53" i="41"/>
  <c r="L58" i="41" s="1"/>
  <c r="L60" i="41" s="1"/>
  <c r="M116" i="48"/>
  <c r="M117" i="48" s="1"/>
  <c r="M120" i="48" s="1"/>
  <c r="M123" i="48" s="1"/>
  <c r="M293" i="48"/>
  <c r="M281" i="48"/>
  <c r="M308" i="14"/>
  <c r="K133" i="14"/>
  <c r="K123" i="14"/>
  <c r="E78" i="40"/>
  <c r="L287" i="48"/>
  <c r="L289" i="48" s="1"/>
  <c r="L290" i="48" s="1"/>
  <c r="L295" i="48" s="1"/>
  <c r="L294" i="48"/>
  <c r="K215" i="48"/>
  <c r="E96" i="40"/>
  <c r="K58" i="41"/>
  <c r="K60" i="41" s="1"/>
  <c r="K55" i="41"/>
  <c r="Q15" i="42"/>
  <c r="P18" i="42"/>
  <c r="P19" i="42" s="1"/>
  <c r="P21" i="42" s="1"/>
  <c r="N276" i="48"/>
  <c r="N302" i="14"/>
  <c r="L215" i="48"/>
  <c r="F96" i="40"/>
  <c r="P237" i="48"/>
  <c r="D90" i="40"/>
  <c r="D107" i="40"/>
  <c r="D20" i="49" s="1"/>
  <c r="F25" i="46"/>
  <c r="J294" i="41"/>
  <c r="J296" i="41" s="1"/>
  <c r="I336" i="41"/>
  <c r="I338" i="41" s="1"/>
  <c r="L217" i="41"/>
  <c r="L222" i="41" s="1"/>
  <c r="L224" i="41" s="1"/>
  <c r="P24" i="48"/>
  <c r="K261" i="48"/>
  <c r="K264" i="48" s="1"/>
  <c r="E93" i="40"/>
  <c r="J464" i="48"/>
  <c r="N417" i="14"/>
  <c r="N392" i="48"/>
  <c r="N393" i="48" s="1"/>
  <c r="N408" i="48" s="1"/>
  <c r="P441" i="48"/>
  <c r="L410" i="14"/>
  <c r="L403" i="14"/>
  <c r="L405" i="14" s="1"/>
  <c r="L406" i="14" s="1"/>
  <c r="L411" i="14" s="1"/>
  <c r="M419" i="48"/>
  <c r="M422" i="48" s="1"/>
  <c r="M431" i="48"/>
  <c r="N385" i="48"/>
  <c r="S444" i="48"/>
  <c r="M455" i="14"/>
  <c r="L433" i="14"/>
  <c r="L426" i="14"/>
  <c r="L428" i="14" s="1"/>
  <c r="L429" i="14" s="1"/>
  <c r="L434" i="14" s="1"/>
  <c r="M432" i="14"/>
  <c r="M420" i="14"/>
  <c r="M423" i="14" s="1"/>
  <c r="K258" i="41"/>
  <c r="L254" i="48"/>
  <c r="L255" i="48" s="1"/>
  <c r="O273" i="41"/>
  <c r="P260" i="48"/>
  <c r="O253" i="41"/>
  <c r="O255" i="41" s="1"/>
  <c r="P253" i="48"/>
  <c r="J54" i="40" s="1"/>
  <c r="O232" i="41"/>
  <c r="P306" i="48"/>
  <c r="K222" i="41"/>
  <c r="K224" i="41" s="1"/>
  <c r="K226" i="41" s="1"/>
  <c r="K227" i="41" s="1"/>
  <c r="K234" i="41" s="1"/>
  <c r="N212" i="41"/>
  <c r="N214" i="41" s="1"/>
  <c r="O299" i="48"/>
  <c r="I41" i="40" s="1"/>
  <c r="Q7" i="41"/>
  <c r="Q9" i="41" s="1"/>
  <c r="R44" i="48"/>
  <c r="Q70" i="14"/>
  <c r="Q45" i="48"/>
  <c r="Q46" i="48" s="1"/>
  <c r="Q49" i="48" s="1"/>
  <c r="O55" i="48"/>
  <c r="O19" i="41"/>
  <c r="O14" i="41"/>
  <c r="P51" i="48"/>
  <c r="P52" i="48" s="1"/>
  <c r="Q283" i="48"/>
  <c r="P490" i="48"/>
  <c r="M396" i="48"/>
  <c r="M408" i="48"/>
  <c r="N163" i="14"/>
  <c r="N350" i="14"/>
  <c r="M385" i="48"/>
  <c r="M373" i="48"/>
  <c r="J295" i="48"/>
  <c r="L189" i="48"/>
  <c r="L201" i="48"/>
  <c r="J221" i="48"/>
  <c r="J126" i="48"/>
  <c r="J379" i="48"/>
  <c r="J310" i="48"/>
  <c r="K110" i="48"/>
  <c r="K102" i="48"/>
  <c r="Q415" i="14"/>
  <c r="Q391" i="48" s="1"/>
  <c r="L108" i="48"/>
  <c r="L96" i="48"/>
  <c r="O416" i="14"/>
  <c r="Q438" i="14"/>
  <c r="Q414" i="48" s="1"/>
  <c r="J402" i="48"/>
  <c r="P12" i="41"/>
  <c r="P14" i="41" s="1"/>
  <c r="K156" i="48"/>
  <c r="K149" i="48"/>
  <c r="O212" i="14"/>
  <c r="O188" i="48" s="1"/>
  <c r="Q330" i="14"/>
  <c r="M141" i="14"/>
  <c r="M156" i="14" s="1"/>
  <c r="R238" i="14"/>
  <c r="R214" i="48" s="1"/>
  <c r="J110" i="48"/>
  <c r="J102" i="48"/>
  <c r="K340" i="48"/>
  <c r="K333" i="48"/>
  <c r="M327" i="48"/>
  <c r="G99" i="40" s="1"/>
  <c r="L335" i="48"/>
  <c r="L336" i="48" s="1"/>
  <c r="L341" i="48" s="1"/>
  <c r="M278" i="14"/>
  <c r="M254" i="48" s="1"/>
  <c r="M255" i="48" s="1"/>
  <c r="R353" i="14"/>
  <c r="R329" i="48" s="1"/>
  <c r="J271" i="48"/>
  <c r="J261" i="48"/>
  <c r="O393" i="14"/>
  <c r="R215" i="14"/>
  <c r="Q191" i="41" s="1"/>
  <c r="P458" i="11"/>
  <c r="N439" i="14"/>
  <c r="N415" i="48" s="1"/>
  <c r="Q284" i="14"/>
  <c r="J336" i="48"/>
  <c r="R69" i="14"/>
  <c r="O20" i="14"/>
  <c r="L57" i="48"/>
  <c r="L58" i="48" s="1"/>
  <c r="N52" i="48"/>
  <c r="J238" i="48"/>
  <c r="J248" i="48"/>
  <c r="M304" i="48"/>
  <c r="M307" i="48" s="1"/>
  <c r="M316" i="48"/>
  <c r="O209" i="14"/>
  <c r="L431" i="48"/>
  <c r="L419" i="48"/>
  <c r="L143" i="48"/>
  <c r="L155" i="48"/>
  <c r="J63" i="48"/>
  <c r="L120" i="48"/>
  <c r="L123" i="48" s="1"/>
  <c r="L132" i="48"/>
  <c r="J149" i="48"/>
  <c r="K488" i="14"/>
  <c r="J198" i="48"/>
  <c r="P438" i="14"/>
  <c r="P414" i="48" s="1"/>
  <c r="K248" i="48"/>
  <c r="K241" i="48"/>
  <c r="Q882" i="11"/>
  <c r="Q884" i="11" s="1"/>
  <c r="Q139" i="14"/>
  <c r="Q115" i="48" s="1"/>
  <c r="K47" i="40" s="1"/>
  <c r="O96" i="14"/>
  <c r="J425" i="48"/>
  <c r="N324" i="14"/>
  <c r="N300" i="48" s="1"/>
  <c r="O281" i="14"/>
  <c r="O257" i="48" s="1"/>
  <c r="N140" i="14"/>
  <c r="Q535" i="11"/>
  <c r="Q541" i="11" s="1"/>
  <c r="L484" i="14"/>
  <c r="R569" i="11"/>
  <c r="R307" i="14" s="1"/>
  <c r="K312" i="48"/>
  <c r="K313" i="48" s="1"/>
  <c r="K318" i="48" s="1"/>
  <c r="Q514" i="14"/>
  <c r="N212" i="48"/>
  <c r="H96" i="40" s="1"/>
  <c r="P115" i="14"/>
  <c r="P91" i="48" s="1"/>
  <c r="J40" i="40" s="1"/>
  <c r="J370" i="14"/>
  <c r="N379" i="48"/>
  <c r="N386" i="48"/>
  <c r="H74" i="45"/>
  <c r="F35" i="47" s="1"/>
  <c r="H180" i="45"/>
  <c r="I191" i="45"/>
  <c r="S244" i="11"/>
  <c r="S99" i="14" s="1"/>
  <c r="S721" i="11"/>
  <c r="S577" i="11"/>
  <c r="S569" i="11" s="1"/>
  <c r="S307" i="14" s="1"/>
  <c r="S726" i="11"/>
  <c r="S249" i="11"/>
  <c r="G53" i="42"/>
  <c r="G21" i="46"/>
  <c r="T477" i="11"/>
  <c r="T551" i="11"/>
  <c r="T223" i="11"/>
  <c r="T700" i="11"/>
  <c r="N1101" i="43"/>
  <c r="R241" i="11"/>
  <c r="U848" i="43"/>
  <c r="U850" i="43" s="1"/>
  <c r="V847" i="43"/>
  <c r="V848" i="43" s="1"/>
  <c r="V850" i="43" s="1"/>
  <c r="R718" i="11"/>
  <c r="I182" i="45"/>
  <c r="G82" i="45"/>
  <c r="E38" i="47" s="1"/>
  <c r="E39" i="47" s="1"/>
  <c r="G189" i="45"/>
  <c r="G111" i="45"/>
  <c r="G191" i="45"/>
  <c r="E55" i="45"/>
  <c r="C21" i="47" s="1"/>
  <c r="E171" i="45"/>
  <c r="E175" i="45" s="1"/>
  <c r="I103" i="45"/>
  <c r="G27" i="47" s="1"/>
  <c r="G28" i="47" s="1"/>
  <c r="H78" i="45"/>
  <c r="F37" i="47" s="1"/>
  <c r="H172" i="45"/>
  <c r="I111" i="45"/>
  <c r="G30" i="47" s="1"/>
  <c r="G31" i="47" s="1"/>
  <c r="J10" i="45"/>
  <c r="J9" i="45" s="1"/>
  <c r="P1327" i="11"/>
  <c r="P1331" i="11" s="1"/>
  <c r="P560" i="11"/>
  <c r="J102" i="45" s="1"/>
  <c r="J110" i="45" s="1"/>
  <c r="P561" i="11"/>
  <c r="P300" i="14" s="1"/>
  <c r="Q558" i="11"/>
  <c r="J109" i="45"/>
  <c r="J190" i="45" s="1"/>
  <c r="P1400" i="11"/>
  <c r="P1402" i="11" s="1"/>
  <c r="R1394" i="11"/>
  <c r="L99" i="45"/>
  <c r="L98" i="45" s="1"/>
  <c r="Q1396" i="11"/>
  <c r="Q1398" i="11" s="1"/>
  <c r="K101" i="45"/>
  <c r="K181" i="45" s="1"/>
  <c r="M1418" i="11"/>
  <c r="H80" i="45"/>
  <c r="R933" i="43"/>
  <c r="R935" i="43" s="1"/>
  <c r="R950" i="43" s="1"/>
  <c r="R983" i="43" s="1"/>
  <c r="R985" i="43" s="1"/>
  <c r="N1420" i="11"/>
  <c r="H92" i="40" s="1"/>
  <c r="P710" i="11"/>
  <c r="P711" i="11" s="1"/>
  <c r="P709" i="11"/>
  <c r="J73" i="45" s="1"/>
  <c r="J81" i="45" s="1"/>
  <c r="N1375" i="11"/>
  <c r="N1358" i="11"/>
  <c r="H67" i="45" s="1"/>
  <c r="P1366" i="11"/>
  <c r="J70" i="45"/>
  <c r="J69" i="45" s="1"/>
  <c r="P1374" i="11"/>
  <c r="P1368" i="11"/>
  <c r="P1369" i="11"/>
  <c r="P1370" i="11"/>
  <c r="M1359" i="11"/>
  <c r="G67" i="45"/>
  <c r="P1353" i="11"/>
  <c r="J64" i="45"/>
  <c r="I72" i="45"/>
  <c r="I180" i="45" s="1"/>
  <c r="O1372" i="11"/>
  <c r="O1355" i="11"/>
  <c r="I66" i="45" s="1"/>
  <c r="I65" i="45"/>
  <c r="P1357" i="11"/>
  <c r="P1351" i="11"/>
  <c r="P1352" i="11"/>
  <c r="P1349" i="11"/>
  <c r="Q1346" i="11"/>
  <c r="Q1363" i="11"/>
  <c r="Q1435" i="11" s="1"/>
  <c r="Q564" i="11"/>
  <c r="Q1209" i="43"/>
  <c r="R39" i="43"/>
  <c r="R979" i="43" s="1"/>
  <c r="R980" i="43" s="1"/>
  <c r="Q1026" i="43"/>
  <c r="Q1036" i="43" s="1"/>
  <c r="Q1103" i="43" s="1"/>
  <c r="T32" i="43"/>
  <c r="P1038" i="43"/>
  <c r="P1028" i="43" s="1"/>
  <c r="P1035" i="43" s="1"/>
  <c r="Q971" i="43"/>
  <c r="K226" i="14"/>
  <c r="Q1081" i="43"/>
  <c r="Q1099" i="43" s="1"/>
  <c r="R149" i="43"/>
  <c r="P1095" i="43"/>
  <c r="P1100" i="43" s="1"/>
  <c r="I82" i="42"/>
  <c r="Q1034" i="43"/>
  <c r="R771" i="43"/>
  <c r="R780" i="43" s="1"/>
  <c r="R782" i="43" s="1"/>
  <c r="K594" i="43"/>
  <c r="P973" i="43"/>
  <c r="P975" i="43" s="1"/>
  <c r="P971" i="43" s="1"/>
  <c r="P950" i="43"/>
  <c r="P983" i="43" s="1"/>
  <c r="P985" i="43" s="1"/>
  <c r="Q1083" i="43"/>
  <c r="S1016" i="43"/>
  <c r="S23" i="43"/>
  <c r="S38" i="43" s="1"/>
  <c r="S1071" i="43"/>
  <c r="S1098" i="43" s="1"/>
  <c r="Q861" i="43"/>
  <c r="T21" i="43"/>
  <c r="T37" i="43" s="1"/>
  <c r="T932" i="43" s="1"/>
  <c r="U20" i="43"/>
  <c r="R1216" i="43"/>
  <c r="R1218" i="43" s="1"/>
  <c r="R1220" i="43" s="1"/>
  <c r="R1222" i="43" s="1"/>
  <c r="R1079" i="43"/>
  <c r="R1078" i="43"/>
  <c r="R1088" i="43"/>
  <c r="R1080" i="43"/>
  <c r="R1085" i="43"/>
  <c r="R1075" i="43"/>
  <c r="R1084" i="43"/>
  <c r="R1074" i="43"/>
  <c r="R1076" i="43"/>
  <c r="R1077" i="43"/>
  <c r="R1086" i="43"/>
  <c r="R1087" i="43"/>
  <c r="R1032" i="43"/>
  <c r="R1023" i="43"/>
  <c r="R1025" i="43"/>
  <c r="R1033" i="43"/>
  <c r="R1029" i="43"/>
  <c r="R1031" i="43"/>
  <c r="R1020" i="43"/>
  <c r="R1030" i="43"/>
  <c r="R1022" i="43"/>
  <c r="R1021" i="43"/>
  <c r="R1019" i="43"/>
  <c r="R1024" i="43"/>
  <c r="K219" i="14"/>
  <c r="K221" i="14" s="1"/>
  <c r="K222" i="14" s="1"/>
  <c r="K227" i="14" s="1"/>
  <c r="H49" i="42"/>
  <c r="P1408" i="11"/>
  <c r="P1410" i="11" s="1"/>
  <c r="J47" i="45"/>
  <c r="J46" i="45" s="1"/>
  <c r="L1270" i="11"/>
  <c r="F35" i="42" s="1"/>
  <c r="F43" i="45"/>
  <c r="F44" i="45"/>
  <c r="O1406" i="11"/>
  <c r="L249" i="14"/>
  <c r="L242" i="14"/>
  <c r="M1269" i="11"/>
  <c r="G32" i="42" s="1"/>
  <c r="G42" i="45"/>
  <c r="O1417" i="11"/>
  <c r="I53" i="40" s="1"/>
  <c r="G33" i="42"/>
  <c r="G49" i="45"/>
  <c r="G179" i="45" s="1"/>
  <c r="G185" i="45" s="1"/>
  <c r="J41" i="45"/>
  <c r="J39" i="45" s="1"/>
  <c r="R555" i="11"/>
  <c r="Q486" i="11"/>
  <c r="K14" i="45" s="1"/>
  <c r="K23" i="45" s="1"/>
  <c r="Q487" i="11"/>
  <c r="Q488" i="11" s="1"/>
  <c r="P457" i="11"/>
  <c r="Q453" i="11"/>
  <c r="Q451" i="11"/>
  <c r="K13" i="45" s="1"/>
  <c r="K22" i="45" s="1"/>
  <c r="P1284" i="11"/>
  <c r="O171" i="41"/>
  <c r="O173" i="41" s="1"/>
  <c r="P492" i="11"/>
  <c r="P238" i="11"/>
  <c r="P566" i="11"/>
  <c r="P715" i="11"/>
  <c r="P208" i="14"/>
  <c r="P184" i="48" s="1"/>
  <c r="J49" i="40" s="1"/>
  <c r="R449" i="11"/>
  <c r="R451" i="11" s="1"/>
  <c r="L13" i="45" s="1"/>
  <c r="L22" i="45" s="1"/>
  <c r="P1291" i="11"/>
  <c r="P1290" i="11"/>
  <c r="K763" i="11"/>
  <c r="J181" i="41"/>
  <c r="J183" i="41" s="1"/>
  <c r="J178" i="41"/>
  <c r="T271" i="43"/>
  <c r="U258" i="43"/>
  <c r="U109" i="43"/>
  <c r="T123" i="43"/>
  <c r="S172" i="43"/>
  <c r="S175" i="43" s="1"/>
  <c r="S358" i="43"/>
  <c r="S361" i="43" s="1"/>
  <c r="S402" i="43"/>
  <c r="S405" i="43" s="1"/>
  <c r="Q456" i="43"/>
  <c r="Q576" i="43"/>
  <c r="Q578" i="43" s="1"/>
  <c r="Q619" i="43" s="1"/>
  <c r="Q621" i="43" s="1"/>
  <c r="R575" i="43"/>
  <c r="Q780" i="43"/>
  <c r="Q782" i="43" s="1"/>
  <c r="Q791" i="43"/>
  <c r="Q793" i="43" s="1"/>
  <c r="U104" i="43"/>
  <c r="T118" i="43"/>
  <c r="T552" i="43"/>
  <c r="U541" i="43"/>
  <c r="M761" i="11"/>
  <c r="M798" i="11"/>
  <c r="M800" i="11" s="1"/>
  <c r="M776" i="11" s="1"/>
  <c r="U63" i="43"/>
  <c r="T65" i="43"/>
  <c r="U212" i="43"/>
  <c r="T213" i="43"/>
  <c r="T319" i="43" s="1"/>
  <c r="T321" i="43" s="1"/>
  <c r="U86" i="43"/>
  <c r="T87" i="43"/>
  <c r="S766" i="43"/>
  <c r="S768" i="43" s="1"/>
  <c r="T765" i="43"/>
  <c r="S549" i="43"/>
  <c r="U545" i="43"/>
  <c r="T556" i="43"/>
  <c r="P750" i="11"/>
  <c r="P752" i="11" s="1"/>
  <c r="P793" i="11" s="1"/>
  <c r="P795" i="11" s="1"/>
  <c r="Q749" i="11"/>
  <c r="S566" i="43"/>
  <c r="S568" i="43" s="1"/>
  <c r="S609" i="43" s="1"/>
  <c r="S611" i="43" s="1"/>
  <c r="T565" i="43"/>
  <c r="T550" i="43"/>
  <c r="U539" i="43"/>
  <c r="T683" i="43"/>
  <c r="U682" i="43"/>
  <c r="T761" i="43"/>
  <c r="U760" i="43"/>
  <c r="T557" i="43"/>
  <c r="U546" i="43"/>
  <c r="U547" i="43"/>
  <c r="T558" i="43"/>
  <c r="U51" i="43"/>
  <c r="T52" i="43"/>
  <c r="T242" i="43"/>
  <c r="U241" i="43"/>
  <c r="R770" i="43"/>
  <c r="T269" i="43"/>
  <c r="U256" i="43"/>
  <c r="S845" i="43"/>
  <c r="S859" i="43" s="1"/>
  <c r="S858" i="43"/>
  <c r="T266" i="43"/>
  <c r="U253" i="43"/>
  <c r="U46" i="43"/>
  <c r="T48" i="43"/>
  <c r="U260" i="43"/>
  <c r="T273" i="43"/>
  <c r="L603" i="43"/>
  <c r="L605" i="43" s="1"/>
  <c r="L600" i="43" s="1"/>
  <c r="L647" i="43"/>
  <c r="S692" i="43"/>
  <c r="S685" i="43"/>
  <c r="S693" i="43" s="1"/>
  <c r="S763" i="43"/>
  <c r="U229" i="43"/>
  <c r="T230" i="43"/>
  <c r="L369" i="14"/>
  <c r="L345" i="48" s="1"/>
  <c r="L437" i="48" s="1"/>
  <c r="F42" i="40" s="1"/>
  <c r="L816" i="11"/>
  <c r="L772" i="11"/>
  <c r="L774" i="11" s="1"/>
  <c r="L769" i="11" s="1"/>
  <c r="T115" i="43"/>
  <c r="U101" i="43"/>
  <c r="R571" i="43"/>
  <c r="R573" i="43" s="1"/>
  <c r="R614" i="43" s="1"/>
  <c r="R616" i="43" s="1"/>
  <c r="S570" i="43"/>
  <c r="T843" i="43"/>
  <c r="U842" i="43"/>
  <c r="U254" i="43"/>
  <c r="T267" i="43"/>
  <c r="T553" i="43"/>
  <c r="U542" i="43"/>
  <c r="U107" i="43"/>
  <c r="T121" i="43"/>
  <c r="U100" i="43"/>
  <c r="T114" i="43"/>
  <c r="U98" i="43"/>
  <c r="T112" i="43"/>
  <c r="T554" i="43"/>
  <c r="U543" i="43"/>
  <c r="T236" i="43"/>
  <c r="U235" i="43"/>
  <c r="S161" i="43"/>
  <c r="S164" i="43" s="1"/>
  <c r="S347" i="43"/>
  <c r="S350" i="43" s="1"/>
  <c r="S391" i="43"/>
  <c r="S394" i="43" s="1"/>
  <c r="T275" i="43"/>
  <c r="U262" i="43"/>
  <c r="U108" i="43"/>
  <c r="T122" i="43"/>
  <c r="S321" i="43"/>
  <c r="P1425" i="11"/>
  <c r="R868" i="43"/>
  <c r="R870" i="43" s="1"/>
  <c r="R879" i="43"/>
  <c r="R881" i="43" s="1"/>
  <c r="T120" i="43"/>
  <c r="U106" i="43"/>
  <c r="T202" i="43"/>
  <c r="T304" i="43" s="1"/>
  <c r="T306" i="43" s="1"/>
  <c r="U201" i="43"/>
  <c r="U261" i="43"/>
  <c r="T274" i="43"/>
  <c r="U57" i="43"/>
  <c r="T58" i="43"/>
  <c r="M629" i="43"/>
  <c r="M631" i="43" s="1"/>
  <c r="M607" i="43" s="1"/>
  <c r="M592" i="43"/>
  <c r="S306" i="43"/>
  <c r="S292" i="43" s="1"/>
  <c r="S278" i="43"/>
  <c r="S265" i="43"/>
  <c r="S439" i="43" s="1"/>
  <c r="S441" i="43" s="1"/>
  <c r="R518" i="43"/>
  <c r="R488" i="43"/>
  <c r="R512" i="43"/>
  <c r="R535" i="43"/>
  <c r="R506" i="43"/>
  <c r="R494" i="43"/>
  <c r="U544" i="43"/>
  <c r="T555" i="43"/>
  <c r="U103" i="43"/>
  <c r="T117" i="43"/>
  <c r="R702" i="43"/>
  <c r="R704" i="43" s="1"/>
  <c r="R713" i="43"/>
  <c r="R715" i="43" s="1"/>
  <c r="U263" i="43"/>
  <c r="T276" i="43"/>
  <c r="T272" i="43"/>
  <c r="U259" i="43"/>
  <c r="T93" i="43"/>
  <c r="U92" i="43"/>
  <c r="O586" i="43"/>
  <c r="P585" i="43"/>
  <c r="K461" i="14"/>
  <c r="U257" i="43"/>
  <c r="T270" i="43"/>
  <c r="S111" i="43"/>
  <c r="S125" i="43"/>
  <c r="T688" i="43"/>
  <c r="T690" i="43" s="1"/>
  <c r="U687" i="43"/>
  <c r="T268" i="43"/>
  <c r="U255" i="43"/>
  <c r="P581" i="43"/>
  <c r="P583" i="43" s="1"/>
  <c r="P624" i="43" s="1"/>
  <c r="P626" i="43" s="1"/>
  <c r="Q580" i="43"/>
  <c r="U102" i="43"/>
  <c r="T116" i="43"/>
  <c r="N588" i="43"/>
  <c r="N591" i="43"/>
  <c r="T449" i="43"/>
  <c r="U448" i="43"/>
  <c r="U105" i="43"/>
  <c r="T119" i="43"/>
  <c r="O755" i="11"/>
  <c r="P754" i="11"/>
  <c r="O624" i="43"/>
  <c r="O626" i="43" s="1"/>
  <c r="T853" i="43"/>
  <c r="T855" i="43" s="1"/>
  <c r="U852" i="43"/>
  <c r="S454" i="43"/>
  <c r="S452" i="43"/>
  <c r="S498" i="43" s="1"/>
  <c r="S500" i="43" s="1"/>
  <c r="U540" i="43"/>
  <c r="T551" i="43"/>
  <c r="U74" i="43"/>
  <c r="T75" i="43"/>
  <c r="N760" i="11"/>
  <c r="H20" i="40" s="1"/>
  <c r="N757" i="11"/>
  <c r="U223" i="43"/>
  <c r="T224" i="43"/>
  <c r="T309" i="43" s="1"/>
  <c r="T311" i="43" s="1"/>
  <c r="Q1278" i="11"/>
  <c r="K4" i="45" s="1"/>
  <c r="K2" i="45" s="1"/>
  <c r="Q1302" i="11"/>
  <c r="P1286" i="11"/>
  <c r="P1285" i="11"/>
  <c r="P1283" i="11"/>
  <c r="Q591" i="11"/>
  <c r="Q643" i="11" s="1"/>
  <c r="Q1178" i="43"/>
  <c r="Q1180" i="43" s="1"/>
  <c r="Q1186" i="43" s="1"/>
  <c r="Q589" i="11"/>
  <c r="P1292" i="11"/>
  <c r="P1282" i="11"/>
  <c r="P1182" i="43"/>
  <c r="P1184" i="43" s="1"/>
  <c r="P1187" i="43" s="1"/>
  <c r="P1188" i="43" s="1"/>
  <c r="T406" i="11"/>
  <c r="T408" i="11"/>
  <c r="U329" i="43"/>
  <c r="U333" i="43" s="1"/>
  <c r="U403" i="11"/>
  <c r="U404" i="11" s="1"/>
  <c r="T333" i="43"/>
  <c r="S162" i="14"/>
  <c r="S138" i="48" s="1"/>
  <c r="M48" i="40" s="1"/>
  <c r="N507" i="14"/>
  <c r="N509" i="14" s="1"/>
  <c r="M351" i="14"/>
  <c r="M363" i="14"/>
  <c r="O716" i="11"/>
  <c r="O346" i="14"/>
  <c r="O322" i="48" s="1"/>
  <c r="P713" i="11"/>
  <c r="O248" i="14"/>
  <c r="K357" i="14"/>
  <c r="K364" i="14"/>
  <c r="Q704" i="11"/>
  <c r="Q707" i="11" s="1"/>
  <c r="L357" i="14"/>
  <c r="L359" i="14" s="1"/>
  <c r="L364" i="14"/>
  <c r="Q261" i="14"/>
  <c r="S362" i="14"/>
  <c r="S316" i="14"/>
  <c r="S523" i="14"/>
  <c r="P493" i="11"/>
  <c r="P231" i="14"/>
  <c r="P207" i="48" s="1"/>
  <c r="N236" i="14"/>
  <c r="N248" i="14"/>
  <c r="M242" i="14"/>
  <c r="M249" i="14"/>
  <c r="Q490" i="11"/>
  <c r="R480" i="11"/>
  <c r="R481" i="11" s="1"/>
  <c r="R484" i="11" s="1"/>
  <c r="L27" i="40"/>
  <c r="S224" i="14"/>
  <c r="S247" i="14"/>
  <c r="S445" i="11"/>
  <c r="S498" i="11"/>
  <c r="S503" i="11"/>
  <c r="R495" i="11"/>
  <c r="O140" i="41"/>
  <c r="O142" i="41" s="1"/>
  <c r="P1124" i="43"/>
  <c r="U288" i="43"/>
  <c r="U290" i="43"/>
  <c r="V328" i="43"/>
  <c r="V286" i="43"/>
  <c r="R1057" i="43"/>
  <c r="Q1166" i="43"/>
  <c r="R1148" i="43"/>
  <c r="S204" i="43"/>
  <c r="S226" i="43"/>
  <c r="S238" i="43"/>
  <c r="S232" i="43"/>
  <c r="S244" i="43"/>
  <c r="S215" i="43"/>
  <c r="R1122" i="43"/>
  <c r="S1143" i="43"/>
  <c r="S1141" i="43"/>
  <c r="S1147" i="43"/>
  <c r="S1153" i="43"/>
  <c r="S1145" i="43"/>
  <c r="S1227" i="43"/>
  <c r="S1229" i="43" s="1"/>
  <c r="S1232" i="43" s="1"/>
  <c r="S1155" i="43"/>
  <c r="S1151" i="43"/>
  <c r="S1146" i="43"/>
  <c r="S1144" i="43"/>
  <c r="S1142" i="43"/>
  <c r="S1152" i="43"/>
  <c r="V180" i="43"/>
  <c r="U182" i="43"/>
  <c r="U181" i="43"/>
  <c r="U184" i="43"/>
  <c r="R1130" i="43"/>
  <c r="S1117" i="43"/>
  <c r="S1115" i="43"/>
  <c r="S1128" i="43"/>
  <c r="S1165" i="43"/>
  <c r="S1116" i="43"/>
  <c r="S1120" i="43"/>
  <c r="S1129" i="43"/>
  <c r="S1119" i="43"/>
  <c r="S1127" i="43"/>
  <c r="S1118" i="43"/>
  <c r="S1126" i="43"/>
  <c r="S1125" i="43"/>
  <c r="S1121" i="43"/>
  <c r="Q1133" i="43"/>
  <c r="Q1171" i="43" s="1"/>
  <c r="Q1170" i="43"/>
  <c r="T1138" i="43"/>
  <c r="T1112" i="43"/>
  <c r="T187" i="43"/>
  <c r="T185" i="43"/>
  <c r="T177" i="43"/>
  <c r="T176" i="43" s="1"/>
  <c r="Q440" i="11"/>
  <c r="R189" i="43"/>
  <c r="R433" i="43" s="1"/>
  <c r="R435" i="43" s="1"/>
  <c r="R421" i="43" s="1"/>
  <c r="J16" i="40"/>
  <c r="J22" i="40" s="1"/>
  <c r="J6" i="40" s="1"/>
  <c r="R1010" i="43"/>
  <c r="T992" i="43"/>
  <c r="T1045" i="43"/>
  <c r="T28" i="43"/>
  <c r="V25" i="43"/>
  <c r="V26" i="43" s="1"/>
  <c r="U26" i="43"/>
  <c r="S54" i="43"/>
  <c r="S1051" i="43"/>
  <c r="S1054" i="43"/>
  <c r="S1211" i="43"/>
  <c r="S1213" i="43" s="1"/>
  <c r="S1049" i="43"/>
  <c r="S1050" i="43"/>
  <c r="S1052" i="43"/>
  <c r="S1048" i="43"/>
  <c r="S1053" i="43"/>
  <c r="R1055" i="43"/>
  <c r="S95" i="43"/>
  <c r="S71" i="43"/>
  <c r="R1002" i="43"/>
  <c r="S89" i="43"/>
  <c r="Q1013" i="43"/>
  <c r="S1062" i="43"/>
  <c r="S1008" i="43"/>
  <c r="S1059" i="43"/>
  <c r="S1061" i="43"/>
  <c r="S999" i="43"/>
  <c r="S1000" i="43"/>
  <c r="S1005" i="43"/>
  <c r="S996" i="43"/>
  <c r="S1006" i="43"/>
  <c r="S1001" i="43"/>
  <c r="S1060" i="43"/>
  <c r="S995" i="43"/>
  <c r="S1058" i="43"/>
  <c r="S997" i="43"/>
  <c r="S1009" i="43"/>
  <c r="S1007" i="43"/>
  <c r="S998" i="43"/>
  <c r="S60" i="43"/>
  <c r="S77" i="43"/>
  <c r="Q1068" i="43"/>
  <c r="S933" i="43"/>
  <c r="S935" i="43" s="1"/>
  <c r="S939" i="43"/>
  <c r="S940" i="43" s="1"/>
  <c r="S942" i="43" s="1"/>
  <c r="L25" i="40"/>
  <c r="Q260" i="11"/>
  <c r="K19" i="40"/>
  <c r="J12" i="40"/>
  <c r="J5" i="40" s="1"/>
  <c r="P1415" i="11"/>
  <c r="F78" i="40"/>
  <c r="L133" i="14"/>
  <c r="P1316" i="11"/>
  <c r="P1315" i="11"/>
  <c r="P1310" i="11"/>
  <c r="P1309" i="11"/>
  <c r="P1308" i="11"/>
  <c r="P1307" i="11"/>
  <c r="P1314" i="11"/>
  <c r="P1306" i="11"/>
  <c r="T1275" i="11"/>
  <c r="O1204" i="11"/>
  <c r="P1203" i="11"/>
  <c r="N1205" i="11"/>
  <c r="P1264" i="11"/>
  <c r="N1265" i="11"/>
  <c r="N1206" i="11"/>
  <c r="N1185" i="11"/>
  <c r="N1177" i="11" s="1"/>
  <c r="N1183" i="11" s="1"/>
  <c r="M1210" i="11"/>
  <c r="P1201" i="11"/>
  <c r="O1250" i="11"/>
  <c r="N1261" i="11"/>
  <c r="O1197" i="11"/>
  <c r="O1208" i="11" s="1"/>
  <c r="O1199" i="11" s="1"/>
  <c r="P1245" i="11"/>
  <c r="P1251" i="11"/>
  <c r="P1254" i="11"/>
  <c r="P1253" i="11"/>
  <c r="P1244" i="11"/>
  <c r="P1243" i="11"/>
  <c r="P1252" i="11"/>
  <c r="P1242" i="11"/>
  <c r="P1247" i="11"/>
  <c r="P1246" i="11"/>
  <c r="P1192" i="11"/>
  <c r="P1194" i="11"/>
  <c r="O1248" i="11"/>
  <c r="Q1188" i="11"/>
  <c r="Q1239" i="11"/>
  <c r="Q1413" i="11" s="1"/>
  <c r="P1195" i="11"/>
  <c r="P1202" i="11"/>
  <c r="P1196" i="11"/>
  <c r="P1200" i="11"/>
  <c r="P1193" i="11"/>
  <c r="P1191" i="11"/>
  <c r="O1175" i="11"/>
  <c r="P1180" i="11"/>
  <c r="P1227" i="11"/>
  <c r="P1228" i="11"/>
  <c r="P1229" i="11"/>
  <c r="O1224" i="11"/>
  <c r="P1181" i="11"/>
  <c r="P1178" i="11"/>
  <c r="P1173" i="11"/>
  <c r="P1174" i="11"/>
  <c r="O1182" i="11"/>
  <c r="P1179" i="11"/>
  <c r="Q1166" i="11"/>
  <c r="Q1215" i="11"/>
  <c r="P1223" i="11"/>
  <c r="P1222" i="11"/>
  <c r="P1221" i="11"/>
  <c r="P1220" i="11"/>
  <c r="P1219" i="11"/>
  <c r="P1218" i="11"/>
  <c r="P1169" i="11"/>
  <c r="P1170" i="11"/>
  <c r="P1171" i="11"/>
  <c r="P1172" i="11"/>
  <c r="K153" i="14"/>
  <c r="K158" i="14" s="1"/>
  <c r="P38" i="11"/>
  <c r="S68" i="14"/>
  <c r="S1106" i="11"/>
  <c r="K14" i="40"/>
  <c r="Q37" i="11"/>
  <c r="T1163" i="11"/>
  <c r="R34" i="11"/>
  <c r="R460" i="11"/>
  <c r="R191" i="11"/>
  <c r="S201" i="14"/>
  <c r="R2" i="41"/>
  <c r="M1142" i="11"/>
  <c r="M1144" i="11" s="1"/>
  <c r="M1140" i="11" s="1"/>
  <c r="I76" i="41"/>
  <c r="I74" i="41"/>
  <c r="E27" i="46"/>
  <c r="S463" i="11"/>
  <c r="S468" i="11"/>
  <c r="S188" i="11"/>
  <c r="L157" i="14"/>
  <c r="L150" i="14"/>
  <c r="T170" i="11"/>
  <c r="T441" i="11"/>
  <c r="T184" i="11"/>
  <c r="T176" i="11"/>
  <c r="T213" i="11" s="1"/>
  <c r="O79" i="14"/>
  <c r="O86" i="14"/>
  <c r="R455" i="11"/>
  <c r="I268" i="41"/>
  <c r="I275" i="41" s="1"/>
  <c r="I276" i="41" s="1"/>
  <c r="L1157" i="11"/>
  <c r="L1159" i="11" s="1"/>
  <c r="J227" i="41"/>
  <c r="J234" i="41" s="1"/>
  <c r="J235" i="41" s="1"/>
  <c r="Q192" i="11"/>
  <c r="Q75" i="14"/>
  <c r="L30" i="41"/>
  <c r="M81" i="14"/>
  <c r="M82" i="14" s="1"/>
  <c r="M87" i="14" s="1"/>
  <c r="K33" i="41"/>
  <c r="K35" i="41"/>
  <c r="M1119" i="11"/>
  <c r="R518" i="11"/>
  <c r="L30" i="40"/>
  <c r="L7" i="40" s="1"/>
  <c r="Q29" i="11"/>
  <c r="K13" i="40"/>
  <c r="H34" i="40"/>
  <c r="H33" i="40"/>
  <c r="O190" i="11"/>
  <c r="Q252" i="11"/>
  <c r="Q251" i="11" s="1"/>
  <c r="K17" i="40"/>
  <c r="K21" i="40" s="1"/>
  <c r="R363" i="11"/>
  <c r="P202" i="11"/>
  <c r="P205" i="11" s="1"/>
  <c r="O436" i="11"/>
  <c r="O410" i="11" s="1"/>
  <c r="J198" i="14"/>
  <c r="J199" i="14" s="1"/>
  <c r="S84" i="14"/>
  <c r="U135" i="39"/>
  <c r="U134" i="39"/>
  <c r="BW67" i="38"/>
  <c r="BW68" i="38"/>
  <c r="BM66" i="38"/>
  <c r="BM59" i="38"/>
  <c r="BW64" i="38"/>
  <c r="BW59" i="38"/>
  <c r="BM60" i="38"/>
  <c r="BM67" i="38"/>
  <c r="BM64" i="38"/>
  <c r="BM70" i="38"/>
  <c r="BM58" i="38"/>
  <c r="BX57" i="38"/>
  <c r="BX68" i="38" s="1"/>
  <c r="BM68" i="38"/>
  <c r="BN57" i="38"/>
  <c r="BN61" i="38" s="1"/>
  <c r="BW62" i="38"/>
  <c r="BM65" i="38"/>
  <c r="BW66" i="38"/>
  <c r="BW65" i="38"/>
  <c r="BM61" i="38"/>
  <c r="BW63" i="38"/>
  <c r="BW58" i="38"/>
  <c r="BM69" i="38"/>
  <c r="BW61" i="38"/>
  <c r="BW70" i="38"/>
  <c r="BM63" i="38"/>
  <c r="BW60" i="38"/>
  <c r="S27" i="19"/>
  <c r="T14" i="19"/>
  <c r="S22" i="36"/>
  <c r="S21" i="36"/>
  <c r="T14" i="36"/>
  <c r="S14" i="36"/>
  <c r="P58" i="35"/>
  <c r="P61" i="35"/>
  <c r="T11" i="35"/>
  <c r="U6" i="35"/>
  <c r="U7" i="35" s="1"/>
  <c r="T9" i="35"/>
  <c r="T8" i="35"/>
  <c r="R34" i="35"/>
  <c r="R69" i="35"/>
  <c r="S22" i="35"/>
  <c r="S21" i="35"/>
  <c r="T14" i="35"/>
  <c r="S14" i="35"/>
  <c r="Q58" i="35"/>
  <c r="Q61" i="35"/>
  <c r="U6" i="36"/>
  <c r="U7" i="36" s="1"/>
  <c r="T11" i="36"/>
  <c r="T9" i="36"/>
  <c r="T8" i="36"/>
  <c r="S78" i="24"/>
  <c r="S78" i="25" s="1"/>
  <c r="R70" i="24"/>
  <c r="R70" i="25" s="1"/>
  <c r="Q90" i="23"/>
  <c r="P79" i="24"/>
  <c r="P79" i="25" s="1"/>
  <c r="Q84" i="23"/>
  <c r="P73" i="24"/>
  <c r="P73" i="25" s="1"/>
  <c r="P32" i="28"/>
  <c r="P82" i="23"/>
  <c r="R47" i="28"/>
  <c r="Q36" i="28"/>
  <c r="R365" i="11"/>
  <c r="R45" i="28"/>
  <c r="R88" i="23" s="1"/>
  <c r="R40" i="28"/>
  <c r="S360" i="11"/>
  <c r="S361" i="11" s="1"/>
  <c r="S734" i="11"/>
  <c r="S735" i="11" s="1"/>
  <c r="S737" i="11" s="1"/>
  <c r="S778" i="11" s="1"/>
  <c r="S780" i="11" s="1"/>
  <c r="S40" i="28"/>
  <c r="S45" i="28"/>
  <c r="S88" i="23" s="1"/>
  <c r="T8" i="28"/>
  <c r="T52" i="28" s="1"/>
  <c r="T11" i="28"/>
  <c r="T12" i="28" s="1"/>
  <c r="U6" i="28"/>
  <c r="U7" i="28" s="1"/>
  <c r="T9" i="28"/>
  <c r="T35" i="28" s="1"/>
  <c r="S14" i="28"/>
  <c r="J91" i="23"/>
  <c r="T104" i="15"/>
  <c r="U1515" i="11"/>
  <c r="U1517" i="11" s="1"/>
  <c r="T357" i="41" s="1"/>
  <c r="S1021" i="11"/>
  <c r="S1022" i="11" s="1"/>
  <c r="S1024" i="11" s="1"/>
  <c r="O439" i="14"/>
  <c r="M449" i="14"/>
  <c r="M451" i="14" s="1"/>
  <c r="M452" i="14" s="1"/>
  <c r="M457" i="14" s="1"/>
  <c r="M456" i="14"/>
  <c r="S1094" i="11"/>
  <c r="S1096" i="11" s="1"/>
  <c r="S1097" i="11" s="1"/>
  <c r="S513" i="11"/>
  <c r="S514" i="11" s="1"/>
  <c r="S1391" i="11" s="1"/>
  <c r="Q871" i="11"/>
  <c r="Q873" i="11" s="1"/>
  <c r="R516" i="11"/>
  <c r="Q392" i="14"/>
  <c r="Q368" i="48" s="1"/>
  <c r="Q277" i="14"/>
  <c r="S856" i="11"/>
  <c r="S857" i="11" s="1"/>
  <c r="S859" i="11" s="1"/>
  <c r="S929" i="11"/>
  <c r="S930" i="11" s="1"/>
  <c r="S932" i="11" s="1"/>
  <c r="L455" i="14"/>
  <c r="S1016" i="11"/>
  <c r="S1017" i="11" s="1"/>
  <c r="S1019" i="11" s="1"/>
  <c r="S739" i="11"/>
  <c r="S740" i="11" s="1"/>
  <c r="S742" i="11" s="1"/>
  <c r="S783" i="11" s="1"/>
  <c r="S785" i="11" s="1"/>
  <c r="R862" i="11"/>
  <c r="S1099" i="11"/>
  <c r="S1103" i="11" s="1"/>
  <c r="S744" i="11"/>
  <c r="S745" i="11" s="1"/>
  <c r="S747" i="11" s="1"/>
  <c r="S788" i="11" s="1"/>
  <c r="S790" i="11" s="1"/>
  <c r="S851" i="11"/>
  <c r="S852" i="11" s="1"/>
  <c r="S854" i="11" s="1"/>
  <c r="R861" i="11"/>
  <c r="S1011" i="11"/>
  <c r="S1012" i="11" s="1"/>
  <c r="S1014" i="11" s="1"/>
  <c r="R1027" i="11"/>
  <c r="S934" i="11"/>
  <c r="S935" i="11" s="1"/>
  <c r="S937" i="11" s="1"/>
  <c r="P290" i="11"/>
  <c r="R940" i="11"/>
  <c r="R939" i="11"/>
  <c r="Q949" i="11"/>
  <c r="Q951" i="11" s="1"/>
  <c r="Q960" i="11"/>
  <c r="Q962" i="11" s="1"/>
  <c r="P279" i="11"/>
  <c r="R1009" i="11"/>
  <c r="R1028" i="11" s="1"/>
  <c r="Q1057" i="11"/>
  <c r="Q442" i="14" s="1"/>
  <c r="Q418" i="48" s="1"/>
  <c r="R169" i="14"/>
  <c r="Q686" i="11"/>
  <c r="Q327" i="14" s="1"/>
  <c r="Q303" i="48" s="1"/>
  <c r="P649" i="11"/>
  <c r="P60" i="11"/>
  <c r="O264" i="11"/>
  <c r="P89" i="11"/>
  <c r="P625" i="11"/>
  <c r="O593" i="11"/>
  <c r="Q891" i="11"/>
  <c r="Q396" i="14" s="1"/>
  <c r="Q372" i="48" s="1"/>
  <c r="Q818" i="11"/>
  <c r="Q373" i="14" s="1"/>
  <c r="Q349" i="48" s="1"/>
  <c r="J342" i="14"/>
  <c r="S640" i="11"/>
  <c r="R641" i="11"/>
  <c r="V25" i="19"/>
  <c r="S329" i="11"/>
  <c r="R342" i="11"/>
  <c r="P323" i="14"/>
  <c r="P635" i="11"/>
  <c r="P637" i="11" s="1"/>
  <c r="S683" i="11"/>
  <c r="R694" i="11"/>
  <c r="S678" i="11"/>
  <c r="R689" i="11"/>
  <c r="T965" i="11"/>
  <c r="U8" i="11"/>
  <c r="V6" i="11"/>
  <c r="V7" i="11" s="1"/>
  <c r="U9" i="11"/>
  <c r="U1460" i="11" s="1"/>
  <c r="U11" i="11"/>
  <c r="U12" i="11" s="1"/>
  <c r="V12" i="6" s="1"/>
  <c r="T104" i="11"/>
  <c r="S118" i="11"/>
  <c r="S99" i="11"/>
  <c r="R113" i="11"/>
  <c r="S826" i="11"/>
  <c r="R828" i="11"/>
  <c r="Q340" i="11"/>
  <c r="Q353" i="11"/>
  <c r="Q122" i="14" s="1"/>
  <c r="Q98" i="48" s="1"/>
  <c r="S107" i="11"/>
  <c r="R121" i="11"/>
  <c r="S899" i="11"/>
  <c r="R901" i="11"/>
  <c r="T337" i="11"/>
  <c r="S350" i="11"/>
  <c r="S330" i="11"/>
  <c r="R343" i="11"/>
  <c r="P631" i="11"/>
  <c r="P307" i="11"/>
  <c r="P313" i="11"/>
  <c r="P319" i="11"/>
  <c r="S1060" i="11"/>
  <c r="R1062" i="11"/>
  <c r="S669" i="11"/>
  <c r="R670" i="11"/>
  <c r="S617" i="11"/>
  <c r="R619" i="11"/>
  <c r="S955" i="11"/>
  <c r="R957" i="11"/>
  <c r="P672" i="11"/>
  <c r="S526" i="11"/>
  <c r="S531" i="11"/>
  <c r="S1007" i="11"/>
  <c r="S328" i="11"/>
  <c r="R341" i="11"/>
  <c r="P465" i="14"/>
  <c r="S992" i="11"/>
  <c r="R994" i="11"/>
  <c r="S1080" i="11"/>
  <c r="R1082" i="11"/>
  <c r="T1003" i="11"/>
  <c r="T848" i="11"/>
  <c r="T1036" i="11"/>
  <c r="T926" i="11"/>
  <c r="T1473" i="11"/>
  <c r="T1006" i="11"/>
  <c r="T948" i="11"/>
  <c r="T870" i="11"/>
  <c r="T1091" i="11"/>
  <c r="T31" i="11" s="1"/>
  <c r="T771" i="11"/>
  <c r="T731" i="11"/>
  <c r="T510" i="11"/>
  <c r="T400" i="11"/>
  <c r="T357" i="11"/>
  <c r="T582" i="11"/>
  <c r="Q379" i="11"/>
  <c r="Q161" i="11" s="1"/>
  <c r="Q164" i="11" s="1"/>
  <c r="S500" i="14"/>
  <c r="S270" i="14"/>
  <c r="S293" i="14"/>
  <c r="S131" i="14"/>
  <c r="S454" i="14"/>
  <c r="S339" i="14"/>
  <c r="S155" i="14"/>
  <c r="S385" i="14"/>
  <c r="S178" i="14"/>
  <c r="S408" i="14"/>
  <c r="S431" i="14"/>
  <c r="S477" i="14"/>
  <c r="S36" i="14"/>
  <c r="L123" i="14"/>
  <c r="L134" i="14" s="1"/>
  <c r="R609" i="11"/>
  <c r="L331" i="14"/>
  <c r="K230" i="41" s="1"/>
  <c r="J428" i="14"/>
  <c r="S468" i="14"/>
  <c r="T98" i="11"/>
  <c r="S112" i="11"/>
  <c r="S334" i="11"/>
  <c r="R347" i="11"/>
  <c r="O1111" i="11"/>
  <c r="J265" i="14"/>
  <c r="S628" i="11"/>
  <c r="R629" i="11"/>
  <c r="V6" i="25"/>
  <c r="V7" i="25" s="1"/>
  <c r="U11" i="25"/>
  <c r="U12" i="25" s="1"/>
  <c r="U14" i="25" s="1"/>
  <c r="U9" i="25"/>
  <c r="U8" i="25"/>
  <c r="U36" i="25" s="1"/>
  <c r="L446" i="14"/>
  <c r="S338" i="11"/>
  <c r="R351" i="11"/>
  <c r="R550" i="11" s="1"/>
  <c r="S282" i="11"/>
  <c r="R284" i="11"/>
  <c r="R476" i="11" s="1"/>
  <c r="R699" i="11" s="1"/>
  <c r="S255" i="11"/>
  <c r="U256" i="11" s="1"/>
  <c r="U442" i="11" s="1"/>
  <c r="R27" i="11"/>
  <c r="R1108" i="11" s="1"/>
  <c r="S26" i="11"/>
  <c r="T684" i="11"/>
  <c r="S695" i="11"/>
  <c r="S276" i="11"/>
  <c r="R277" i="11"/>
  <c r="S677" i="11"/>
  <c r="R688" i="11"/>
  <c r="S622" i="11"/>
  <c r="R623" i="11"/>
  <c r="S1070" i="11"/>
  <c r="R1072" i="11"/>
  <c r="T914" i="11"/>
  <c r="S916" i="11"/>
  <c r="S271" i="11"/>
  <c r="R273" i="11"/>
  <c r="S831" i="11"/>
  <c r="R833" i="11"/>
  <c r="T322" i="11"/>
  <c r="S324" i="11"/>
  <c r="N1148" i="11"/>
  <c r="N1149" i="11" s="1"/>
  <c r="N21" i="14"/>
  <c r="N21" i="48" s="1"/>
  <c r="P1037" i="11"/>
  <c r="P1039" i="11" s="1"/>
  <c r="P1048" i="11"/>
  <c r="P1050" i="11" s="1"/>
  <c r="S103" i="11"/>
  <c r="R117" i="11"/>
  <c r="T108" i="11"/>
  <c r="S122" i="11"/>
  <c r="S894" i="11"/>
  <c r="R896" i="11"/>
  <c r="S681" i="11"/>
  <c r="R692" i="11"/>
  <c r="S821" i="11"/>
  <c r="R823" i="11"/>
  <c r="S682" i="11"/>
  <c r="R693" i="11"/>
  <c r="T335" i="11"/>
  <c r="S348" i="11"/>
  <c r="Q262" i="11"/>
  <c r="Q279" i="11" s="1"/>
  <c r="R520" i="11"/>
  <c r="T634" i="11"/>
  <c r="R146" i="14"/>
  <c r="Q68" i="41" s="1"/>
  <c r="P422" i="11"/>
  <c r="P425" i="11" s="1"/>
  <c r="P381" i="11"/>
  <c r="P643" i="11"/>
  <c r="S68" i="11"/>
  <c r="R69" i="11"/>
  <c r="S909" i="11"/>
  <c r="R911" i="11"/>
  <c r="J152" i="14"/>
  <c r="J153" i="14" s="1"/>
  <c r="T51" i="11"/>
  <c r="S52" i="11"/>
  <c r="Q111" i="11"/>
  <c r="Q24" i="14" s="1"/>
  <c r="Q125" i="11"/>
  <c r="Q27" i="14" s="1"/>
  <c r="Q27" i="48" s="1"/>
  <c r="O367" i="11"/>
  <c r="S1075" i="11"/>
  <c r="R1077" i="11"/>
  <c r="S602" i="11"/>
  <c r="S371" i="11"/>
  <c r="S376" i="11"/>
  <c r="S391" i="11"/>
  <c r="S607" i="11"/>
  <c r="S1043" i="11"/>
  <c r="R1045" i="11"/>
  <c r="S808" i="11"/>
  <c r="R810" i="11"/>
  <c r="U6" i="14"/>
  <c r="U7" i="14" s="1"/>
  <c r="T9" i="14"/>
  <c r="S3" i="41" s="1"/>
  <c r="T11" i="14"/>
  <c r="T12" i="14" s="1"/>
  <c r="T14" i="14" s="1"/>
  <c r="T8" i="14"/>
  <c r="T680" i="11"/>
  <c r="S691" i="11"/>
  <c r="T310" i="11"/>
  <c r="S311" i="11"/>
  <c r="Q969" i="11"/>
  <c r="Q419" i="14" s="1"/>
  <c r="Q395" i="48" s="1"/>
  <c r="T676" i="11"/>
  <c r="S687" i="11"/>
  <c r="T904" i="11"/>
  <c r="S906" i="11"/>
  <c r="S105" i="11"/>
  <c r="R119" i="11"/>
  <c r="T92" i="11"/>
  <c r="S93" i="11"/>
  <c r="S86" i="11"/>
  <c r="R87" i="11"/>
  <c r="S987" i="11"/>
  <c r="R989" i="11"/>
  <c r="S1053" i="11"/>
  <c r="T101" i="11"/>
  <c r="S115" i="11"/>
  <c r="T331" i="11"/>
  <c r="S344" i="11"/>
  <c r="T304" i="11"/>
  <c r="S305" i="11"/>
  <c r="M179" i="14"/>
  <c r="M167" i="14"/>
  <c r="S652" i="11"/>
  <c r="R653" i="11"/>
  <c r="N116" i="14"/>
  <c r="N92" i="48" s="1"/>
  <c r="N93" i="48" s="1"/>
  <c r="N534" i="11"/>
  <c r="N536" i="11" s="1"/>
  <c r="N522" i="11" s="1"/>
  <c r="T74" i="11"/>
  <c r="S75" i="11"/>
  <c r="S646" i="11"/>
  <c r="R647" i="11"/>
  <c r="J129" i="14"/>
  <c r="P433" i="11"/>
  <c r="P396" i="11"/>
  <c r="S419" i="11"/>
  <c r="S414" i="11"/>
  <c r="S430" i="11"/>
  <c r="S48" i="11"/>
  <c r="T46" i="11"/>
  <c r="S106" i="11"/>
  <c r="R120" i="11"/>
  <c r="S1085" i="11"/>
  <c r="R1087" i="11"/>
  <c r="S972" i="11"/>
  <c r="R974" i="11"/>
  <c r="M22" i="14"/>
  <c r="T63" i="11"/>
  <c r="S65" i="11"/>
  <c r="P77" i="11"/>
  <c r="P54" i="11"/>
  <c r="P95" i="11"/>
  <c r="S57" i="11"/>
  <c r="R58" i="11"/>
  <c r="S841" i="11"/>
  <c r="R843" i="11"/>
  <c r="Q384" i="11"/>
  <c r="Q386" i="11" s="1"/>
  <c r="S332" i="11"/>
  <c r="R345" i="11"/>
  <c r="S982" i="11"/>
  <c r="R984" i="11"/>
  <c r="T316" i="11"/>
  <c r="S317" i="11"/>
  <c r="T961" i="11"/>
  <c r="T41" i="11"/>
  <c r="T43" i="11" s="1"/>
  <c r="T81" i="11" s="1"/>
  <c r="T83" i="11" s="1"/>
  <c r="U12" i="6"/>
  <c r="U14" i="6" s="1"/>
  <c r="T1538" i="11"/>
  <c r="T1542" i="11" s="1"/>
  <c r="T266" i="11"/>
  <c r="T268" i="11" s="1"/>
  <c r="T294" i="11" s="1"/>
  <c r="T295" i="11" s="1"/>
  <c r="T1033" i="11"/>
  <c r="T445" i="14" s="1"/>
  <c r="T421" i="48" s="1"/>
  <c r="T867" i="11"/>
  <c r="T399" i="14" s="1"/>
  <c r="T375" i="48" s="1"/>
  <c r="T945" i="11"/>
  <c r="T422" i="14" s="1"/>
  <c r="T398" i="48" s="1"/>
  <c r="T767" i="11"/>
  <c r="T376" i="14" s="1"/>
  <c r="T352" i="48" s="1"/>
  <c r="T15" i="11"/>
  <c r="S997" i="11"/>
  <c r="R999" i="11"/>
  <c r="S836" i="11"/>
  <c r="R838" i="11"/>
  <c r="S585" i="11"/>
  <c r="R586" i="11"/>
  <c r="L29" i="40" s="1"/>
  <c r="L9" i="40" s="1"/>
  <c r="S1065" i="11"/>
  <c r="R1067" i="11"/>
  <c r="T109" i="11"/>
  <c r="S123" i="11"/>
  <c r="P119" i="14"/>
  <c r="P95" i="48" s="1"/>
  <c r="P540" i="11"/>
  <c r="P542" i="11" s="1"/>
  <c r="S803" i="11"/>
  <c r="R805" i="11"/>
  <c r="J405" i="14"/>
  <c r="S21" i="11"/>
  <c r="S22" i="11" s="1"/>
  <c r="S298" i="11"/>
  <c r="R299" i="11"/>
  <c r="S612" i="11"/>
  <c r="R614" i="11"/>
  <c r="T887" i="11"/>
  <c r="Q394" i="11"/>
  <c r="S287" i="11"/>
  <c r="R288" i="11"/>
  <c r="T813" i="11"/>
  <c r="S919" i="11"/>
  <c r="R921" i="11"/>
  <c r="S977" i="11"/>
  <c r="R979" i="11"/>
  <c r="S336" i="11"/>
  <c r="R349" i="11"/>
  <c r="T877" i="11"/>
  <c r="S879" i="11"/>
  <c r="T333" i="11"/>
  <c r="S346" i="11"/>
  <c r="O39" i="11"/>
  <c r="S102" i="11"/>
  <c r="R116" i="11"/>
  <c r="T100" i="11"/>
  <c r="S114" i="11"/>
  <c r="S679" i="11"/>
  <c r="R690" i="11"/>
  <c r="Q24" i="11"/>
  <c r="J457" i="14"/>
  <c r="Q1037" i="11"/>
  <c r="Q1039" i="11" s="1"/>
  <c r="Q1048" i="11"/>
  <c r="Q1050" i="11" s="1"/>
  <c r="T14" i="15"/>
  <c r="U8" i="19"/>
  <c r="U11" i="19"/>
  <c r="V6" i="19"/>
  <c r="V7" i="19" s="1"/>
  <c r="U9" i="19"/>
  <c r="U8" i="15"/>
  <c r="U62" i="15" s="1"/>
  <c r="V6" i="15"/>
  <c r="V7" i="15" s="1"/>
  <c r="U9" i="15"/>
  <c r="U11" i="15"/>
  <c r="U12" i="15" s="1"/>
  <c r="V8" i="23"/>
  <c r="V47" i="23" s="1"/>
  <c r="V9" i="23"/>
  <c r="V11" i="23"/>
  <c r="V12" i="23" s="1"/>
  <c r="J122" i="23"/>
  <c r="U14" i="23"/>
  <c r="V6" i="24"/>
  <c r="V7" i="24" s="1"/>
  <c r="U9" i="24"/>
  <c r="U11" i="24"/>
  <c r="U12" i="24" s="1"/>
  <c r="U8" i="24"/>
  <c r="U36" i="24" s="1"/>
  <c r="T14" i="24"/>
  <c r="H69" i="40" l="1"/>
  <c r="H14" i="49" s="1"/>
  <c r="I109" i="40"/>
  <c r="J45" i="15"/>
  <c r="Q85" i="14"/>
  <c r="K46" i="40"/>
  <c r="K70" i="40" s="1"/>
  <c r="H109" i="40"/>
  <c r="J84" i="40"/>
  <c r="J85" i="40"/>
  <c r="K272" i="14"/>
  <c r="J70" i="41"/>
  <c r="J71" i="41" s="1"/>
  <c r="R145" i="48"/>
  <c r="Q109" i="41"/>
  <c r="Q51" i="48"/>
  <c r="Q52" i="48" s="1"/>
  <c r="Q62" i="48" s="1"/>
  <c r="P27" i="41"/>
  <c r="F168" i="45"/>
  <c r="D12" i="47" s="1"/>
  <c r="R13" i="47" s="1"/>
  <c r="T210" i="11"/>
  <c r="T72" i="14" s="1"/>
  <c r="S17" i="41" s="1"/>
  <c r="T194" i="11"/>
  <c r="T197" i="11"/>
  <c r="T199" i="11" s="1"/>
  <c r="T572" i="11"/>
  <c r="J10" i="40"/>
  <c r="O1101" i="43"/>
  <c r="I86" i="42"/>
  <c r="L99" i="41"/>
  <c r="L101" i="41" s="1"/>
  <c r="L103" i="41" s="1"/>
  <c r="L104" i="41" s="1"/>
  <c r="L111" i="41" s="1"/>
  <c r="U257" i="11"/>
  <c r="S11" i="42"/>
  <c r="T11" i="42" s="1"/>
  <c r="W11" i="42" s="1"/>
  <c r="L39" i="11"/>
  <c r="L21" i="14" s="1"/>
  <c r="L1224" i="11"/>
  <c r="L232" i="11"/>
  <c r="F50" i="45" s="1"/>
  <c r="L233" i="11"/>
  <c r="L234" i="11" s="1"/>
  <c r="K21" i="14"/>
  <c r="K1148" i="11"/>
  <c r="K1149" i="11" s="1"/>
  <c r="K1140" i="11" s="1"/>
  <c r="K485" i="14" s="1"/>
  <c r="K1261" i="11"/>
  <c r="K1265" i="11"/>
  <c r="T108" i="14"/>
  <c r="S2" i="41"/>
  <c r="J21" i="48"/>
  <c r="H21" i="14"/>
  <c r="J22" i="14"/>
  <c r="I281" i="41"/>
  <c r="N73" i="48"/>
  <c r="H97" i="40" s="1"/>
  <c r="F39" i="40"/>
  <c r="L1250" i="11"/>
  <c r="N5" i="50"/>
  <c r="S1101" i="11"/>
  <c r="S1110" i="11"/>
  <c r="S1113" i="11"/>
  <c r="S1115" i="11" s="1"/>
  <c r="K239" i="11"/>
  <c r="K96" i="14" s="1"/>
  <c r="K92" i="14"/>
  <c r="F46" i="45"/>
  <c r="G46" i="45"/>
  <c r="L1410" i="11"/>
  <c r="L1417" i="11" s="1"/>
  <c r="S14" i="42"/>
  <c r="L1406" i="11"/>
  <c r="J511" i="14"/>
  <c r="J48" i="15" s="1"/>
  <c r="J72" i="48"/>
  <c r="J487" i="48" s="1"/>
  <c r="J461" i="48"/>
  <c r="J462" i="48" s="1"/>
  <c r="J477" i="48" s="1"/>
  <c r="J486" i="14"/>
  <c r="I299" i="41"/>
  <c r="S137" i="41"/>
  <c r="S142" i="41"/>
  <c r="L1248" i="11"/>
  <c r="V14" i="6"/>
  <c r="E58" i="45"/>
  <c r="E191" i="45" s="1"/>
  <c r="E182" i="45"/>
  <c r="E185" i="45" s="1"/>
  <c r="E186" i="45" s="1"/>
  <c r="I117" i="41"/>
  <c r="J507" i="14"/>
  <c r="J44" i="15" s="1"/>
  <c r="J68" i="48"/>
  <c r="J94" i="14"/>
  <c r="M30" i="41"/>
  <c r="U13" i="11"/>
  <c r="U5" i="11" s="1"/>
  <c r="N79" i="14"/>
  <c r="N81" i="14" s="1"/>
  <c r="N86" i="14"/>
  <c r="S718" i="11"/>
  <c r="S241" i="11"/>
  <c r="K271" i="48"/>
  <c r="I850" i="43"/>
  <c r="Q237" i="48"/>
  <c r="O94" i="14"/>
  <c r="O109" i="14" s="1"/>
  <c r="N97" i="14"/>
  <c r="N100" i="14" s="1"/>
  <c r="P233" i="11"/>
  <c r="P234" i="11" s="1"/>
  <c r="P239" i="11" s="1"/>
  <c r="P96" i="14" s="1"/>
  <c r="P72" i="48" s="1"/>
  <c r="Q1102" i="11"/>
  <c r="L18" i="50"/>
  <c r="I96" i="40"/>
  <c r="P76" i="14"/>
  <c r="O25" i="41" s="1"/>
  <c r="O26" i="41" s="1"/>
  <c r="N403" i="14"/>
  <c r="N405" i="14" s="1"/>
  <c r="N406" i="14" s="1"/>
  <c r="N411" i="14" s="1"/>
  <c r="Q61" i="48"/>
  <c r="F36" i="47"/>
  <c r="M201" i="48"/>
  <c r="H254" i="48"/>
  <c r="L170" i="14"/>
  <c r="K107" i="41" s="1"/>
  <c r="K108" i="41" s="1"/>
  <c r="Q236" i="11"/>
  <c r="M25" i="48"/>
  <c r="M38" i="48" s="1"/>
  <c r="M132" i="48"/>
  <c r="M328" i="14"/>
  <c r="G79" i="40" s="1"/>
  <c r="K180" i="14"/>
  <c r="K173" i="14"/>
  <c r="K175" i="14" s="1"/>
  <c r="K267" i="14" s="1"/>
  <c r="K268" i="14" s="1"/>
  <c r="K273" i="14" s="1"/>
  <c r="L55" i="41"/>
  <c r="L62" i="41" s="1"/>
  <c r="O57" i="48"/>
  <c r="O58" i="48" s="1"/>
  <c r="O63" i="48" s="1"/>
  <c r="M108" i="48"/>
  <c r="M231" i="48"/>
  <c r="P48" i="41"/>
  <c r="P50" i="41" s="1"/>
  <c r="E106" i="40"/>
  <c r="E19" i="49" s="1"/>
  <c r="L317" i="48"/>
  <c r="G78" i="40"/>
  <c r="N255" i="14"/>
  <c r="M123" i="14"/>
  <c r="M134" i="14" s="1"/>
  <c r="Q864" i="11"/>
  <c r="Q393" i="14" s="1"/>
  <c r="Q369" i="48" s="1"/>
  <c r="Q370" i="48" s="1"/>
  <c r="Q233" i="11"/>
  <c r="Q234" i="11" s="1"/>
  <c r="Q239" i="11" s="1"/>
  <c r="Q232" i="11"/>
  <c r="K50" i="45" s="1"/>
  <c r="K58" i="45" s="1"/>
  <c r="O218" i="48"/>
  <c r="O220" i="48" s="1"/>
  <c r="O221" i="48" s="1"/>
  <c r="O226" i="48" s="1"/>
  <c r="G58" i="40"/>
  <c r="M70" i="48"/>
  <c r="M483" i="48"/>
  <c r="M132" i="14"/>
  <c r="M109" i="14"/>
  <c r="M97" i="14"/>
  <c r="M100" i="14" s="1"/>
  <c r="J336" i="41"/>
  <c r="J338" i="41" s="1"/>
  <c r="N189" i="48"/>
  <c r="N192" i="48" s="1"/>
  <c r="N202" i="48" s="1"/>
  <c r="R222" i="11"/>
  <c r="R227" i="11" s="1"/>
  <c r="R236" i="11" s="1"/>
  <c r="M8" i="50"/>
  <c r="K133" i="48"/>
  <c r="L282" i="14"/>
  <c r="L285" i="14" s="1"/>
  <c r="K271" i="41" s="1"/>
  <c r="K272" i="41" s="1"/>
  <c r="O249" i="14"/>
  <c r="L219" i="41"/>
  <c r="L226" i="41" s="1"/>
  <c r="Q73" i="14"/>
  <c r="N396" i="48"/>
  <c r="N399" i="48" s="1"/>
  <c r="N402" i="48" s="1"/>
  <c r="N22" i="48"/>
  <c r="N37" i="48" s="1"/>
  <c r="O20" i="48"/>
  <c r="I39" i="40" s="1"/>
  <c r="N96" i="48"/>
  <c r="N109" i="48" s="1"/>
  <c r="N108" i="48"/>
  <c r="R122" i="48"/>
  <c r="J57" i="40"/>
  <c r="P209" i="48"/>
  <c r="P224" i="48" s="1"/>
  <c r="I60" i="40"/>
  <c r="O324" i="48"/>
  <c r="O339" i="48" s="1"/>
  <c r="F72" i="40"/>
  <c r="F17" i="49" s="1"/>
  <c r="G164" i="45"/>
  <c r="E18" i="47"/>
  <c r="I165" i="45"/>
  <c r="G34" i="47"/>
  <c r="P276" i="48"/>
  <c r="P302" i="14"/>
  <c r="M53" i="41"/>
  <c r="M58" i="41" s="1"/>
  <c r="M60" i="41" s="1"/>
  <c r="N116" i="48"/>
  <c r="N117" i="48" s="1"/>
  <c r="O72" i="48"/>
  <c r="R514" i="14"/>
  <c r="R75" i="48"/>
  <c r="N176" i="41"/>
  <c r="O185" i="48"/>
  <c r="O186" i="48" s="1"/>
  <c r="O189" i="48" s="1"/>
  <c r="O192" i="48" s="1"/>
  <c r="R191" i="48"/>
  <c r="N511" i="14"/>
  <c r="N512" i="14" s="1"/>
  <c r="N326" i="48"/>
  <c r="N487" i="48" s="1"/>
  <c r="M94" i="41"/>
  <c r="M99" i="41" s="1"/>
  <c r="M101" i="41" s="1"/>
  <c r="N139" i="48"/>
  <c r="N140" i="48" s="1"/>
  <c r="L218" i="48"/>
  <c r="L220" i="48" s="1"/>
  <c r="L225" i="48"/>
  <c r="N317" i="14"/>
  <c r="N305" i="14"/>
  <c r="H59" i="40"/>
  <c r="H68" i="40" s="1"/>
  <c r="H13" i="49" s="1"/>
  <c r="N278" i="48"/>
  <c r="N483" i="48"/>
  <c r="K62" i="41"/>
  <c r="K63" i="41" s="1"/>
  <c r="K70" i="41" s="1"/>
  <c r="K225" i="48"/>
  <c r="K218" i="48"/>
  <c r="K220" i="48" s="1"/>
  <c r="K221" i="48" s="1"/>
  <c r="K226" i="48" s="1"/>
  <c r="K126" i="14"/>
  <c r="K128" i="14" s="1"/>
  <c r="K129" i="14" s="1"/>
  <c r="K135" i="14" s="1"/>
  <c r="K134" i="14"/>
  <c r="M311" i="14"/>
  <c r="M318" i="14"/>
  <c r="G98" i="40"/>
  <c r="M284" i="48"/>
  <c r="O276" i="48"/>
  <c r="O302" i="14"/>
  <c r="O280" i="48"/>
  <c r="I58" i="40"/>
  <c r="O70" i="48"/>
  <c r="H60" i="40"/>
  <c r="N324" i="48"/>
  <c r="E90" i="40"/>
  <c r="E107" i="40"/>
  <c r="E20" i="49" s="1"/>
  <c r="T444" i="48"/>
  <c r="Q24" i="48"/>
  <c r="K294" i="41"/>
  <c r="K296" i="41" s="1"/>
  <c r="L460" i="48"/>
  <c r="K464" i="48"/>
  <c r="P417" i="14"/>
  <c r="P432" i="14" s="1"/>
  <c r="O440" i="14"/>
  <c r="O443" i="14" s="1"/>
  <c r="O446" i="14" s="1"/>
  <c r="O456" i="14" s="1"/>
  <c r="O415" i="48"/>
  <c r="O416" i="48" s="1"/>
  <c r="P394" i="14"/>
  <c r="P409" i="14" s="1"/>
  <c r="P369" i="48"/>
  <c r="P370" i="48" s="1"/>
  <c r="P373" i="48" s="1"/>
  <c r="P376" i="48" s="1"/>
  <c r="O417" i="14"/>
  <c r="O392" i="48"/>
  <c r="O393" i="48" s="1"/>
  <c r="M426" i="14"/>
  <c r="M428" i="14" s="1"/>
  <c r="M429" i="14" s="1"/>
  <c r="M434" i="14" s="1"/>
  <c r="M433" i="14"/>
  <c r="M425" i="48"/>
  <c r="M432" i="48"/>
  <c r="Q441" i="48"/>
  <c r="J462" i="14"/>
  <c r="J346" i="48"/>
  <c r="J438" i="48" s="1"/>
  <c r="O394" i="14"/>
  <c r="O369" i="48"/>
  <c r="O370" i="48" s="1"/>
  <c r="N420" i="14"/>
  <c r="N423" i="14" s="1"/>
  <c r="N426" i="14" s="1"/>
  <c r="N432" i="14"/>
  <c r="M279" i="14"/>
  <c r="M282" i="14" s="1"/>
  <c r="G27" i="46" s="1"/>
  <c r="P253" i="41"/>
  <c r="P255" i="41" s="1"/>
  <c r="Q253" i="48"/>
  <c r="K54" i="40" s="1"/>
  <c r="L258" i="41"/>
  <c r="L263" i="41" s="1"/>
  <c r="L265" i="41" s="1"/>
  <c r="P273" i="41"/>
  <c r="Q260" i="48"/>
  <c r="K263" i="41"/>
  <c r="K265" i="41" s="1"/>
  <c r="K260" i="41"/>
  <c r="M217" i="41"/>
  <c r="M222" i="41" s="1"/>
  <c r="M224" i="41" s="1"/>
  <c r="N325" i="14"/>
  <c r="N340" i="14" s="1"/>
  <c r="O212" i="41"/>
  <c r="O214" i="41" s="1"/>
  <c r="P299" i="48"/>
  <c r="J41" i="40" s="1"/>
  <c r="P232" i="41"/>
  <c r="Q306" i="48"/>
  <c r="Q12" i="41"/>
  <c r="R45" i="48"/>
  <c r="R46" i="48" s="1"/>
  <c r="R49" i="48" s="1"/>
  <c r="O21" i="41"/>
  <c r="O22" i="41" s="1"/>
  <c r="O29" i="41" s="1"/>
  <c r="R70" i="14"/>
  <c r="R7" i="41"/>
  <c r="R9" i="41" s="1"/>
  <c r="S44" i="48"/>
  <c r="P19" i="41"/>
  <c r="P21" i="41" s="1"/>
  <c r="S283" i="48"/>
  <c r="R283" i="48"/>
  <c r="Q490" i="48"/>
  <c r="L63" i="48"/>
  <c r="M376" i="48"/>
  <c r="M133" i="48"/>
  <c r="M126" i="48"/>
  <c r="O350" i="14"/>
  <c r="K335" i="48"/>
  <c r="K336" i="48" s="1"/>
  <c r="K370" i="14"/>
  <c r="P209" i="14"/>
  <c r="S353" i="14"/>
  <c r="S329" i="48" s="1"/>
  <c r="K151" i="48"/>
  <c r="K152" i="48" s="1"/>
  <c r="K157" i="48" s="1"/>
  <c r="J226" i="48"/>
  <c r="S75" i="48"/>
  <c r="K128" i="48"/>
  <c r="K129" i="48" s="1"/>
  <c r="K134" i="48" s="1"/>
  <c r="M317" i="48"/>
  <c r="M310" i="48"/>
  <c r="M258" i="48"/>
  <c r="M270" i="48"/>
  <c r="J104" i="48"/>
  <c r="J105" i="48" s="1"/>
  <c r="P396" i="48"/>
  <c r="P399" i="48" s="1"/>
  <c r="P408" i="48"/>
  <c r="J381" i="48"/>
  <c r="J382" i="48" s="1"/>
  <c r="O324" i="14"/>
  <c r="O300" i="48" s="1"/>
  <c r="O301" i="48" s="1"/>
  <c r="P20" i="14"/>
  <c r="N351" i="14"/>
  <c r="N354" i="14" s="1"/>
  <c r="N364" i="14" s="1"/>
  <c r="J371" i="14"/>
  <c r="J386" i="14" s="1"/>
  <c r="P62" i="48"/>
  <c r="P55" i="48"/>
  <c r="P212" i="14"/>
  <c r="P188" i="48" s="1"/>
  <c r="K104" i="48"/>
  <c r="K105" i="48" s="1"/>
  <c r="K111" i="48" s="1"/>
  <c r="L192" i="48"/>
  <c r="R139" i="14"/>
  <c r="J404" i="48"/>
  <c r="J405" i="48" s="1"/>
  <c r="L99" i="48"/>
  <c r="L109" i="48"/>
  <c r="J312" i="48"/>
  <c r="J313" i="48" s="1"/>
  <c r="J151" i="48"/>
  <c r="J152" i="48" s="1"/>
  <c r="L312" i="48"/>
  <c r="L313" i="48" s="1"/>
  <c r="L318" i="48" s="1"/>
  <c r="O116" i="14"/>
  <c r="O163" i="14"/>
  <c r="R415" i="14"/>
  <c r="R391" i="48" s="1"/>
  <c r="M484" i="14"/>
  <c r="N301" i="48"/>
  <c r="L146" i="48"/>
  <c r="N164" i="14"/>
  <c r="N179" i="14" s="1"/>
  <c r="S69" i="14"/>
  <c r="P235" i="14"/>
  <c r="P211" i="48" s="1"/>
  <c r="N215" i="48"/>
  <c r="L422" i="48"/>
  <c r="N55" i="48"/>
  <c r="N62" i="48"/>
  <c r="K266" i="48"/>
  <c r="K267" i="48" s="1"/>
  <c r="K272" i="48" s="1"/>
  <c r="M330" i="48"/>
  <c r="L488" i="14"/>
  <c r="S215" i="14"/>
  <c r="R191" i="41" s="1"/>
  <c r="N278" i="14"/>
  <c r="J128" i="48"/>
  <c r="J129" i="48" s="1"/>
  <c r="Q457" i="11"/>
  <c r="M195" i="48"/>
  <c r="M202" i="48"/>
  <c r="N416" i="48"/>
  <c r="R392" i="14"/>
  <c r="R368" i="48" s="1"/>
  <c r="R192" i="11"/>
  <c r="P281" i="14"/>
  <c r="P257" i="48" s="1"/>
  <c r="O140" i="14"/>
  <c r="L270" i="48"/>
  <c r="L258" i="48"/>
  <c r="F93" i="40" s="1"/>
  <c r="J241" i="48"/>
  <c r="M399" i="48"/>
  <c r="N141" i="14"/>
  <c r="N156" i="14" s="1"/>
  <c r="R284" i="14"/>
  <c r="R330" i="14"/>
  <c r="S238" i="14"/>
  <c r="S214" i="48" s="1"/>
  <c r="R535" i="11"/>
  <c r="R541" i="11" s="1"/>
  <c r="M144" i="14"/>
  <c r="M147" i="14" s="1"/>
  <c r="T162" i="14"/>
  <c r="S89" i="41" s="1"/>
  <c r="S91" i="41" s="1"/>
  <c r="N381" i="48"/>
  <c r="N382" i="48" s="1"/>
  <c r="N387" i="48" s="1"/>
  <c r="J427" i="48"/>
  <c r="J428" i="48" s="1"/>
  <c r="J203" i="48"/>
  <c r="L126" i="48"/>
  <c r="L133" i="48"/>
  <c r="J341" i="48"/>
  <c r="J264" i="48"/>
  <c r="M99" i="48"/>
  <c r="M109" i="48"/>
  <c r="M143" i="48"/>
  <c r="M146" i="48" s="1"/>
  <c r="M155" i="48"/>
  <c r="E176" i="45"/>
  <c r="E188" i="45"/>
  <c r="E197" i="45" s="1"/>
  <c r="G83" i="45"/>
  <c r="G84" i="45" s="1"/>
  <c r="T244" i="11"/>
  <c r="T99" i="14" s="1"/>
  <c r="T721" i="11"/>
  <c r="T249" i="11"/>
  <c r="T726" i="11"/>
  <c r="T577" i="11"/>
  <c r="T569" i="11" s="1"/>
  <c r="T307" i="14" s="1"/>
  <c r="O137" i="41"/>
  <c r="U477" i="11"/>
  <c r="U700" i="11"/>
  <c r="U223" i="11"/>
  <c r="U551" i="11"/>
  <c r="P1040" i="43"/>
  <c r="P1104" i="43" s="1"/>
  <c r="P1101" i="43" s="1"/>
  <c r="H53" i="42"/>
  <c r="H21" i="46"/>
  <c r="R973" i="43"/>
  <c r="R975" i="43" s="1"/>
  <c r="R971" i="43" s="1"/>
  <c r="J182" i="45"/>
  <c r="J191" i="45"/>
  <c r="H82" i="45"/>
  <c r="H189" i="45"/>
  <c r="I78" i="45"/>
  <c r="G37" i="47" s="1"/>
  <c r="I172" i="45"/>
  <c r="J103" i="45"/>
  <c r="H27" i="47" s="1"/>
  <c r="H28" i="47" s="1"/>
  <c r="F55" i="45"/>
  <c r="D21" i="47" s="1"/>
  <c r="F171" i="45"/>
  <c r="F175" i="45" s="1"/>
  <c r="J111" i="45"/>
  <c r="H30" i="47" s="1"/>
  <c r="H31" i="47" s="1"/>
  <c r="P1417" i="11"/>
  <c r="J53" i="40" s="1"/>
  <c r="K10" i="45"/>
  <c r="K9" i="45" s="1"/>
  <c r="Q1327" i="11"/>
  <c r="Q1331" i="11" s="1"/>
  <c r="Q561" i="11"/>
  <c r="Q300" i="14" s="1"/>
  <c r="Q560" i="11"/>
  <c r="K102" i="45" s="1"/>
  <c r="K110" i="45" s="1"/>
  <c r="P562" i="11"/>
  <c r="P567" i="11" s="1"/>
  <c r="P304" i="14" s="1"/>
  <c r="R558" i="11"/>
  <c r="N1418" i="11"/>
  <c r="K109" i="45"/>
  <c r="K190" i="45" s="1"/>
  <c r="Q1400" i="11"/>
  <c r="Q1402" i="11" s="1"/>
  <c r="S1394" i="11"/>
  <c r="M99" i="45"/>
  <c r="M98" i="45" s="1"/>
  <c r="R1396" i="11"/>
  <c r="R1398" i="11" s="1"/>
  <c r="L101" i="45"/>
  <c r="L181" i="45" s="1"/>
  <c r="S149" i="43"/>
  <c r="I80" i="45"/>
  <c r="Q1038" i="43"/>
  <c r="Q1028" i="43" s="1"/>
  <c r="Q1035" i="43" s="1"/>
  <c r="N1359" i="11"/>
  <c r="O1420" i="11"/>
  <c r="I92" i="40" s="1"/>
  <c r="O1358" i="11"/>
  <c r="O1359" i="11" s="1"/>
  <c r="Q710" i="11"/>
  <c r="Q711" i="11" s="1"/>
  <c r="Q709" i="11"/>
  <c r="K73" i="45" s="1"/>
  <c r="K81" i="45" s="1"/>
  <c r="Q1366" i="11"/>
  <c r="Q1374" i="11"/>
  <c r="K70" i="45"/>
  <c r="K69" i="45" s="1"/>
  <c r="Q1369" i="11"/>
  <c r="Q1368" i="11"/>
  <c r="Q1370" i="11"/>
  <c r="Q1353" i="11"/>
  <c r="K64" i="45"/>
  <c r="O1375" i="11"/>
  <c r="I74" i="45"/>
  <c r="G35" i="47" s="1"/>
  <c r="P1355" i="11"/>
  <c r="J66" i="45" s="1"/>
  <c r="J65" i="45"/>
  <c r="J72" i="45"/>
  <c r="P1372" i="11"/>
  <c r="P1406" i="11"/>
  <c r="Q1357" i="11"/>
  <c r="Q1351" i="11"/>
  <c r="Q1352" i="11"/>
  <c r="Q1349" i="11"/>
  <c r="R1346" i="11"/>
  <c r="R1363" i="11"/>
  <c r="R1435" i="11" s="1"/>
  <c r="S335" i="43"/>
  <c r="R1209" i="43"/>
  <c r="T77" i="43"/>
  <c r="Q1095" i="43"/>
  <c r="Q1100" i="43" s="1"/>
  <c r="T60" i="43"/>
  <c r="R1083" i="43"/>
  <c r="T95" i="43"/>
  <c r="S1030" i="43"/>
  <c r="S1022" i="43"/>
  <c r="S1019" i="43"/>
  <c r="S1020" i="43"/>
  <c r="S1024" i="43"/>
  <c r="S1021" i="43"/>
  <c r="S1032" i="43"/>
  <c r="S1025" i="43"/>
  <c r="S1031" i="43"/>
  <c r="S1033" i="43"/>
  <c r="S1023" i="43"/>
  <c r="S1029" i="43"/>
  <c r="T71" i="43"/>
  <c r="T549" i="43"/>
  <c r="T89" i="43"/>
  <c r="R1034" i="43"/>
  <c r="T54" i="43"/>
  <c r="U21" i="43"/>
  <c r="V20" i="43"/>
  <c r="V21" i="43" s="1"/>
  <c r="T1071" i="43"/>
  <c r="T1098" i="43" s="1"/>
  <c r="T23" i="43"/>
  <c r="T38" i="43" s="1"/>
  <c r="T1016" i="43"/>
  <c r="R791" i="43"/>
  <c r="R793" i="43" s="1"/>
  <c r="R773" i="43" s="1"/>
  <c r="R1026" i="43"/>
  <c r="R1036" i="43" s="1"/>
  <c r="R1103" i="43" s="1"/>
  <c r="R1081" i="43"/>
  <c r="S1078" i="43"/>
  <c r="S1075" i="43"/>
  <c r="S1085" i="43"/>
  <c r="S1084" i="43"/>
  <c r="S1086" i="43"/>
  <c r="S1088" i="43"/>
  <c r="S1077" i="43"/>
  <c r="S1087" i="43"/>
  <c r="S1076" i="43"/>
  <c r="S1074" i="43"/>
  <c r="S1080" i="43"/>
  <c r="S1216" i="43"/>
  <c r="S1218" i="43" s="1"/>
  <c r="S1220" i="43" s="1"/>
  <c r="S1222" i="43" s="1"/>
  <c r="S1079" i="43"/>
  <c r="R564" i="11"/>
  <c r="Q1285" i="11"/>
  <c r="I49" i="42"/>
  <c r="S555" i="11"/>
  <c r="G51" i="45"/>
  <c r="E19" i="47" s="1"/>
  <c r="L244" i="14"/>
  <c r="M1270" i="11"/>
  <c r="G35" i="42" s="1"/>
  <c r="G43" i="45"/>
  <c r="G44" i="45"/>
  <c r="R486" i="11"/>
  <c r="L14" i="45" s="1"/>
  <c r="L23" i="45" s="1"/>
  <c r="R487" i="11"/>
  <c r="R488" i="11" s="1"/>
  <c r="N1269" i="11"/>
  <c r="H32" i="42" s="1"/>
  <c r="H42" i="45"/>
  <c r="Q1408" i="11"/>
  <c r="Q1410" i="11" s="1"/>
  <c r="K47" i="45"/>
  <c r="K46" i="45" s="1"/>
  <c r="H33" i="42"/>
  <c r="H49" i="45"/>
  <c r="Q458" i="11"/>
  <c r="K41" i="45"/>
  <c r="K39" i="45" s="1"/>
  <c r="P171" i="41"/>
  <c r="P173" i="41" s="1"/>
  <c r="Q715" i="11"/>
  <c r="Q566" i="11"/>
  <c r="Q492" i="11"/>
  <c r="Q208" i="14"/>
  <c r="Q184" i="48" s="1"/>
  <c r="K49" i="40" s="1"/>
  <c r="Q238" i="11"/>
  <c r="S449" i="11"/>
  <c r="R453" i="11"/>
  <c r="Q1292" i="11"/>
  <c r="Q1283" i="11"/>
  <c r="Q1291" i="11"/>
  <c r="Q1284" i="11"/>
  <c r="L763" i="11"/>
  <c r="Q1286" i="11"/>
  <c r="Q1282" i="11"/>
  <c r="Q1290" i="11"/>
  <c r="J185" i="41"/>
  <c r="V223" i="43"/>
  <c r="V224" i="43" s="1"/>
  <c r="V309" i="43" s="1"/>
  <c r="U224" i="43"/>
  <c r="U309" i="43" s="1"/>
  <c r="U311" i="43" s="1"/>
  <c r="P755" i="11"/>
  <c r="Q754" i="11"/>
  <c r="T845" i="43"/>
  <c r="T859" i="43" s="1"/>
  <c r="T858" i="43"/>
  <c r="N761" i="11"/>
  <c r="N798" i="11"/>
  <c r="N800" i="11" s="1"/>
  <c r="N776" i="11" s="1"/>
  <c r="V543" i="43"/>
  <c r="V554" i="43" s="1"/>
  <c r="U554" i="43"/>
  <c r="S571" i="43"/>
  <c r="S573" i="43" s="1"/>
  <c r="S614" i="43" s="1"/>
  <c r="S616" i="43" s="1"/>
  <c r="T570" i="43"/>
  <c r="V104" i="43"/>
  <c r="V118" i="43" s="1"/>
  <c r="U118" i="43"/>
  <c r="T111" i="43"/>
  <c r="T125" i="43"/>
  <c r="V105" i="43"/>
  <c r="V119" i="43" s="1"/>
  <c r="U119" i="43"/>
  <c r="Q773" i="43"/>
  <c r="V74" i="43"/>
  <c r="V75" i="43" s="1"/>
  <c r="U75" i="43"/>
  <c r="V98" i="43"/>
  <c r="V112" i="43" s="1"/>
  <c r="U112" i="43"/>
  <c r="R576" i="43"/>
  <c r="R578" i="43" s="1"/>
  <c r="R619" i="43" s="1"/>
  <c r="R621" i="43" s="1"/>
  <c r="S575" i="43"/>
  <c r="V257" i="43"/>
  <c r="V270" i="43" s="1"/>
  <c r="U270" i="43"/>
  <c r="U213" i="43"/>
  <c r="U319" i="43" s="1"/>
  <c r="U321" i="43" s="1"/>
  <c r="V212" i="43"/>
  <c r="V213" i="43" s="1"/>
  <c r="V319" i="43" s="1"/>
  <c r="U58" i="43"/>
  <c r="V57" i="43"/>
  <c r="V58" i="43" s="1"/>
  <c r="U65" i="43"/>
  <c r="V63" i="43"/>
  <c r="V65" i="43" s="1"/>
  <c r="S512" i="43"/>
  <c r="S535" i="43"/>
  <c r="S518" i="43"/>
  <c r="S488" i="43"/>
  <c r="S506" i="43"/>
  <c r="S494" i="43"/>
  <c r="U48" i="43"/>
  <c r="V46" i="43"/>
  <c r="V48" i="43" s="1"/>
  <c r="U558" i="43"/>
  <c r="V547" i="43"/>
  <c r="V558" i="43" s="1"/>
  <c r="U116" i="43"/>
  <c r="V102" i="43"/>
  <c r="V116" i="43" s="1"/>
  <c r="O588" i="43"/>
  <c r="O591" i="43"/>
  <c r="U274" i="43"/>
  <c r="V261" i="43"/>
  <c r="V274" i="43" s="1"/>
  <c r="V542" i="43"/>
  <c r="V553" i="43" s="1"/>
  <c r="U553" i="43"/>
  <c r="U266" i="43"/>
  <c r="V253" i="43"/>
  <c r="V266" i="43" s="1"/>
  <c r="V546" i="43"/>
  <c r="V557" i="43" s="1"/>
  <c r="U557" i="43"/>
  <c r="M369" i="14"/>
  <c r="M816" i="11"/>
  <c r="M772" i="11"/>
  <c r="M774" i="11" s="1"/>
  <c r="M769" i="11" s="1"/>
  <c r="T692" i="43"/>
  <c r="T685" i="43"/>
  <c r="T693" i="43" s="1"/>
  <c r="T566" i="43"/>
  <c r="T568" i="43" s="1"/>
  <c r="T609" i="43" s="1"/>
  <c r="T611" i="43" s="1"/>
  <c r="U565" i="43"/>
  <c r="U853" i="43"/>
  <c r="U855" i="43" s="1"/>
  <c r="V852" i="43"/>
  <c r="V853" i="43" s="1"/>
  <c r="V855" i="43" s="1"/>
  <c r="Q581" i="43"/>
  <c r="Q583" i="43" s="1"/>
  <c r="Q624" i="43" s="1"/>
  <c r="Q626" i="43" s="1"/>
  <c r="R580" i="43"/>
  <c r="U93" i="43"/>
  <c r="V92" i="43"/>
  <c r="V93" i="43" s="1"/>
  <c r="U202" i="43"/>
  <c r="U304" i="43" s="1"/>
  <c r="U306" i="43" s="1"/>
  <c r="V201" i="43"/>
  <c r="V202" i="43" s="1"/>
  <c r="V304" i="43" s="1"/>
  <c r="U556" i="43"/>
  <c r="V545" i="43"/>
  <c r="V556" i="43" s="1"/>
  <c r="U552" i="43"/>
  <c r="V541" i="43"/>
  <c r="V552" i="43" s="1"/>
  <c r="S713" i="43"/>
  <c r="S715" i="43" s="1"/>
  <c r="S702" i="43"/>
  <c r="S704" i="43" s="1"/>
  <c r="U550" i="43"/>
  <c r="V539" i="43"/>
  <c r="V550" i="43" s="1"/>
  <c r="L594" i="43"/>
  <c r="Q750" i="11"/>
  <c r="Q752" i="11" s="1"/>
  <c r="Q793" i="11" s="1"/>
  <c r="Q795" i="11" s="1"/>
  <c r="R749" i="11"/>
  <c r="P586" i="43"/>
  <c r="Q585" i="43"/>
  <c r="T391" i="43"/>
  <c r="T394" i="43" s="1"/>
  <c r="T161" i="43"/>
  <c r="T164" i="43" s="1"/>
  <c r="T347" i="43"/>
  <c r="T350" i="43" s="1"/>
  <c r="V229" i="43"/>
  <c r="V230" i="43" s="1"/>
  <c r="U230" i="43"/>
  <c r="U761" i="43"/>
  <c r="V760" i="43"/>
  <c r="V761" i="43" s="1"/>
  <c r="U123" i="43"/>
  <c r="V109" i="43"/>
  <c r="V123" i="43" s="1"/>
  <c r="V256" i="43"/>
  <c r="V269" i="43" s="1"/>
  <c r="U269" i="43"/>
  <c r="U242" i="43"/>
  <c r="V241" i="43"/>
  <c r="V242" i="43" s="1"/>
  <c r="U273" i="43"/>
  <c r="V260" i="43"/>
  <c r="V273" i="43" s="1"/>
  <c r="V51" i="43"/>
  <c r="V52" i="43" s="1"/>
  <c r="U52" i="43"/>
  <c r="V262" i="43"/>
  <c r="V275" i="43" s="1"/>
  <c r="U275" i="43"/>
  <c r="U268" i="43"/>
  <c r="V255" i="43"/>
  <c r="V268" i="43" s="1"/>
  <c r="V259" i="43"/>
  <c r="V272" i="43" s="1"/>
  <c r="U272" i="43"/>
  <c r="U120" i="43"/>
  <c r="V106" i="43"/>
  <c r="V120" i="43" s="1"/>
  <c r="V254" i="43"/>
  <c r="V267" i="43" s="1"/>
  <c r="U267" i="43"/>
  <c r="S770" i="43"/>
  <c r="T763" i="43"/>
  <c r="U271" i="43"/>
  <c r="V258" i="43"/>
  <c r="V271" i="43" s="1"/>
  <c r="U688" i="43"/>
  <c r="U690" i="43" s="1"/>
  <c r="V687" i="43"/>
  <c r="V688" i="43" s="1"/>
  <c r="V690" i="43" s="1"/>
  <c r="T766" i="43"/>
  <c r="T768" i="43" s="1"/>
  <c r="U765" i="43"/>
  <c r="O760" i="11"/>
  <c r="I20" i="40" s="1"/>
  <c r="O757" i="11"/>
  <c r="V263" i="43"/>
  <c r="V276" i="43" s="1"/>
  <c r="U276" i="43"/>
  <c r="R861" i="43"/>
  <c r="R695" i="43"/>
  <c r="U115" i="43"/>
  <c r="V101" i="43"/>
  <c r="V115" i="43" s="1"/>
  <c r="V86" i="43"/>
  <c r="V87" i="43" s="1"/>
  <c r="U87" i="43"/>
  <c r="U449" i="43"/>
  <c r="V448" i="43"/>
  <c r="V449" i="43" s="1"/>
  <c r="M603" i="43"/>
  <c r="M605" i="43" s="1"/>
  <c r="M647" i="43"/>
  <c r="T358" i="43"/>
  <c r="T361" i="43" s="1"/>
  <c r="T172" i="43"/>
  <c r="T175" i="43" s="1"/>
  <c r="T402" i="43"/>
  <c r="T405" i="43" s="1"/>
  <c r="T454" i="43"/>
  <c r="T452" i="43"/>
  <c r="T498" i="43" s="1"/>
  <c r="T500" i="43" s="1"/>
  <c r="U117" i="43"/>
  <c r="V103" i="43"/>
  <c r="V117" i="43" s="1"/>
  <c r="V540" i="43"/>
  <c r="V551" i="43" s="1"/>
  <c r="U551" i="43"/>
  <c r="V108" i="43"/>
  <c r="V122" i="43" s="1"/>
  <c r="U122" i="43"/>
  <c r="U114" i="43"/>
  <c r="V100" i="43"/>
  <c r="V114" i="43" s="1"/>
  <c r="N629" i="43"/>
  <c r="N631" i="43" s="1"/>
  <c r="N607" i="43" s="1"/>
  <c r="N592" i="43"/>
  <c r="V544" i="43"/>
  <c r="V555" i="43" s="1"/>
  <c r="U555" i="43"/>
  <c r="L461" i="14"/>
  <c r="U121" i="43"/>
  <c r="V107" i="43"/>
  <c r="V121" i="43" s="1"/>
  <c r="T278" i="43"/>
  <c r="T265" i="43"/>
  <c r="T439" i="43" s="1"/>
  <c r="T441" i="43" s="1"/>
  <c r="R456" i="43"/>
  <c r="V235" i="43"/>
  <c r="V236" i="43" s="1"/>
  <c r="U236" i="43"/>
  <c r="U843" i="43"/>
  <c r="V842" i="43"/>
  <c r="V843" i="43" s="1"/>
  <c r="S771" i="43"/>
  <c r="S879" i="43"/>
  <c r="S881" i="43" s="1"/>
  <c r="S868" i="43"/>
  <c r="S870" i="43" s="1"/>
  <c r="S861" i="43" s="1"/>
  <c r="U683" i="43"/>
  <c r="V682" i="43"/>
  <c r="V683" i="43" s="1"/>
  <c r="R591" i="11"/>
  <c r="R625" i="11" s="1"/>
  <c r="R1178" i="43"/>
  <c r="R1180" i="43" s="1"/>
  <c r="R1186" i="43" s="1"/>
  <c r="R589" i="11"/>
  <c r="R1278" i="11"/>
  <c r="L4" i="45" s="1"/>
  <c r="L2" i="45" s="1"/>
  <c r="R1302" i="11"/>
  <c r="Q1182" i="43"/>
  <c r="Q1184" i="43" s="1"/>
  <c r="Q1187" i="43" s="1"/>
  <c r="Q1188" i="43" s="1"/>
  <c r="U331" i="43"/>
  <c r="Q1004" i="43"/>
  <c r="Q1011" i="43" s="1"/>
  <c r="U408" i="11"/>
  <c r="U406" i="11"/>
  <c r="R89" i="41"/>
  <c r="R91" i="41" s="1"/>
  <c r="R1068" i="43"/>
  <c r="V329" i="43"/>
  <c r="V331" i="43" s="1"/>
  <c r="V403" i="11"/>
  <c r="V404" i="11" s="1"/>
  <c r="N524" i="14"/>
  <c r="L360" i="14"/>
  <c r="L365" i="14" s="1"/>
  <c r="Q713" i="11"/>
  <c r="K359" i="14"/>
  <c r="M524" i="14"/>
  <c r="M512" i="14"/>
  <c r="G95" i="40" s="1"/>
  <c r="G24" i="46" s="1"/>
  <c r="R261" i="14"/>
  <c r="O348" i="14"/>
  <c r="O507" i="14"/>
  <c r="R704" i="11"/>
  <c r="R707" i="11" s="1"/>
  <c r="M354" i="14"/>
  <c r="O245" i="14"/>
  <c r="O250" i="14" s="1"/>
  <c r="P716" i="11"/>
  <c r="P346" i="14"/>
  <c r="J267" i="14"/>
  <c r="T362" i="14"/>
  <c r="T316" i="14"/>
  <c r="T523" i="14"/>
  <c r="Q493" i="11"/>
  <c r="Q231" i="14"/>
  <c r="Q207" i="48" s="1"/>
  <c r="R490" i="11"/>
  <c r="S480" i="11"/>
  <c r="S481" i="11" s="1"/>
  <c r="S484" i="11" s="1"/>
  <c r="M244" i="14"/>
  <c r="N239" i="14"/>
  <c r="P233" i="14"/>
  <c r="T224" i="14"/>
  <c r="T247" i="14"/>
  <c r="T445" i="11"/>
  <c r="T498" i="11"/>
  <c r="T503" i="11"/>
  <c r="S495" i="11"/>
  <c r="M27" i="40"/>
  <c r="K16" i="40"/>
  <c r="K22" i="40" s="1"/>
  <c r="K6" i="40" s="1"/>
  <c r="P140" i="41"/>
  <c r="P142" i="41" s="1"/>
  <c r="Q1124" i="43"/>
  <c r="V290" i="43"/>
  <c r="V288" i="43"/>
  <c r="I288" i="43" s="1"/>
  <c r="T292" i="43"/>
  <c r="S1130" i="43"/>
  <c r="U1138" i="43"/>
  <c r="U1112" i="43"/>
  <c r="U187" i="43"/>
  <c r="U185" i="43"/>
  <c r="U177" i="43"/>
  <c r="U176" i="43" s="1"/>
  <c r="V181" i="43"/>
  <c r="I181" i="43" s="1"/>
  <c r="V184" i="43"/>
  <c r="V182" i="43"/>
  <c r="I182" i="43" s="1"/>
  <c r="S1148" i="43"/>
  <c r="R440" i="11"/>
  <c r="R1170" i="43"/>
  <c r="R1133" i="43"/>
  <c r="R1171" i="43" s="1"/>
  <c r="R1166" i="43"/>
  <c r="T204" i="43"/>
  <c r="T244" i="43"/>
  <c r="T232" i="43"/>
  <c r="T226" i="43"/>
  <c r="T215" i="43"/>
  <c r="T238" i="43"/>
  <c r="T1125" i="43"/>
  <c r="T1120" i="43"/>
  <c r="T1119" i="43"/>
  <c r="T1118" i="43"/>
  <c r="T1121" i="43"/>
  <c r="T1117" i="43"/>
  <c r="T1129" i="43"/>
  <c r="T1115" i="43"/>
  <c r="T1128" i="43"/>
  <c r="T1116" i="43"/>
  <c r="T1127" i="43"/>
  <c r="T1126" i="43"/>
  <c r="T1165" i="43"/>
  <c r="T1227" i="43"/>
  <c r="T1229" i="43" s="1"/>
  <c r="T1232" i="43" s="1"/>
  <c r="T1147" i="43"/>
  <c r="T1142" i="43"/>
  <c r="T1155" i="43"/>
  <c r="T1144" i="43"/>
  <c r="T1152" i="43"/>
  <c r="T1151" i="43"/>
  <c r="T1146" i="43"/>
  <c r="T1143" i="43"/>
  <c r="T1141" i="43"/>
  <c r="T1153" i="43"/>
  <c r="T1145" i="43"/>
  <c r="S1122" i="43"/>
  <c r="R260" i="11"/>
  <c r="S189" i="43"/>
  <c r="S433" i="43" s="1"/>
  <c r="S435" i="43" s="1"/>
  <c r="S421" i="43" s="1"/>
  <c r="S1002" i="43"/>
  <c r="R1013" i="43"/>
  <c r="R1004" i="43" s="1"/>
  <c r="R1011" i="43" s="1"/>
  <c r="S1010" i="43"/>
  <c r="T1062" i="43"/>
  <c r="T1007" i="43"/>
  <c r="T997" i="43"/>
  <c r="T999" i="43"/>
  <c r="T1060" i="43"/>
  <c r="T1001" i="43"/>
  <c r="T1005" i="43"/>
  <c r="T1009" i="43"/>
  <c r="T996" i="43"/>
  <c r="T1058" i="43"/>
  <c r="T995" i="43"/>
  <c r="T998" i="43"/>
  <c r="T1006" i="43"/>
  <c r="T1059" i="43"/>
  <c r="T1008" i="43"/>
  <c r="T1061" i="43"/>
  <c r="T1000" i="43"/>
  <c r="S1055" i="43"/>
  <c r="S1057" i="43"/>
  <c r="S39" i="43"/>
  <c r="S979" i="43" s="1"/>
  <c r="S980" i="43" s="1"/>
  <c r="U1045" i="43"/>
  <c r="U28" i="43"/>
  <c r="U992" i="43"/>
  <c r="V28" i="43"/>
  <c r="V1045" i="43"/>
  <c r="V992" i="43"/>
  <c r="T1054" i="43"/>
  <c r="T1211" i="43"/>
  <c r="T1213" i="43" s="1"/>
  <c r="T1053" i="43"/>
  <c r="T1052" i="43"/>
  <c r="T1049" i="43"/>
  <c r="T1050" i="43"/>
  <c r="T1048" i="43"/>
  <c r="T1051" i="43"/>
  <c r="S973" i="43"/>
  <c r="S975" i="43" s="1"/>
  <c r="S950" i="43"/>
  <c r="S983" i="43" s="1"/>
  <c r="S985" i="43" s="1"/>
  <c r="T933" i="43"/>
  <c r="T935" i="43" s="1"/>
  <c r="T939" i="43"/>
  <c r="T940" i="43" s="1"/>
  <c r="T942" i="43" s="1"/>
  <c r="M25" i="40"/>
  <c r="L18" i="40"/>
  <c r="L19" i="40"/>
  <c r="K12" i="40"/>
  <c r="K5" i="40" s="1"/>
  <c r="Q1415" i="11"/>
  <c r="Q1306" i="11"/>
  <c r="Q1425" i="11"/>
  <c r="U1275" i="11"/>
  <c r="Q1307" i="11"/>
  <c r="Q1308" i="11"/>
  <c r="Q1309" i="11"/>
  <c r="Q1310" i="11"/>
  <c r="Q1316" i="11"/>
  <c r="Q1315" i="11"/>
  <c r="Q1314" i="11"/>
  <c r="O1205" i="11"/>
  <c r="Q1202" i="11"/>
  <c r="Q1169" i="11"/>
  <c r="N1210" i="11"/>
  <c r="Q1264" i="11"/>
  <c r="O1261" i="11"/>
  <c r="O1265" i="11"/>
  <c r="O1206" i="11"/>
  <c r="Q1193" i="11"/>
  <c r="Q1195" i="11"/>
  <c r="Q1194" i="11"/>
  <c r="Q1191" i="11"/>
  <c r="P1197" i="11"/>
  <c r="P1208" i="11" s="1"/>
  <c r="P1199" i="11" s="1"/>
  <c r="Q1201" i="11"/>
  <c r="Q1192" i="11"/>
  <c r="P1204" i="11"/>
  <c r="Q1200" i="11"/>
  <c r="Q1203" i="11"/>
  <c r="Q1196" i="11"/>
  <c r="P1248" i="11"/>
  <c r="Q1246" i="11"/>
  <c r="Q1253" i="11"/>
  <c r="Q1245" i="11"/>
  <c r="Q1244" i="11"/>
  <c r="Q1251" i="11"/>
  <c r="Q1243" i="11"/>
  <c r="Q1254" i="11"/>
  <c r="Q1252" i="11"/>
  <c r="Q1242" i="11"/>
  <c r="Q1247" i="11"/>
  <c r="O1185" i="11"/>
  <c r="O1210" i="11" s="1"/>
  <c r="P1250" i="11"/>
  <c r="R1188" i="11"/>
  <c r="R1239" i="11"/>
  <c r="R1413" i="11" s="1"/>
  <c r="P1182" i="11"/>
  <c r="Q1178" i="11"/>
  <c r="Q1227" i="11"/>
  <c r="Q1228" i="11"/>
  <c r="Q1229" i="11"/>
  <c r="Q1181" i="11"/>
  <c r="P1224" i="11"/>
  <c r="Q1170" i="11"/>
  <c r="Q1171" i="11"/>
  <c r="Q1172" i="11"/>
  <c r="Q1180" i="11"/>
  <c r="Q1173" i="11"/>
  <c r="Q1179" i="11"/>
  <c r="P1175" i="11"/>
  <c r="T68" i="14"/>
  <c r="S7" i="41" s="1"/>
  <c r="S9" i="41" s="1"/>
  <c r="Q1174" i="11"/>
  <c r="Q1223" i="11"/>
  <c r="Q1222" i="11"/>
  <c r="Q1221" i="11"/>
  <c r="Q1220" i="11"/>
  <c r="Q1219" i="11"/>
  <c r="Q1218" i="11"/>
  <c r="R1166" i="11"/>
  <c r="R1215" i="11"/>
  <c r="N30" i="41"/>
  <c r="N33" i="41" s="1"/>
  <c r="T1106" i="11"/>
  <c r="Q38" i="11"/>
  <c r="R75" i="14"/>
  <c r="Q27" i="41" s="1"/>
  <c r="L14" i="40"/>
  <c r="R37" i="11"/>
  <c r="R89" i="11" s="1"/>
  <c r="S34" i="11"/>
  <c r="U1163" i="11"/>
  <c r="S191" i="11"/>
  <c r="S460" i="11"/>
  <c r="T201" i="14"/>
  <c r="J112" i="41"/>
  <c r="O81" i="14"/>
  <c r="O82" i="14" s="1"/>
  <c r="O87" i="14" s="1"/>
  <c r="L152" i="14"/>
  <c r="L153" i="14" s="1"/>
  <c r="L158" i="14" s="1"/>
  <c r="U176" i="11"/>
  <c r="U213" i="11" s="1"/>
  <c r="U184" i="11"/>
  <c r="U441" i="11"/>
  <c r="U170" i="11"/>
  <c r="T188" i="11"/>
  <c r="T463" i="11"/>
  <c r="T468" i="11"/>
  <c r="M170" i="14"/>
  <c r="L107" i="41" s="1"/>
  <c r="L108" i="41" s="1"/>
  <c r="G87" i="40"/>
  <c r="I279" i="41"/>
  <c r="F27" i="46"/>
  <c r="K288" i="14"/>
  <c r="K290" i="14" s="1"/>
  <c r="K291" i="14" s="1"/>
  <c r="K296" i="14" s="1"/>
  <c r="K295" i="14"/>
  <c r="J271" i="41"/>
  <c r="J272" i="41" s="1"/>
  <c r="J276" i="41" s="1"/>
  <c r="J279" i="41" s="1"/>
  <c r="S455" i="11"/>
  <c r="M1157" i="11"/>
  <c r="J238" i="41"/>
  <c r="J240" i="41"/>
  <c r="K231" i="41"/>
  <c r="K235" i="41" s="1"/>
  <c r="L33" i="41"/>
  <c r="L35" i="41"/>
  <c r="K104" i="41"/>
  <c r="K111" i="41" s="1"/>
  <c r="S518" i="11"/>
  <c r="M30" i="40"/>
  <c r="M7" i="40" s="1"/>
  <c r="R29" i="11"/>
  <c r="L13" i="40"/>
  <c r="I34" i="40"/>
  <c r="I33" i="40"/>
  <c r="N1142" i="11"/>
  <c r="N1144" i="11" s="1"/>
  <c r="N1140" i="11" s="1"/>
  <c r="P190" i="11"/>
  <c r="R252" i="11"/>
  <c r="R251" i="11" s="1"/>
  <c r="L17" i="40"/>
  <c r="L21" i="40" s="1"/>
  <c r="S365" i="11"/>
  <c r="Q202" i="11"/>
  <c r="Q205" i="11" s="1"/>
  <c r="J204" i="14"/>
  <c r="P436" i="11"/>
  <c r="P410" i="11" s="1"/>
  <c r="T84" i="14"/>
  <c r="V135" i="39"/>
  <c r="V134" i="39"/>
  <c r="BX61" i="38"/>
  <c r="BX69" i="38"/>
  <c r="BX65" i="38"/>
  <c r="BX60" i="38"/>
  <c r="BN60" i="38"/>
  <c r="BX70" i="38"/>
  <c r="BX67" i="38"/>
  <c r="BX63" i="38"/>
  <c r="BN58" i="38"/>
  <c r="BX66" i="38"/>
  <c r="BX64" i="38"/>
  <c r="BX62" i="38"/>
  <c r="BN69" i="38"/>
  <c r="BN62" i="38"/>
  <c r="BX58" i="38"/>
  <c r="BX59" i="38"/>
  <c r="BN63" i="38"/>
  <c r="BN68" i="38"/>
  <c r="BN64" i="38"/>
  <c r="BN70" i="38"/>
  <c r="BN67" i="38"/>
  <c r="BY57" i="38"/>
  <c r="BY65" i="38" s="1"/>
  <c r="BN65" i="38"/>
  <c r="BO57" i="38"/>
  <c r="BZ57" i="38" s="1"/>
  <c r="BN66" i="38"/>
  <c r="BN59" i="38"/>
  <c r="S59" i="19"/>
  <c r="S54" i="19"/>
  <c r="U12" i="19"/>
  <c r="U11" i="36"/>
  <c r="U12" i="36" s="1"/>
  <c r="V6" i="36"/>
  <c r="V7" i="36" s="1"/>
  <c r="U8" i="36"/>
  <c r="U9" i="36"/>
  <c r="S34" i="35"/>
  <c r="S69" i="35"/>
  <c r="S57" i="35" s="1"/>
  <c r="R57" i="35"/>
  <c r="U8" i="35"/>
  <c r="V6" i="35"/>
  <c r="V7" i="35" s="1"/>
  <c r="U9" i="35"/>
  <c r="U11" i="35"/>
  <c r="U12" i="35" s="1"/>
  <c r="S70" i="24"/>
  <c r="S70" i="25" s="1"/>
  <c r="T78" i="24"/>
  <c r="T78" i="25" s="1"/>
  <c r="R90" i="23"/>
  <c r="Q79" i="24"/>
  <c r="Q79" i="25" s="1"/>
  <c r="R84" i="23"/>
  <c r="Q73" i="24"/>
  <c r="Q73" i="25" s="1"/>
  <c r="Q32" i="28"/>
  <c r="Q82" i="23"/>
  <c r="S363" i="11"/>
  <c r="S47" i="28"/>
  <c r="S36" i="28" s="1"/>
  <c r="R36" i="28"/>
  <c r="T360" i="11"/>
  <c r="T361" i="11" s="1"/>
  <c r="T734" i="11"/>
  <c r="T735" i="11" s="1"/>
  <c r="T737" i="11" s="1"/>
  <c r="T778" i="11" s="1"/>
  <c r="T780" i="11" s="1"/>
  <c r="T40" i="28"/>
  <c r="T45" i="28"/>
  <c r="T88" i="23" s="1"/>
  <c r="U8" i="28"/>
  <c r="U52" i="28" s="1"/>
  <c r="U9" i="28"/>
  <c r="U35" i="28" s="1"/>
  <c r="U11" i="28"/>
  <c r="U12" i="28" s="1"/>
  <c r="V6" i="28"/>
  <c r="V7" i="28" s="1"/>
  <c r="T14" i="28"/>
  <c r="K91" i="23"/>
  <c r="U104" i="15"/>
  <c r="L91" i="23"/>
  <c r="T1021" i="11"/>
  <c r="T1022" i="11" s="1"/>
  <c r="T1024" i="11" s="1"/>
  <c r="V1515" i="11"/>
  <c r="V1517" i="11" s="1"/>
  <c r="U357" i="41" s="1"/>
  <c r="S516" i="11"/>
  <c r="T513" i="11"/>
  <c r="T514" i="11" s="1"/>
  <c r="T1391" i="11" s="1"/>
  <c r="R882" i="11"/>
  <c r="R884" i="11" s="1"/>
  <c r="R871" i="11"/>
  <c r="R873" i="11" s="1"/>
  <c r="R277" i="14"/>
  <c r="T1094" i="11"/>
  <c r="T1096" i="11" s="1"/>
  <c r="T1097" i="11" s="1"/>
  <c r="T1099" i="11"/>
  <c r="T1103" i="11" s="1"/>
  <c r="S862" i="11"/>
  <c r="T856" i="11"/>
  <c r="T857" i="11" s="1"/>
  <c r="T859" i="11" s="1"/>
  <c r="T929" i="11"/>
  <c r="T930" i="11" s="1"/>
  <c r="T932" i="11" s="1"/>
  <c r="T1016" i="11"/>
  <c r="T1017" i="11" s="1"/>
  <c r="T1019" i="11" s="1"/>
  <c r="T739" i="11"/>
  <c r="T740" i="11" s="1"/>
  <c r="T742" i="11" s="1"/>
  <c r="T783" i="11" s="1"/>
  <c r="T785" i="11" s="1"/>
  <c r="S939" i="11"/>
  <c r="S940" i="11"/>
  <c r="S861" i="11"/>
  <c r="T851" i="11"/>
  <c r="T852" i="11" s="1"/>
  <c r="T744" i="11"/>
  <c r="T745" i="11" s="1"/>
  <c r="T747" i="11" s="1"/>
  <c r="T788" i="11" s="1"/>
  <c r="T790" i="11" s="1"/>
  <c r="T934" i="11"/>
  <c r="T935" i="11" s="1"/>
  <c r="T937" i="11" s="1"/>
  <c r="T1011" i="11"/>
  <c r="T1012" i="11" s="1"/>
  <c r="T1014" i="11" s="1"/>
  <c r="N440" i="14"/>
  <c r="N443" i="14" s="1"/>
  <c r="M485" i="14"/>
  <c r="M461" i="48" s="1"/>
  <c r="R949" i="11"/>
  <c r="R951" i="11" s="1"/>
  <c r="R960" i="11"/>
  <c r="R962" i="11" s="1"/>
  <c r="R1048" i="11"/>
  <c r="R1050" i="11" s="1"/>
  <c r="R438" i="14"/>
  <c r="R414" i="48" s="1"/>
  <c r="Q942" i="11"/>
  <c r="U813" i="11"/>
  <c r="U887" i="11"/>
  <c r="U634" i="11"/>
  <c r="R1037" i="11"/>
  <c r="R1039" i="11" s="1"/>
  <c r="O534" i="11"/>
  <c r="O536" i="11" s="1"/>
  <c r="O522" i="11" s="1"/>
  <c r="R686" i="11"/>
  <c r="R327" i="14" s="1"/>
  <c r="R303" i="48" s="1"/>
  <c r="T468" i="14"/>
  <c r="S169" i="14"/>
  <c r="R818" i="11"/>
  <c r="R373" i="14" s="1"/>
  <c r="R349" i="48" s="1"/>
  <c r="S609" i="11"/>
  <c r="P264" i="11"/>
  <c r="R891" i="11"/>
  <c r="R396" i="14" s="1"/>
  <c r="R372" i="48" s="1"/>
  <c r="Q1030" i="11"/>
  <c r="J158" i="14"/>
  <c r="T679" i="11"/>
  <c r="S690" i="11"/>
  <c r="T919" i="11"/>
  <c r="S921" i="11"/>
  <c r="R24" i="11"/>
  <c r="Q95" i="11"/>
  <c r="Q54" i="11"/>
  <c r="Q77" i="11"/>
  <c r="U333" i="11"/>
  <c r="T346" i="11"/>
  <c r="R394" i="11"/>
  <c r="T612" i="11"/>
  <c r="S614" i="11"/>
  <c r="T585" i="11"/>
  <c r="S586" i="11"/>
  <c r="M29" i="40" s="1"/>
  <c r="M9" i="40" s="1"/>
  <c r="U316" i="11"/>
  <c r="T317" i="11"/>
  <c r="R969" i="11"/>
  <c r="R419" i="14" s="1"/>
  <c r="R395" i="48" s="1"/>
  <c r="T86" i="11"/>
  <c r="S87" i="11"/>
  <c r="T105" i="11"/>
  <c r="S119" i="11"/>
  <c r="T68" i="11"/>
  <c r="S69" i="11"/>
  <c r="S27" i="11"/>
  <c r="S1108" i="11" s="1"/>
  <c r="T26" i="11"/>
  <c r="T1007" i="11"/>
  <c r="U337" i="11"/>
  <c r="T350" i="11"/>
  <c r="T107" i="11"/>
  <c r="S121" i="11"/>
  <c r="T678" i="11"/>
  <c r="S689" i="11"/>
  <c r="T329" i="11"/>
  <c r="S342" i="11"/>
  <c r="Q323" i="14"/>
  <c r="Q635" i="11"/>
  <c r="Q637" i="11" s="1"/>
  <c r="T287" i="11"/>
  <c r="S288" i="11"/>
  <c r="U109" i="11"/>
  <c r="T123" i="11"/>
  <c r="T841" i="11"/>
  <c r="S843" i="11"/>
  <c r="U63" i="11"/>
  <c r="T65" i="11"/>
  <c r="T972" i="11"/>
  <c r="S974" i="11"/>
  <c r="J135" i="14"/>
  <c r="U101" i="11"/>
  <c r="T115" i="11"/>
  <c r="U680" i="11"/>
  <c r="T691" i="11"/>
  <c r="T808" i="11"/>
  <c r="S810" i="11"/>
  <c r="S146" i="14"/>
  <c r="R68" i="41" s="1"/>
  <c r="Q115" i="14"/>
  <c r="Q91" i="48" s="1"/>
  <c r="K40" i="40" s="1"/>
  <c r="T681" i="11"/>
  <c r="S692" i="11"/>
  <c r="U108" i="11"/>
  <c r="T122" i="11"/>
  <c r="P1030" i="11"/>
  <c r="T271" i="11"/>
  <c r="S273" i="11"/>
  <c r="L449" i="14"/>
  <c r="L456" i="14"/>
  <c r="Q625" i="11"/>
  <c r="Q422" i="11"/>
  <c r="Q425" i="11" s="1"/>
  <c r="Q381" i="11"/>
  <c r="U104" i="11"/>
  <c r="T118" i="11"/>
  <c r="T640" i="11"/>
  <c r="S641" i="11"/>
  <c r="U100" i="11"/>
  <c r="T114" i="11"/>
  <c r="T293" i="14"/>
  <c r="T131" i="14"/>
  <c r="T454" i="14"/>
  <c r="T339" i="14"/>
  <c r="T155" i="14"/>
  <c r="T385" i="14"/>
  <c r="T178" i="14"/>
  <c r="T408" i="14"/>
  <c r="T431" i="14"/>
  <c r="T477" i="14"/>
  <c r="T36" i="14"/>
  <c r="T500" i="14"/>
  <c r="T270" i="14"/>
  <c r="T831" i="11"/>
  <c r="S833" i="11"/>
  <c r="T677" i="11"/>
  <c r="S688" i="11"/>
  <c r="T255" i="11"/>
  <c r="V256" i="11" s="1"/>
  <c r="V442" i="11" s="1"/>
  <c r="T628" i="11"/>
  <c r="S629" i="11"/>
  <c r="R340" i="11"/>
  <c r="R353" i="11"/>
  <c r="R122" i="14" s="1"/>
  <c r="R98" i="48" s="1"/>
  <c r="J429" i="14"/>
  <c r="L126" i="14"/>
  <c r="T526" i="11"/>
  <c r="T531" i="11"/>
  <c r="T328" i="11"/>
  <c r="S341" i="11"/>
  <c r="U961" i="11"/>
  <c r="U41" i="11"/>
  <c r="U43" i="11" s="1"/>
  <c r="U81" i="11" s="1"/>
  <c r="U83" i="11" s="1"/>
  <c r="U945" i="11"/>
  <c r="U422" i="14" s="1"/>
  <c r="U398" i="48" s="1"/>
  <c r="U1033" i="11"/>
  <c r="U445" i="14" s="1"/>
  <c r="U421" i="48" s="1"/>
  <c r="U867" i="11"/>
  <c r="U399" i="14" s="1"/>
  <c r="U375" i="48" s="1"/>
  <c r="U266" i="11"/>
  <c r="U268" i="11" s="1"/>
  <c r="U294" i="11" s="1"/>
  <c r="U295" i="11" s="1"/>
  <c r="U1538" i="11"/>
  <c r="U1542" i="11" s="1"/>
  <c r="U767" i="11"/>
  <c r="U376" i="14" s="1"/>
  <c r="U352" i="48" s="1"/>
  <c r="U15" i="11"/>
  <c r="T683" i="11"/>
  <c r="S694" i="11"/>
  <c r="U877" i="11"/>
  <c r="T879" i="11"/>
  <c r="T1053" i="11"/>
  <c r="U904" i="11"/>
  <c r="T906" i="11"/>
  <c r="J176" i="14"/>
  <c r="R384" i="11"/>
  <c r="R386" i="11" s="1"/>
  <c r="T1065" i="11"/>
  <c r="S1067" i="11"/>
  <c r="T982" i="11"/>
  <c r="S984" i="11"/>
  <c r="T57" i="11"/>
  <c r="S58" i="11"/>
  <c r="T106" i="11"/>
  <c r="S120" i="11"/>
  <c r="U304" i="11"/>
  <c r="T305" i="11"/>
  <c r="Q60" i="11"/>
  <c r="T1043" i="11"/>
  <c r="S1045" i="11"/>
  <c r="Q89" i="11"/>
  <c r="P367" i="11"/>
  <c r="T103" i="11"/>
  <c r="S117" i="11"/>
  <c r="Q465" i="14"/>
  <c r="U914" i="11"/>
  <c r="T916" i="11"/>
  <c r="R379" i="11"/>
  <c r="R161" i="11" s="1"/>
  <c r="R164" i="11" s="1"/>
  <c r="R262" i="11"/>
  <c r="V8" i="25"/>
  <c r="V36" i="25" s="1"/>
  <c r="V9" i="25"/>
  <c r="V11" i="25"/>
  <c r="V12" i="25" s="1"/>
  <c r="V14" i="25" s="1"/>
  <c r="T334" i="11"/>
  <c r="S347" i="11"/>
  <c r="S1027" i="11"/>
  <c r="S1009" i="11"/>
  <c r="T955" i="11"/>
  <c r="S957" i="11"/>
  <c r="T99" i="11"/>
  <c r="S113" i="11"/>
  <c r="M37" i="14"/>
  <c r="M25" i="14"/>
  <c r="G77" i="40" s="1"/>
  <c r="Q313" i="11"/>
  <c r="Q307" i="11"/>
  <c r="Q319" i="11"/>
  <c r="T102" i="11"/>
  <c r="S116" i="11"/>
  <c r="T336" i="11"/>
  <c r="S349" i="11"/>
  <c r="Q290" i="11"/>
  <c r="T298" i="11"/>
  <c r="S299" i="11"/>
  <c r="T803" i="11"/>
  <c r="S805" i="11"/>
  <c r="T48" i="11"/>
  <c r="U46" i="11"/>
  <c r="N117" i="14"/>
  <c r="T1075" i="11"/>
  <c r="S1077" i="11"/>
  <c r="T909" i="11"/>
  <c r="S911" i="11"/>
  <c r="U335" i="11"/>
  <c r="T348" i="11"/>
  <c r="Q655" i="11"/>
  <c r="N22" i="14"/>
  <c r="T276" i="11"/>
  <c r="S277" i="11"/>
  <c r="R1057" i="11"/>
  <c r="R442" i="14" s="1"/>
  <c r="R418" i="48" s="1"/>
  <c r="P593" i="11"/>
  <c r="Q631" i="11"/>
  <c r="Q119" i="14"/>
  <c r="Q95" i="48" s="1"/>
  <c r="Q540" i="11"/>
  <c r="Q542" i="11" s="1"/>
  <c r="V9" i="11"/>
  <c r="V1460" i="11" s="1"/>
  <c r="V11" i="11"/>
  <c r="V12" i="11" s="1"/>
  <c r="W12" i="6" s="1"/>
  <c r="W14" i="6" s="1"/>
  <c r="V8" i="11"/>
  <c r="U676" i="11"/>
  <c r="T687" i="11"/>
  <c r="O21" i="14"/>
  <c r="O21" i="48" s="1"/>
  <c r="O1148" i="11"/>
  <c r="O1149" i="11" s="1"/>
  <c r="Q433" i="11"/>
  <c r="Q396" i="11"/>
  <c r="T21" i="11"/>
  <c r="T22" i="11" s="1"/>
  <c r="T836" i="11"/>
  <c r="S838" i="11"/>
  <c r="T332" i="11"/>
  <c r="S345" i="11"/>
  <c r="Q301" i="11"/>
  <c r="P39" i="11"/>
  <c r="U331" i="11"/>
  <c r="T344" i="11"/>
  <c r="T987" i="11"/>
  <c r="S989" i="11"/>
  <c r="U310" i="11"/>
  <c r="T311" i="11"/>
  <c r="U9" i="14"/>
  <c r="T3" i="41" s="1"/>
  <c r="U11" i="14"/>
  <c r="U12" i="14" s="1"/>
  <c r="U14" i="14" s="1"/>
  <c r="U8" i="14"/>
  <c r="V6" i="14"/>
  <c r="V7" i="14" s="1"/>
  <c r="Q649" i="11"/>
  <c r="T1070" i="11"/>
  <c r="S1072" i="11"/>
  <c r="Q71" i="11"/>
  <c r="T282" i="11"/>
  <c r="S284" i="11"/>
  <c r="S476" i="11" s="1"/>
  <c r="S699" i="11" s="1"/>
  <c r="U98" i="11"/>
  <c r="T112" i="11"/>
  <c r="L341" i="14"/>
  <c r="L334" i="14"/>
  <c r="T371" i="11"/>
  <c r="T376" i="11"/>
  <c r="T391" i="11"/>
  <c r="T602" i="11"/>
  <c r="T607" i="11"/>
  <c r="T1080" i="11"/>
  <c r="S1082" i="11"/>
  <c r="S520" i="11"/>
  <c r="T617" i="11"/>
  <c r="S619" i="11"/>
  <c r="T1060" i="11"/>
  <c r="S1062" i="11"/>
  <c r="U1036" i="11"/>
  <c r="U926" i="11"/>
  <c r="U1473" i="11"/>
  <c r="U1006" i="11"/>
  <c r="U948" i="11"/>
  <c r="U870" i="11"/>
  <c r="U1091" i="11"/>
  <c r="U31" i="11" s="1"/>
  <c r="U771" i="11"/>
  <c r="U1003" i="11"/>
  <c r="U848" i="11"/>
  <c r="U731" i="11"/>
  <c r="U510" i="11"/>
  <c r="U400" i="11"/>
  <c r="U357" i="11"/>
  <c r="U582" i="11"/>
  <c r="T977" i="11"/>
  <c r="S979" i="11"/>
  <c r="T646" i="11"/>
  <c r="S647" i="11"/>
  <c r="U92" i="11"/>
  <c r="T93" i="11"/>
  <c r="T419" i="11"/>
  <c r="T414" i="11"/>
  <c r="T430" i="11"/>
  <c r="T330" i="11"/>
  <c r="S343" i="11"/>
  <c r="T899" i="11"/>
  <c r="S901" i="11"/>
  <c r="T826" i="11"/>
  <c r="S828" i="11"/>
  <c r="U965" i="11"/>
  <c r="Q672" i="11"/>
  <c r="U74" i="11"/>
  <c r="T75" i="11"/>
  <c r="J406" i="14"/>
  <c r="T997" i="11"/>
  <c r="S999" i="11"/>
  <c r="P1111" i="11"/>
  <c r="T1085" i="11"/>
  <c r="S1087" i="11"/>
  <c r="T652" i="11"/>
  <c r="S653" i="11"/>
  <c r="R111" i="11"/>
  <c r="R24" i="14" s="1"/>
  <c r="R125" i="11"/>
  <c r="R27" i="14" s="1"/>
  <c r="R27" i="48" s="1"/>
  <c r="J296" i="14"/>
  <c r="U51" i="11"/>
  <c r="T52" i="11"/>
  <c r="T682" i="11"/>
  <c r="S693" i="11"/>
  <c r="T821" i="11"/>
  <c r="S823" i="11"/>
  <c r="T894" i="11"/>
  <c r="S896" i="11"/>
  <c r="U322" i="11"/>
  <c r="T324" i="11"/>
  <c r="T622" i="11"/>
  <c r="S623" i="11"/>
  <c r="U684" i="11"/>
  <c r="T695" i="11"/>
  <c r="T338" i="11"/>
  <c r="S351" i="11"/>
  <c r="S550" i="11" s="1"/>
  <c r="T992" i="11"/>
  <c r="S994" i="11"/>
  <c r="T669" i="11"/>
  <c r="S670" i="11"/>
  <c r="U14" i="15"/>
  <c r="V8" i="19"/>
  <c r="V9" i="19"/>
  <c r="V11" i="19"/>
  <c r="V8" i="15"/>
  <c r="V62" i="15" s="1"/>
  <c r="V9" i="15"/>
  <c r="V11" i="15"/>
  <c r="V12" i="15" s="1"/>
  <c r="V14" i="23"/>
  <c r="V9" i="24"/>
  <c r="V11" i="24"/>
  <c r="V12" i="24" s="1"/>
  <c r="V8" i="24"/>
  <c r="V36" i="24" s="1"/>
  <c r="U14" i="24"/>
  <c r="R73" i="14" l="1"/>
  <c r="L46" i="40"/>
  <c r="L70" i="40" s="1"/>
  <c r="J109" i="40"/>
  <c r="K84" i="40"/>
  <c r="K85" i="40"/>
  <c r="G69" i="40"/>
  <c r="G14" i="49" s="1"/>
  <c r="I69" i="40"/>
  <c r="I14" i="49" s="1"/>
  <c r="F43" i="40"/>
  <c r="F3" i="49" s="1"/>
  <c r="K45" i="15"/>
  <c r="J74" i="41"/>
  <c r="J76" i="41"/>
  <c r="S145" i="48"/>
  <c r="R109" i="41"/>
  <c r="M157" i="14"/>
  <c r="L66" i="41"/>
  <c r="L67" i="41" s="1"/>
  <c r="G168" i="45"/>
  <c r="E12" i="47" s="1"/>
  <c r="S13" i="47" s="1"/>
  <c r="U210" i="11"/>
  <c r="U72" i="14" s="1"/>
  <c r="T17" i="41" s="1"/>
  <c r="U194" i="11"/>
  <c r="U197" i="11"/>
  <c r="U199" i="11" s="1"/>
  <c r="U572" i="11"/>
  <c r="K10" i="40"/>
  <c r="U27" i="19"/>
  <c r="U54" i="19" s="1"/>
  <c r="U26" i="19"/>
  <c r="U62" i="19" s="1"/>
  <c r="U75" i="19" s="1"/>
  <c r="V257" i="11"/>
  <c r="I257" i="11" s="1"/>
  <c r="Q1104" i="11"/>
  <c r="Q1112" i="11"/>
  <c r="Q1114" i="11"/>
  <c r="V11" i="42"/>
  <c r="S12" i="42"/>
  <c r="T3" i="42" s="1"/>
  <c r="T10" i="42" s="1"/>
  <c r="L25" i="42" s="1"/>
  <c r="J465" i="48"/>
  <c r="J468" i="48" s="1"/>
  <c r="J471" i="48" s="1"/>
  <c r="L1148" i="11"/>
  <c r="L1149" i="11" s="1"/>
  <c r="L1140" i="11" s="1"/>
  <c r="L485" i="14" s="1"/>
  <c r="L461" i="48" s="1"/>
  <c r="L462" i="48" s="1"/>
  <c r="L477" i="48" s="1"/>
  <c r="N82" i="14"/>
  <c r="N87" i="14" s="1"/>
  <c r="H21" i="48"/>
  <c r="J22" i="48"/>
  <c r="V14" i="42"/>
  <c r="T14" i="42"/>
  <c r="W14" i="42" s="1"/>
  <c r="N76" i="48"/>
  <c r="N79" i="48" s="1"/>
  <c r="N81" i="48" s="1"/>
  <c r="N82" i="48" s="1"/>
  <c r="N87" i="48" s="1"/>
  <c r="E33" i="42"/>
  <c r="E49" i="45"/>
  <c r="E51" i="45" s="1"/>
  <c r="K68" i="48"/>
  <c r="K94" i="14"/>
  <c r="K507" i="14"/>
  <c r="K44" i="15" s="1"/>
  <c r="K72" i="48"/>
  <c r="K487" i="48" s="1"/>
  <c r="K511" i="14"/>
  <c r="K21" i="48"/>
  <c r="K22" i="48" s="1"/>
  <c r="K22" i="14"/>
  <c r="N144" i="14"/>
  <c r="H86" i="40" s="1"/>
  <c r="M33" i="41"/>
  <c r="L239" i="11"/>
  <c r="L96" i="14" s="1"/>
  <c r="L92" i="14"/>
  <c r="J109" i="14"/>
  <c r="J97" i="14"/>
  <c r="F58" i="45"/>
  <c r="F191" i="45" s="1"/>
  <c r="F182" i="45"/>
  <c r="T1110" i="11"/>
  <c r="T1113" i="11"/>
  <c r="T1115" i="11" s="1"/>
  <c r="L1261" i="11"/>
  <c r="L1265" i="11"/>
  <c r="J509" i="14"/>
  <c r="J524" i="14" s="1"/>
  <c r="J489" i="14"/>
  <c r="J501" i="14"/>
  <c r="J37" i="14"/>
  <c r="J25" i="14"/>
  <c r="L21" i="48"/>
  <c r="L22" i="48" s="1"/>
  <c r="S15" i="42"/>
  <c r="S18" i="42" s="1"/>
  <c r="L22" i="14"/>
  <c r="T137" i="41"/>
  <c r="T142" i="41"/>
  <c r="O5" i="50"/>
  <c r="T1101" i="11"/>
  <c r="K461" i="48"/>
  <c r="K462" i="48" s="1"/>
  <c r="K477" i="48" s="1"/>
  <c r="K486" i="14"/>
  <c r="J299" i="41"/>
  <c r="D58" i="40"/>
  <c r="J483" i="48"/>
  <c r="J70" i="48"/>
  <c r="I341" i="41"/>
  <c r="I301" i="41"/>
  <c r="I304" i="41"/>
  <c r="I306" i="41" s="1"/>
  <c r="F53" i="40"/>
  <c r="F49" i="42"/>
  <c r="L1420" i="11"/>
  <c r="L1418" i="11" s="1"/>
  <c r="M35" i="41"/>
  <c r="U108" i="14"/>
  <c r="T2" i="41"/>
  <c r="O97" i="14"/>
  <c r="O100" i="14" s="1"/>
  <c r="O103" i="14" s="1"/>
  <c r="O105" i="14" s="1"/>
  <c r="O106" i="14" s="1"/>
  <c r="O111" i="14" s="1"/>
  <c r="V13" i="11"/>
  <c r="V5" i="11" s="1"/>
  <c r="M55" i="41"/>
  <c r="M62" i="41" s="1"/>
  <c r="M63" i="41" s="1"/>
  <c r="M70" i="41" s="1"/>
  <c r="T718" i="11"/>
  <c r="P92" i="14"/>
  <c r="P68" i="48" s="1"/>
  <c r="G86" i="40"/>
  <c r="N328" i="14"/>
  <c r="N331" i="14" s="1"/>
  <c r="M230" i="41" s="1"/>
  <c r="M231" i="41" s="1"/>
  <c r="N409" i="48"/>
  <c r="L180" i="14"/>
  <c r="P86" i="14"/>
  <c r="L173" i="14"/>
  <c r="L175" i="14" s="1"/>
  <c r="P79" i="14"/>
  <c r="P81" i="14" s="1"/>
  <c r="P82" i="14" s="1"/>
  <c r="P87" i="14" s="1"/>
  <c r="N231" i="48"/>
  <c r="M18" i="50"/>
  <c r="R1102" i="11"/>
  <c r="N433" i="14"/>
  <c r="K112" i="41"/>
  <c r="K115" i="41" s="1"/>
  <c r="M331" i="14"/>
  <c r="M341" i="14" s="1"/>
  <c r="Q92" i="14"/>
  <c r="Q94" i="14" s="1"/>
  <c r="Q109" i="14" s="1"/>
  <c r="M28" i="48"/>
  <c r="M39" i="48" s="1"/>
  <c r="E194" i="45"/>
  <c r="K176" i="14"/>
  <c r="K181" i="14" s="1"/>
  <c r="N25" i="48"/>
  <c r="M126" i="14"/>
  <c r="M128" i="14" s="1"/>
  <c r="M129" i="14" s="1"/>
  <c r="M135" i="14" s="1"/>
  <c r="C14" i="47"/>
  <c r="M14" i="47" s="1"/>
  <c r="AD16" i="47" s="1"/>
  <c r="P420" i="14"/>
  <c r="P423" i="14" s="1"/>
  <c r="P433" i="14" s="1"/>
  <c r="R237" i="48"/>
  <c r="Q55" i="48"/>
  <c r="Q57" i="48" s="1"/>
  <c r="Q58" i="48" s="1"/>
  <c r="Q63" i="48" s="1"/>
  <c r="N99" i="48"/>
  <c r="N102" i="48" s="1"/>
  <c r="R230" i="11"/>
  <c r="R232" i="11" s="1"/>
  <c r="L50" i="45" s="1"/>
  <c r="L58" i="45" s="1"/>
  <c r="M96" i="41"/>
  <c r="M103" i="41" s="1"/>
  <c r="M104" i="41" s="1"/>
  <c r="M111" i="41" s="1"/>
  <c r="S514" i="14"/>
  <c r="R85" i="14"/>
  <c r="O201" i="48"/>
  <c r="O255" i="14"/>
  <c r="H95" i="40"/>
  <c r="H24" i="46" s="1"/>
  <c r="N515" i="14"/>
  <c r="N525" i="14" s="1"/>
  <c r="R61" i="48"/>
  <c r="P397" i="14"/>
  <c r="P400" i="14" s="1"/>
  <c r="P410" i="14" s="1"/>
  <c r="M485" i="48"/>
  <c r="G56" i="40"/>
  <c r="L63" i="41"/>
  <c r="L70" i="41" s="1"/>
  <c r="N195" i="48"/>
  <c r="N197" i="48" s="1"/>
  <c r="N198" i="48" s="1"/>
  <c r="N203" i="48" s="1"/>
  <c r="O22" i="48"/>
  <c r="O25" i="48" s="1"/>
  <c r="M85" i="48"/>
  <c r="M73" i="48"/>
  <c r="S222" i="11"/>
  <c r="S227" i="11" s="1"/>
  <c r="S236" i="11" s="1"/>
  <c r="N8" i="50"/>
  <c r="O455" i="14"/>
  <c r="Q76" i="14"/>
  <c r="P25" i="41" s="1"/>
  <c r="P26" i="41" s="1"/>
  <c r="O30" i="41"/>
  <c r="O33" i="41" s="1"/>
  <c r="G36" i="47"/>
  <c r="M110" i="14"/>
  <c r="M103" i="14"/>
  <c r="M105" i="14" s="1"/>
  <c r="M106" i="14" s="1"/>
  <c r="M111" i="14" s="1"/>
  <c r="K71" i="41"/>
  <c r="E20" i="47"/>
  <c r="D15" i="49"/>
  <c r="M460" i="48"/>
  <c r="M462" i="48" s="1"/>
  <c r="M477" i="48" s="1"/>
  <c r="P20" i="48"/>
  <c r="J39" i="40" s="1"/>
  <c r="S122" i="48"/>
  <c r="K57" i="40"/>
  <c r="Q209" i="48"/>
  <c r="Q224" i="48" s="1"/>
  <c r="P348" i="14"/>
  <c r="P322" i="48"/>
  <c r="H164" i="45"/>
  <c r="F18" i="47"/>
  <c r="J165" i="45"/>
  <c r="H34" i="47"/>
  <c r="P280" i="48"/>
  <c r="Q562" i="11"/>
  <c r="Q567" i="11" s="1"/>
  <c r="Q304" i="14" s="1"/>
  <c r="H83" i="45"/>
  <c r="H84" i="45" s="1"/>
  <c r="F38" i="47"/>
  <c r="F39" i="47" s="1"/>
  <c r="T138" i="48"/>
  <c r="N48" i="40" s="1"/>
  <c r="N53" i="41"/>
  <c r="N58" i="41" s="1"/>
  <c r="N60" i="41" s="1"/>
  <c r="O116" i="48"/>
  <c r="O117" i="48" s="1"/>
  <c r="O132" i="48" s="1"/>
  <c r="S191" i="48"/>
  <c r="N94" i="41"/>
  <c r="N96" i="41" s="1"/>
  <c r="O139" i="48"/>
  <c r="O117" i="14"/>
  <c r="O120" i="14" s="1"/>
  <c r="O133" i="14" s="1"/>
  <c r="O92" i="48"/>
  <c r="O93" i="48" s="1"/>
  <c r="Q48" i="41"/>
  <c r="Q50" i="41" s="1"/>
  <c r="R115" i="48"/>
  <c r="L47" i="40" s="1"/>
  <c r="O176" i="41"/>
  <c r="P185" i="48"/>
  <c r="P186" i="48" s="1"/>
  <c r="P189" i="48" s="1"/>
  <c r="O511" i="14"/>
  <c r="O326" i="48"/>
  <c r="N339" i="48"/>
  <c r="N327" i="48"/>
  <c r="O85" i="48"/>
  <c r="O73" i="48"/>
  <c r="O317" i="14"/>
  <c r="O305" i="14"/>
  <c r="O308" i="14" s="1"/>
  <c r="O278" i="48"/>
  <c r="I59" i="40"/>
  <c r="I68" i="40" s="1"/>
  <c r="I13" i="49" s="1"/>
  <c r="O483" i="48"/>
  <c r="M294" i="48"/>
  <c r="M287" i="48"/>
  <c r="M313" i="14"/>
  <c r="M314" i="14" s="1"/>
  <c r="M319" i="14" s="1"/>
  <c r="H56" i="40"/>
  <c r="N485" i="48"/>
  <c r="N293" i="48"/>
  <c r="N281" i="48"/>
  <c r="N308" i="14"/>
  <c r="L221" i="48"/>
  <c r="L226" i="48" s="1"/>
  <c r="P317" i="14"/>
  <c r="P305" i="14"/>
  <c r="P278" i="48"/>
  <c r="J59" i="40"/>
  <c r="J68" i="40" s="1"/>
  <c r="J13" i="49" s="1"/>
  <c r="F107" i="40"/>
  <c r="F20" i="49" s="1"/>
  <c r="G25" i="46"/>
  <c r="U444" i="48"/>
  <c r="N217" i="41"/>
  <c r="N219" i="41" s="1"/>
  <c r="M219" i="41"/>
  <c r="M226" i="41" s="1"/>
  <c r="M227" i="41" s="1"/>
  <c r="M234" i="41" s="1"/>
  <c r="O325" i="14"/>
  <c r="O340" i="14" s="1"/>
  <c r="R24" i="48"/>
  <c r="M294" i="14"/>
  <c r="M285" i="14"/>
  <c r="L271" i="41" s="1"/>
  <c r="M261" i="48"/>
  <c r="M271" i="48" s="1"/>
  <c r="G93" i="40"/>
  <c r="L294" i="41"/>
  <c r="L296" i="41" s="1"/>
  <c r="L464" i="48"/>
  <c r="J374" i="14"/>
  <c r="J377" i="14" s="1"/>
  <c r="J380" i="14" s="1"/>
  <c r="J463" i="14"/>
  <c r="R441" i="48"/>
  <c r="M427" i="48"/>
  <c r="M428" i="48" s="1"/>
  <c r="M433" i="48" s="1"/>
  <c r="M461" i="14"/>
  <c r="M345" i="48"/>
  <c r="M437" i="48" s="1"/>
  <c r="G42" i="40" s="1"/>
  <c r="J347" i="48"/>
  <c r="J350" i="48" s="1"/>
  <c r="O420" i="14"/>
  <c r="O423" i="14" s="1"/>
  <c r="O432" i="14"/>
  <c r="P385" i="48"/>
  <c r="K462" i="14"/>
  <c r="K346" i="48"/>
  <c r="K438" i="48" s="1"/>
  <c r="K439" i="48" s="1"/>
  <c r="O431" i="48"/>
  <c r="O419" i="48"/>
  <c r="O422" i="48" s="1"/>
  <c r="Q394" i="14"/>
  <c r="Q397" i="14" s="1"/>
  <c r="Q400" i="14" s="1"/>
  <c r="Q403" i="14" s="1"/>
  <c r="Q405" i="14" s="1"/>
  <c r="Q406" i="14" s="1"/>
  <c r="Q411" i="14" s="1"/>
  <c r="O409" i="14"/>
  <c r="O397" i="14"/>
  <c r="O400" i="14" s="1"/>
  <c r="O410" i="14" s="1"/>
  <c r="Q253" i="41"/>
  <c r="Q255" i="41" s="1"/>
  <c r="R253" i="48"/>
  <c r="L54" i="40" s="1"/>
  <c r="Q273" i="41"/>
  <c r="R260" i="48"/>
  <c r="K267" i="41"/>
  <c r="K268" i="41" s="1"/>
  <c r="K275" i="41" s="1"/>
  <c r="K276" i="41" s="1"/>
  <c r="K279" i="41" s="1"/>
  <c r="M258" i="41"/>
  <c r="N254" i="48"/>
  <c r="N255" i="48" s="1"/>
  <c r="L260" i="41"/>
  <c r="L267" i="41" s="1"/>
  <c r="P212" i="41"/>
  <c r="P214" i="41" s="1"/>
  <c r="Q299" i="48"/>
  <c r="K41" i="40" s="1"/>
  <c r="Q232" i="41"/>
  <c r="R306" i="48"/>
  <c r="R51" i="48"/>
  <c r="R52" i="48" s="1"/>
  <c r="T44" i="48"/>
  <c r="R12" i="41"/>
  <c r="R14" i="41" s="1"/>
  <c r="S45" i="48"/>
  <c r="S46" i="48" s="1"/>
  <c r="Q14" i="41"/>
  <c r="Q19" i="41"/>
  <c r="T283" i="48"/>
  <c r="R490" i="48"/>
  <c r="J410" i="48"/>
  <c r="K341" i="48"/>
  <c r="J433" i="48"/>
  <c r="J111" i="48"/>
  <c r="J157" i="48"/>
  <c r="J318" i="48"/>
  <c r="N57" i="48"/>
  <c r="N58" i="48" s="1"/>
  <c r="N357" i="14"/>
  <c r="N359" i="14" s="1"/>
  <c r="N360" i="14" s="1"/>
  <c r="N365" i="14" s="1"/>
  <c r="J266" i="48"/>
  <c r="J267" i="48" s="1"/>
  <c r="L432" i="48"/>
  <c r="L425" i="48"/>
  <c r="N143" i="48"/>
  <c r="N155" i="48"/>
  <c r="P163" i="14"/>
  <c r="M402" i="48"/>
  <c r="M409" i="48"/>
  <c r="M340" i="48"/>
  <c r="M333" i="48"/>
  <c r="N218" i="48"/>
  <c r="N225" i="48"/>
  <c r="L156" i="48"/>
  <c r="L149" i="48"/>
  <c r="Q281" i="14"/>
  <c r="Q257" i="48" s="1"/>
  <c r="O408" i="48"/>
  <c r="O396" i="48"/>
  <c r="S330" i="14"/>
  <c r="S277" i="14"/>
  <c r="Q96" i="14"/>
  <c r="R457" i="11"/>
  <c r="P140" i="14"/>
  <c r="P141" i="14" s="1"/>
  <c r="M149" i="48"/>
  <c r="M156" i="48"/>
  <c r="L128" i="48"/>
  <c r="L129" i="48" s="1"/>
  <c r="L134" i="48" s="1"/>
  <c r="O195" i="48"/>
  <c r="O202" i="48"/>
  <c r="O278" i="14"/>
  <c r="O254" i="48" s="1"/>
  <c r="O255" i="48" s="1"/>
  <c r="S871" i="11"/>
  <c r="S873" i="11" s="1"/>
  <c r="L195" i="48"/>
  <c r="L202" i="48"/>
  <c r="O304" i="48"/>
  <c r="O307" i="48" s="1"/>
  <c r="O316" i="48"/>
  <c r="S490" i="48"/>
  <c r="M128" i="48"/>
  <c r="M129" i="48" s="1"/>
  <c r="M134" i="48" s="1"/>
  <c r="Q439" i="14"/>
  <c r="T75" i="48"/>
  <c r="P409" i="48"/>
  <c r="P402" i="48"/>
  <c r="Q416" i="14"/>
  <c r="U162" i="14"/>
  <c r="T89" i="41" s="1"/>
  <c r="T91" i="41" s="1"/>
  <c r="K243" i="48"/>
  <c r="K244" i="48" s="1"/>
  <c r="K249" i="48" s="1"/>
  <c r="Q385" i="48"/>
  <c r="Q373" i="48"/>
  <c r="Q376" i="48" s="1"/>
  <c r="N404" i="48"/>
  <c r="N405" i="48" s="1"/>
  <c r="N410" i="48" s="1"/>
  <c r="P439" i="14"/>
  <c r="S960" i="11"/>
  <c r="S962" i="11" s="1"/>
  <c r="T69" i="14"/>
  <c r="S12" i="41" s="1"/>
  <c r="S284" i="14"/>
  <c r="Q209" i="14"/>
  <c r="N167" i="14"/>
  <c r="H87" i="40" s="1"/>
  <c r="S70" i="14"/>
  <c r="J134" i="48"/>
  <c r="L110" i="48"/>
  <c r="L102" i="48"/>
  <c r="P57" i="48"/>
  <c r="P58" i="48" s="1"/>
  <c r="P63" i="48" s="1"/>
  <c r="N120" i="48"/>
  <c r="N132" i="48"/>
  <c r="N304" i="48"/>
  <c r="N316" i="48"/>
  <c r="S139" i="14"/>
  <c r="O385" i="48"/>
  <c r="O373" i="48"/>
  <c r="J439" i="48"/>
  <c r="T241" i="11"/>
  <c r="M110" i="48"/>
  <c r="M102" i="48"/>
  <c r="M379" i="48"/>
  <c r="M386" i="48"/>
  <c r="N279" i="14"/>
  <c r="N282" i="14" s="1"/>
  <c r="H27" i="46" s="1"/>
  <c r="O164" i="14"/>
  <c r="O167" i="14" s="1"/>
  <c r="I87" i="40" s="1"/>
  <c r="T215" i="14"/>
  <c r="S191" i="41" s="1"/>
  <c r="Q20" i="14"/>
  <c r="L370" i="14"/>
  <c r="L371" i="14" s="1"/>
  <c r="L386" i="14" s="1"/>
  <c r="E200" i="45"/>
  <c r="D50" i="47" s="1"/>
  <c r="P534" i="11"/>
  <c r="P536" i="11" s="1"/>
  <c r="P522" i="11" s="1"/>
  <c r="S192" i="11"/>
  <c r="N485" i="14"/>
  <c r="Q235" i="14"/>
  <c r="Q211" i="48" s="1"/>
  <c r="K371" i="14"/>
  <c r="K374" i="14" s="1"/>
  <c r="K377" i="14" s="1"/>
  <c r="K380" i="14" s="1"/>
  <c r="K382" i="14" s="1"/>
  <c r="K383" i="14" s="1"/>
  <c r="K388" i="14" s="1"/>
  <c r="R115" i="14"/>
  <c r="R91" i="48" s="1"/>
  <c r="L40" i="40" s="1"/>
  <c r="T238" i="14"/>
  <c r="J243" i="48"/>
  <c r="J244" i="48" s="1"/>
  <c r="P324" i="14"/>
  <c r="P300" i="48" s="1"/>
  <c r="P386" i="48"/>
  <c r="P379" i="48"/>
  <c r="O141" i="14"/>
  <c r="O144" i="14" s="1"/>
  <c r="O147" i="14" s="1"/>
  <c r="N66" i="41" s="1"/>
  <c r="N67" i="41" s="1"/>
  <c r="P1420" i="11"/>
  <c r="L261" i="48"/>
  <c r="N419" i="48"/>
  <c r="N431" i="48"/>
  <c r="P350" i="14"/>
  <c r="P212" i="48"/>
  <c r="J96" i="40" s="1"/>
  <c r="J387" i="48"/>
  <c r="Q212" i="14"/>
  <c r="Q188" i="48" s="1"/>
  <c r="T353" i="14"/>
  <c r="T329" i="48" s="1"/>
  <c r="M197" i="48"/>
  <c r="M198" i="48" s="1"/>
  <c r="M203" i="48" s="1"/>
  <c r="M312" i="48"/>
  <c r="M313" i="48" s="1"/>
  <c r="M318" i="48" s="1"/>
  <c r="F176" i="45"/>
  <c r="D14" i="47"/>
  <c r="R16" i="47" s="1"/>
  <c r="M1159" i="11"/>
  <c r="V477" i="11"/>
  <c r="V700" i="11"/>
  <c r="V551" i="11"/>
  <c r="V223" i="11"/>
  <c r="J74" i="45"/>
  <c r="H35" i="47" s="1"/>
  <c r="J180" i="45"/>
  <c r="I53" i="42"/>
  <c r="I21" i="46"/>
  <c r="H51" i="45"/>
  <c r="F19" i="47" s="1"/>
  <c r="H179" i="45"/>
  <c r="H185" i="45" s="1"/>
  <c r="U244" i="11"/>
  <c r="U99" i="14" s="1"/>
  <c r="U721" i="11"/>
  <c r="U577" i="11"/>
  <c r="U569" i="11" s="1"/>
  <c r="U307" i="14" s="1"/>
  <c r="U726" i="11"/>
  <c r="U249" i="11"/>
  <c r="I855" i="43"/>
  <c r="K191" i="45"/>
  <c r="K182" i="45"/>
  <c r="I82" i="45"/>
  <c r="G38" i="47" s="1"/>
  <c r="G39" i="47" s="1"/>
  <c r="I189" i="45"/>
  <c r="J78" i="45"/>
  <c r="H37" i="47" s="1"/>
  <c r="J172" i="45"/>
  <c r="G55" i="45"/>
  <c r="E21" i="47" s="1"/>
  <c r="G171" i="45"/>
  <c r="G175" i="45" s="1"/>
  <c r="K103" i="45"/>
  <c r="I27" i="47" s="1"/>
  <c r="I28" i="47" s="1"/>
  <c r="K111" i="45"/>
  <c r="I30" i="47" s="1"/>
  <c r="I31" i="47" s="1"/>
  <c r="R561" i="11"/>
  <c r="R300" i="14" s="1"/>
  <c r="R560" i="11"/>
  <c r="L102" i="45" s="1"/>
  <c r="L110" i="45" s="1"/>
  <c r="L10" i="45"/>
  <c r="L9" i="45" s="1"/>
  <c r="R1327" i="11"/>
  <c r="R1331" i="11" s="1"/>
  <c r="S558" i="11"/>
  <c r="T1394" i="11"/>
  <c r="N99" i="45"/>
  <c r="N98" i="45" s="1"/>
  <c r="L109" i="45"/>
  <c r="L190" i="45" s="1"/>
  <c r="R1400" i="11"/>
  <c r="R1402" i="11" s="1"/>
  <c r="S1396" i="11"/>
  <c r="S1398" i="11" s="1"/>
  <c r="M101" i="45"/>
  <c r="M181" i="45" s="1"/>
  <c r="Q1040" i="43"/>
  <c r="Q1104" i="43" s="1"/>
  <c r="Q1101" i="43" s="1"/>
  <c r="J80" i="45"/>
  <c r="S1209" i="43"/>
  <c r="O1418" i="11"/>
  <c r="I67" i="45"/>
  <c r="P1375" i="11"/>
  <c r="R709" i="11"/>
  <c r="L73" i="45" s="1"/>
  <c r="L81" i="45" s="1"/>
  <c r="R710" i="11"/>
  <c r="R711" i="11" s="1"/>
  <c r="R1353" i="11"/>
  <c r="L64" i="45"/>
  <c r="Q1355" i="11"/>
  <c r="K66" i="45" s="1"/>
  <c r="K65" i="45"/>
  <c r="R1366" i="11"/>
  <c r="R1369" i="11"/>
  <c r="R1374" i="11"/>
  <c r="L70" i="45"/>
  <c r="L69" i="45" s="1"/>
  <c r="R1368" i="11"/>
  <c r="R1370" i="11"/>
  <c r="P1358" i="11"/>
  <c r="K72" i="45"/>
  <c r="K180" i="45" s="1"/>
  <c r="Q1372" i="11"/>
  <c r="R1357" i="11"/>
  <c r="R1351" i="11"/>
  <c r="R1352" i="11"/>
  <c r="R1349" i="11"/>
  <c r="S1346" i="11"/>
  <c r="S1363" i="11"/>
  <c r="S1435" i="11" s="1"/>
  <c r="I690" i="43"/>
  <c r="T39" i="43"/>
  <c r="T979" i="43" s="1"/>
  <c r="T980" i="43" s="1"/>
  <c r="L245" i="14"/>
  <c r="L250" i="14" s="1"/>
  <c r="S1083" i="43"/>
  <c r="T335" i="43"/>
  <c r="T771" i="43"/>
  <c r="T791" i="43" s="1"/>
  <c r="T793" i="43" s="1"/>
  <c r="T1080" i="43"/>
  <c r="T1078" i="43"/>
  <c r="T1085" i="43"/>
  <c r="T1088" i="43"/>
  <c r="T1074" i="43"/>
  <c r="T1077" i="43"/>
  <c r="T1076" i="43"/>
  <c r="T1087" i="43"/>
  <c r="T1075" i="43"/>
  <c r="T1216" i="43"/>
  <c r="T1218" i="43" s="1"/>
  <c r="T1220" i="43" s="1"/>
  <c r="T1222" i="43" s="1"/>
  <c r="T1079" i="43"/>
  <c r="T1086" i="43"/>
  <c r="T1084" i="43"/>
  <c r="T770" i="43"/>
  <c r="V1071" i="43"/>
  <c r="V23" i="43"/>
  <c r="V38" i="43" s="1"/>
  <c r="V1016" i="43"/>
  <c r="U1071" i="43"/>
  <c r="U1098" i="43" s="1"/>
  <c r="U1016" i="43"/>
  <c r="U23" i="43"/>
  <c r="U38" i="43" s="1"/>
  <c r="R1095" i="43"/>
  <c r="R1100" i="43" s="1"/>
  <c r="R1099" i="43"/>
  <c r="S1026" i="43"/>
  <c r="S695" i="43"/>
  <c r="V37" i="43"/>
  <c r="U37" i="43"/>
  <c r="U77" i="43" s="1"/>
  <c r="R1038" i="43"/>
  <c r="R1028" i="43" s="1"/>
  <c r="R1035" i="43" s="1"/>
  <c r="S1034" i="43"/>
  <c r="I331" i="43"/>
  <c r="S1081" i="43"/>
  <c r="T1024" i="43"/>
  <c r="T1019" i="43"/>
  <c r="T1030" i="43"/>
  <c r="T1032" i="43"/>
  <c r="T1029" i="43"/>
  <c r="T1031" i="43"/>
  <c r="T1023" i="43"/>
  <c r="T1033" i="43"/>
  <c r="T1021" i="43"/>
  <c r="T1022" i="43"/>
  <c r="T1020" i="43"/>
  <c r="T1025" i="43"/>
  <c r="S564" i="11"/>
  <c r="R458" i="11"/>
  <c r="Q1406" i="11"/>
  <c r="L41" i="45"/>
  <c r="L39" i="45" s="1"/>
  <c r="Q1417" i="11"/>
  <c r="K53" i="40" s="1"/>
  <c r="I33" i="42"/>
  <c r="I49" i="45"/>
  <c r="I179" i="45" s="1"/>
  <c r="I185" i="45" s="1"/>
  <c r="O1269" i="11"/>
  <c r="I32" i="42" s="1"/>
  <c r="I42" i="45"/>
  <c r="T555" i="11"/>
  <c r="N1270" i="11"/>
  <c r="H35" i="42" s="1"/>
  <c r="H44" i="45"/>
  <c r="H43" i="45"/>
  <c r="M763" i="11"/>
  <c r="O1270" i="11"/>
  <c r="I35" i="42" s="1"/>
  <c r="I44" i="45"/>
  <c r="I43" i="45"/>
  <c r="R1408" i="11"/>
  <c r="R1410" i="11" s="1"/>
  <c r="L47" i="45"/>
  <c r="L46" i="45" s="1"/>
  <c r="S486" i="11"/>
  <c r="M14" i="45" s="1"/>
  <c r="M23" i="45" s="1"/>
  <c r="S487" i="11"/>
  <c r="S488" i="11" s="1"/>
  <c r="S453" i="11"/>
  <c r="S451" i="11"/>
  <c r="M13" i="45" s="1"/>
  <c r="M22" i="45" s="1"/>
  <c r="T449" i="11"/>
  <c r="R492" i="11"/>
  <c r="R715" i="11"/>
  <c r="R208" i="14"/>
  <c r="R184" i="48" s="1"/>
  <c r="L49" i="40" s="1"/>
  <c r="R238" i="11"/>
  <c r="Q171" i="41"/>
  <c r="Q173" i="41" s="1"/>
  <c r="R566" i="11"/>
  <c r="R1283" i="11"/>
  <c r="R1284" i="11"/>
  <c r="R1285" i="11"/>
  <c r="R1282" i="11"/>
  <c r="R1286" i="11"/>
  <c r="J186" i="41"/>
  <c r="O629" i="43"/>
  <c r="O631" i="43" s="1"/>
  <c r="O607" i="43" s="1"/>
  <c r="O592" i="43"/>
  <c r="T571" i="43"/>
  <c r="T573" i="43" s="1"/>
  <c r="T614" i="43" s="1"/>
  <c r="T616" i="43" s="1"/>
  <c r="U570" i="43"/>
  <c r="T494" i="43"/>
  <c r="T518" i="43"/>
  <c r="T512" i="43"/>
  <c r="T488" i="43"/>
  <c r="T535" i="43"/>
  <c r="T506" i="43"/>
  <c r="Q586" i="43"/>
  <c r="R585" i="43"/>
  <c r="V161" i="43"/>
  <c r="V391" i="43"/>
  <c r="V347" i="43"/>
  <c r="S780" i="43"/>
  <c r="S782" i="43" s="1"/>
  <c r="S791" i="43"/>
  <c r="S793" i="43" s="1"/>
  <c r="P588" i="43"/>
  <c r="P591" i="43"/>
  <c r="U347" i="43"/>
  <c r="U350" i="43" s="1"/>
  <c r="U391" i="43"/>
  <c r="U394" i="43" s="1"/>
  <c r="U161" i="43"/>
  <c r="U164" i="43" s="1"/>
  <c r="V685" i="43"/>
  <c r="V692" i="43"/>
  <c r="U692" i="43"/>
  <c r="U685" i="43"/>
  <c r="U693" i="43" s="1"/>
  <c r="N603" i="43"/>
  <c r="N605" i="43" s="1"/>
  <c r="N600" i="43" s="1"/>
  <c r="N647" i="43"/>
  <c r="R750" i="11"/>
  <c r="R752" i="11" s="1"/>
  <c r="R793" i="11" s="1"/>
  <c r="R795" i="11" s="1"/>
  <c r="S749" i="11"/>
  <c r="R581" i="43"/>
  <c r="R583" i="43" s="1"/>
  <c r="R624" i="43" s="1"/>
  <c r="R626" i="43" s="1"/>
  <c r="S580" i="43"/>
  <c r="U278" i="43"/>
  <c r="U265" i="43"/>
  <c r="U439" i="43" s="1"/>
  <c r="U441" i="43" s="1"/>
  <c r="V454" i="43"/>
  <c r="V452" i="43"/>
  <c r="V278" i="43"/>
  <c r="V265" i="43"/>
  <c r="V549" i="43"/>
  <c r="U111" i="43"/>
  <c r="U125" i="43"/>
  <c r="T879" i="43"/>
  <c r="T881" i="43" s="1"/>
  <c r="T868" i="43"/>
  <c r="T870" i="43" s="1"/>
  <c r="U454" i="43"/>
  <c r="U452" i="43"/>
  <c r="U498" i="43" s="1"/>
  <c r="U500" i="43" s="1"/>
  <c r="V763" i="43"/>
  <c r="U549" i="43"/>
  <c r="V402" i="43"/>
  <c r="V172" i="43"/>
  <c r="V358" i="43"/>
  <c r="V125" i="43"/>
  <c r="V111" i="43"/>
  <c r="Q755" i="11"/>
  <c r="R754" i="11"/>
  <c r="T713" i="43"/>
  <c r="T715" i="43" s="1"/>
  <c r="T702" i="43"/>
  <c r="T704" i="43" s="1"/>
  <c r="V845" i="43"/>
  <c r="V858" i="43"/>
  <c r="U763" i="43"/>
  <c r="U358" i="43"/>
  <c r="U361" i="43" s="1"/>
  <c r="U402" i="43"/>
  <c r="U405" i="43" s="1"/>
  <c r="U172" i="43"/>
  <c r="U175" i="43" s="1"/>
  <c r="P757" i="11"/>
  <c r="P760" i="11"/>
  <c r="J20" i="40" s="1"/>
  <c r="U766" i="43"/>
  <c r="U768" i="43" s="1"/>
  <c r="V765" i="43"/>
  <c r="V766" i="43" s="1"/>
  <c r="V768" i="43" s="1"/>
  <c r="S456" i="43"/>
  <c r="S576" i="43"/>
  <c r="S578" i="43" s="1"/>
  <c r="S619" i="43" s="1"/>
  <c r="S621" i="43" s="1"/>
  <c r="T575" i="43"/>
  <c r="O798" i="11"/>
  <c r="O800" i="11" s="1"/>
  <c r="O776" i="11" s="1"/>
  <c r="O761" i="11"/>
  <c r="U845" i="43"/>
  <c r="U859" i="43" s="1"/>
  <c r="U858" i="43"/>
  <c r="N369" i="14"/>
  <c r="N816" i="11"/>
  <c r="N772" i="11"/>
  <c r="N774" i="11" s="1"/>
  <c r="N769" i="11" s="1"/>
  <c r="M600" i="43"/>
  <c r="M594" i="43" s="1"/>
  <c r="U566" i="43"/>
  <c r="U568" i="43" s="1"/>
  <c r="U609" i="43" s="1"/>
  <c r="U611" i="43" s="1"/>
  <c r="V565" i="43"/>
  <c r="V566" i="43" s="1"/>
  <c r="V568" i="43" s="1"/>
  <c r="S1178" i="43"/>
  <c r="S1180" i="43" s="1"/>
  <c r="S1186" i="43" s="1"/>
  <c r="S591" i="11"/>
  <c r="S631" i="11" s="1"/>
  <c r="S589" i="11"/>
  <c r="R1315" i="11"/>
  <c r="S1302" i="11"/>
  <c r="S1278" i="11"/>
  <c r="M4" i="45" s="1"/>
  <c r="M2" i="45" s="1"/>
  <c r="R1290" i="11"/>
  <c r="R1292" i="11"/>
  <c r="R1291" i="11"/>
  <c r="R1182" i="43"/>
  <c r="R1184" i="43" s="1"/>
  <c r="R1187" i="43" s="1"/>
  <c r="R1188" i="43" s="1"/>
  <c r="T149" i="43"/>
  <c r="V333" i="43"/>
  <c r="V406" i="11"/>
  <c r="V408" i="11"/>
  <c r="I28" i="43"/>
  <c r="N103" i="14"/>
  <c r="N110" i="14"/>
  <c r="Q716" i="11"/>
  <c r="Q346" i="14"/>
  <c r="M245" i="14"/>
  <c r="M250" i="14" s="1"/>
  <c r="O351" i="14"/>
  <c r="O363" i="14"/>
  <c r="M357" i="14"/>
  <c r="M364" i="14"/>
  <c r="S704" i="11"/>
  <c r="S707" i="11" s="1"/>
  <c r="R713" i="11"/>
  <c r="M515" i="14"/>
  <c r="O509" i="14"/>
  <c r="Q233" i="14"/>
  <c r="K360" i="14"/>
  <c r="L299" i="41"/>
  <c r="L341" i="41" s="1"/>
  <c r="L346" i="41" s="1"/>
  <c r="L348" i="41" s="1"/>
  <c r="S261" i="14"/>
  <c r="U362" i="14"/>
  <c r="U523" i="14"/>
  <c r="U316" i="14"/>
  <c r="T480" i="11"/>
  <c r="T481" i="11" s="1"/>
  <c r="T484" i="11" s="1"/>
  <c r="N242" i="14"/>
  <c r="N249" i="14"/>
  <c r="S490" i="11"/>
  <c r="R231" i="14"/>
  <c r="R207" i="48" s="1"/>
  <c r="R493" i="11"/>
  <c r="N27" i="40"/>
  <c r="P236" i="14"/>
  <c r="P248" i="14"/>
  <c r="P137" i="41"/>
  <c r="U224" i="14"/>
  <c r="U247" i="14"/>
  <c r="U445" i="11"/>
  <c r="U503" i="11"/>
  <c r="U498" i="11"/>
  <c r="T495" i="11"/>
  <c r="V1275" i="11"/>
  <c r="Q140" i="41"/>
  <c r="Q142" i="41" s="1"/>
  <c r="M18" i="40"/>
  <c r="S440" i="11"/>
  <c r="R1124" i="43"/>
  <c r="T1130" i="43"/>
  <c r="V306" i="43"/>
  <c r="V311" i="43"/>
  <c r="V321" i="43"/>
  <c r="U292" i="43"/>
  <c r="L16" i="40"/>
  <c r="L22" i="40" s="1"/>
  <c r="L6" i="40" s="1"/>
  <c r="S1166" i="43"/>
  <c r="U204" i="43"/>
  <c r="U238" i="43"/>
  <c r="U226" i="43"/>
  <c r="U215" i="43"/>
  <c r="U232" i="43"/>
  <c r="U244" i="43"/>
  <c r="T1148" i="43"/>
  <c r="T189" i="43"/>
  <c r="T433" i="43" s="1"/>
  <c r="T435" i="43" s="1"/>
  <c r="T421" i="43" s="1"/>
  <c r="U1115" i="43"/>
  <c r="U1128" i="43"/>
  <c r="U1116" i="43"/>
  <c r="U1129" i="43"/>
  <c r="U1165" i="43"/>
  <c r="U1120" i="43"/>
  <c r="U1119" i="43"/>
  <c r="U1125" i="43"/>
  <c r="U1126" i="43"/>
  <c r="U1118" i="43"/>
  <c r="U1121" i="43"/>
  <c r="U1127" i="43"/>
  <c r="U1117" i="43"/>
  <c r="S1133" i="43"/>
  <c r="S1171" i="43" s="1"/>
  <c r="S1170" i="43"/>
  <c r="V1138" i="43"/>
  <c r="V1112" i="43"/>
  <c r="V185" i="43"/>
  <c r="V187" i="43"/>
  <c r="V177" i="43"/>
  <c r="V176" i="43" s="1"/>
  <c r="T1122" i="43"/>
  <c r="U1147" i="43"/>
  <c r="U1155" i="43"/>
  <c r="U1142" i="43"/>
  <c r="U1144" i="43"/>
  <c r="U1145" i="43"/>
  <c r="U1227" i="43"/>
  <c r="U1229" i="43" s="1"/>
  <c r="U1232" i="43" s="1"/>
  <c r="U1153" i="43"/>
  <c r="U1143" i="43"/>
  <c r="U1151" i="43"/>
  <c r="U1146" i="43"/>
  <c r="U1152" i="43"/>
  <c r="U1141" i="43"/>
  <c r="T1055" i="43"/>
  <c r="T1010" i="43"/>
  <c r="S1068" i="43"/>
  <c r="V1053" i="43"/>
  <c r="V1049" i="43"/>
  <c r="V1211" i="43"/>
  <c r="V1213" i="43" s="1"/>
  <c r="V1052" i="43"/>
  <c r="V1048" i="43"/>
  <c r="V1050" i="43"/>
  <c r="V1051" i="43"/>
  <c r="V1054" i="43"/>
  <c r="S971" i="43"/>
  <c r="U1062" i="43"/>
  <c r="U995" i="43"/>
  <c r="U1001" i="43"/>
  <c r="U996" i="43"/>
  <c r="U1059" i="43"/>
  <c r="U1061" i="43"/>
  <c r="U998" i="43"/>
  <c r="U997" i="43"/>
  <c r="U1009" i="43"/>
  <c r="U1006" i="43"/>
  <c r="U1008" i="43"/>
  <c r="U1058" i="43"/>
  <c r="U1005" i="43"/>
  <c r="U1000" i="43"/>
  <c r="U1060" i="43"/>
  <c r="U1007" i="43"/>
  <c r="U999" i="43"/>
  <c r="T1057" i="43"/>
  <c r="S1013" i="43"/>
  <c r="S1004" i="43" s="1"/>
  <c r="S1011" i="43" s="1"/>
  <c r="U1051" i="43"/>
  <c r="U1048" i="43"/>
  <c r="U1049" i="43"/>
  <c r="U1211" i="43"/>
  <c r="U1213" i="43" s="1"/>
  <c r="U1054" i="43"/>
  <c r="U1050" i="43"/>
  <c r="U1052" i="43"/>
  <c r="U1053" i="43"/>
  <c r="V1062" i="43"/>
  <c r="V1006" i="43"/>
  <c r="V1005" i="43"/>
  <c r="V1009" i="43"/>
  <c r="V1000" i="43"/>
  <c r="V1059" i="43"/>
  <c r="V1058" i="43"/>
  <c r="V995" i="43"/>
  <c r="V998" i="43"/>
  <c r="V1060" i="43"/>
  <c r="V1001" i="43"/>
  <c r="V1007" i="43"/>
  <c r="V997" i="43"/>
  <c r="V996" i="43"/>
  <c r="V999" i="43"/>
  <c r="V1008" i="43"/>
  <c r="V1061" i="43"/>
  <c r="T1002" i="43"/>
  <c r="T950" i="43"/>
  <c r="T983" i="43" s="1"/>
  <c r="T985" i="43" s="1"/>
  <c r="T973" i="43"/>
  <c r="T975" i="43" s="1"/>
  <c r="N25" i="40"/>
  <c r="S260" i="11"/>
  <c r="M19" i="40"/>
  <c r="L12" i="40"/>
  <c r="L5" i="40" s="1"/>
  <c r="R1415" i="11"/>
  <c r="R1425" i="11"/>
  <c r="R1314" i="11"/>
  <c r="R1310" i="11"/>
  <c r="R1316" i="11"/>
  <c r="R1308" i="11"/>
  <c r="R1309" i="11"/>
  <c r="R1307" i="11"/>
  <c r="R1306" i="11"/>
  <c r="R1200" i="11"/>
  <c r="R1264" i="11"/>
  <c r="P1265" i="11"/>
  <c r="J49" i="45" s="1"/>
  <c r="Q1204" i="11"/>
  <c r="Q1197" i="11"/>
  <c r="Q1208" i="11" s="1"/>
  <c r="Q1199" i="11" s="1"/>
  <c r="P1205" i="11"/>
  <c r="R1203" i="11"/>
  <c r="Q1175" i="11"/>
  <c r="R1201" i="11"/>
  <c r="O1177" i="11"/>
  <c r="O1183" i="11" s="1"/>
  <c r="Q1248" i="11"/>
  <c r="R1247" i="11"/>
  <c r="R1244" i="11"/>
  <c r="R1246" i="11"/>
  <c r="R1245" i="11"/>
  <c r="R1251" i="11"/>
  <c r="R1243" i="11"/>
  <c r="R1254" i="11"/>
  <c r="R1253" i="11"/>
  <c r="R1252" i="11"/>
  <c r="R1242" i="11"/>
  <c r="R1195" i="11"/>
  <c r="P1261" i="11"/>
  <c r="R1196" i="11"/>
  <c r="R1202" i="11"/>
  <c r="P1185" i="11"/>
  <c r="P1177" i="11" s="1"/>
  <c r="P1183" i="11" s="1"/>
  <c r="P1206" i="11"/>
  <c r="Q1250" i="11"/>
  <c r="R1192" i="11"/>
  <c r="R1194" i="11"/>
  <c r="R1193" i="11"/>
  <c r="S1188" i="11"/>
  <c r="S1239" i="11"/>
  <c r="S1413" i="11" s="1"/>
  <c r="R1191" i="11"/>
  <c r="Q1182" i="11"/>
  <c r="R1179" i="11"/>
  <c r="R1227" i="11"/>
  <c r="R1228" i="11"/>
  <c r="R1229" i="11"/>
  <c r="R1170" i="11"/>
  <c r="R1174" i="11"/>
  <c r="R1169" i="11"/>
  <c r="R1181" i="11"/>
  <c r="Q1224" i="11"/>
  <c r="R1171" i="11"/>
  <c r="R1180" i="11"/>
  <c r="R1172" i="11"/>
  <c r="R1178" i="11"/>
  <c r="R1173" i="11"/>
  <c r="S1166" i="11"/>
  <c r="S1215" i="11"/>
  <c r="R1218" i="11"/>
  <c r="R1223" i="11"/>
  <c r="R1222" i="11"/>
  <c r="R1221" i="11"/>
  <c r="R1220" i="11"/>
  <c r="R1219" i="11"/>
  <c r="N35" i="41"/>
  <c r="U68" i="14"/>
  <c r="T7" i="41" s="1"/>
  <c r="T9" i="41" s="1"/>
  <c r="R38" i="11"/>
  <c r="U1106" i="11"/>
  <c r="R76" i="14"/>
  <c r="Q25" i="41" s="1"/>
  <c r="Q26" i="41" s="1"/>
  <c r="M14" i="40"/>
  <c r="S37" i="11"/>
  <c r="S60" i="11" s="1"/>
  <c r="S75" i="14"/>
  <c r="R27" i="41" s="1"/>
  <c r="T34" i="11"/>
  <c r="V1163" i="11"/>
  <c r="M173" i="14"/>
  <c r="M175" i="14" s="1"/>
  <c r="M180" i="14"/>
  <c r="U201" i="14"/>
  <c r="J115" i="41"/>
  <c r="J117" i="41"/>
  <c r="L112" i="41"/>
  <c r="L115" i="41" s="1"/>
  <c r="J281" i="41"/>
  <c r="U463" i="11"/>
  <c r="U468" i="11"/>
  <c r="U188" i="11"/>
  <c r="T518" i="11"/>
  <c r="N30" i="40"/>
  <c r="N7" i="40" s="1"/>
  <c r="O7" i="40" s="1"/>
  <c r="T455" i="11"/>
  <c r="P22" i="41"/>
  <c r="P29" i="41" s="1"/>
  <c r="L288" i="14"/>
  <c r="L290" i="14" s="1"/>
  <c r="M150" i="14"/>
  <c r="V176" i="11"/>
  <c r="V213" i="11" s="1"/>
  <c r="V184" i="11"/>
  <c r="V441" i="11"/>
  <c r="V170" i="11"/>
  <c r="L295" i="14"/>
  <c r="K238" i="41"/>
  <c r="K240" i="41"/>
  <c r="L227" i="41"/>
  <c r="L234" i="41" s="1"/>
  <c r="T191" i="11"/>
  <c r="T460" i="11"/>
  <c r="J34" i="40"/>
  <c r="O1142" i="11"/>
  <c r="O1144" i="11" s="1"/>
  <c r="O1140" i="11" s="1"/>
  <c r="S29" i="11"/>
  <c r="M13" i="40"/>
  <c r="J33" i="40"/>
  <c r="N1119" i="11"/>
  <c r="S252" i="11"/>
  <c r="S251" i="11" s="1"/>
  <c r="M17" i="40"/>
  <c r="M21" i="40" s="1"/>
  <c r="J268" i="14"/>
  <c r="J273" i="14" s="1"/>
  <c r="T363" i="11"/>
  <c r="Q190" i="11"/>
  <c r="R202" i="11"/>
  <c r="R205" i="11" s="1"/>
  <c r="Q436" i="11"/>
  <c r="Q410" i="11" s="1"/>
  <c r="U84" i="14"/>
  <c r="W135" i="39"/>
  <c r="W134" i="39"/>
  <c r="BO60" i="38"/>
  <c r="BO63" i="38"/>
  <c r="BY63" i="38"/>
  <c r="BY62" i="38"/>
  <c r="BY67" i="38"/>
  <c r="BY64" i="38"/>
  <c r="BO70" i="38"/>
  <c r="BO62" i="38"/>
  <c r="BO69" i="38"/>
  <c r="BY68" i="38"/>
  <c r="BY58" i="38"/>
  <c r="BO66" i="38"/>
  <c r="BY70" i="38"/>
  <c r="BY59" i="38"/>
  <c r="BO65" i="38"/>
  <c r="BY69" i="38"/>
  <c r="BO61" i="38"/>
  <c r="BY66" i="38"/>
  <c r="BO59" i="38"/>
  <c r="BO64" i="38"/>
  <c r="BY60" i="38"/>
  <c r="BO68" i="38"/>
  <c r="BO58" i="38"/>
  <c r="BY61" i="38"/>
  <c r="BO67" i="38"/>
  <c r="U14" i="19"/>
  <c r="V12" i="19"/>
  <c r="BZ61" i="38"/>
  <c r="BZ60" i="38"/>
  <c r="BZ66" i="38"/>
  <c r="BZ58" i="38"/>
  <c r="BZ69" i="38"/>
  <c r="BZ63" i="38"/>
  <c r="BZ67" i="38"/>
  <c r="BZ59" i="38"/>
  <c r="BZ64" i="38"/>
  <c r="BZ68" i="38"/>
  <c r="BZ65" i="38"/>
  <c r="BZ62" i="38"/>
  <c r="BZ70" i="38"/>
  <c r="R58" i="35"/>
  <c r="R61" i="35"/>
  <c r="S61" i="35"/>
  <c r="S58" i="35"/>
  <c r="U22" i="35"/>
  <c r="U21" i="35"/>
  <c r="U14" i="35"/>
  <c r="V8" i="35"/>
  <c r="V9" i="35"/>
  <c r="V11" i="35"/>
  <c r="V12" i="35" s="1"/>
  <c r="V8" i="36"/>
  <c r="V11" i="36"/>
  <c r="V12" i="36" s="1"/>
  <c r="V9" i="36"/>
  <c r="U22" i="36"/>
  <c r="U21" i="36"/>
  <c r="U14" i="36"/>
  <c r="T70" i="24"/>
  <c r="T70" i="25" s="1"/>
  <c r="U78" i="24"/>
  <c r="U78" i="25" s="1"/>
  <c r="S90" i="23"/>
  <c r="R79" i="24"/>
  <c r="R79" i="25" s="1"/>
  <c r="S84" i="23"/>
  <c r="R73" i="24"/>
  <c r="R73" i="25" s="1"/>
  <c r="U96" i="15"/>
  <c r="U360" i="11"/>
  <c r="U361" i="11" s="1"/>
  <c r="R32" i="28"/>
  <c r="R82" i="23"/>
  <c r="S32" i="28"/>
  <c r="S82" i="23"/>
  <c r="U734" i="11"/>
  <c r="U735" i="11" s="1"/>
  <c r="U737" i="11" s="1"/>
  <c r="U778" i="11" s="1"/>
  <c r="U780" i="11" s="1"/>
  <c r="T365" i="11"/>
  <c r="U40" i="28"/>
  <c r="U45" i="28"/>
  <c r="U88" i="23" s="1"/>
  <c r="V11" i="28"/>
  <c r="V12" i="28" s="1"/>
  <c r="V9" i="28"/>
  <c r="V35" i="28" s="1"/>
  <c r="V8" i="28"/>
  <c r="V52" i="28" s="1"/>
  <c r="U14" i="28"/>
  <c r="U1021" i="11"/>
  <c r="U1022" i="11" s="1"/>
  <c r="U1024" i="11" s="1"/>
  <c r="V104" i="15"/>
  <c r="S535" i="11"/>
  <c r="S541" i="11" s="1"/>
  <c r="U513" i="11"/>
  <c r="U514" i="11" s="1"/>
  <c r="U1391" i="11" s="1"/>
  <c r="T516" i="11"/>
  <c r="U1094" i="11"/>
  <c r="U1096" i="11" s="1"/>
  <c r="U1097" i="11" s="1"/>
  <c r="R864" i="11"/>
  <c r="U739" i="11"/>
  <c r="U740" i="11" s="1"/>
  <c r="U742" i="11" s="1"/>
  <c r="U783" i="11" s="1"/>
  <c r="U785" i="11" s="1"/>
  <c r="U1099" i="11"/>
  <c r="U1103" i="11" s="1"/>
  <c r="U856" i="11"/>
  <c r="U857" i="11" s="1"/>
  <c r="U859" i="11" s="1"/>
  <c r="O449" i="14"/>
  <c r="O451" i="14" s="1"/>
  <c r="O452" i="14" s="1"/>
  <c r="O457" i="14" s="1"/>
  <c r="T861" i="11"/>
  <c r="S415" i="14"/>
  <c r="S391" i="48" s="1"/>
  <c r="S392" i="14"/>
  <c r="S368" i="48" s="1"/>
  <c r="S882" i="11"/>
  <c r="S884" i="11" s="1"/>
  <c r="N455" i="14"/>
  <c r="U929" i="11"/>
  <c r="U930" i="11" s="1"/>
  <c r="U932" i="11" s="1"/>
  <c r="U1016" i="11"/>
  <c r="U1017" i="11" s="1"/>
  <c r="U1019" i="11" s="1"/>
  <c r="S949" i="11"/>
  <c r="S951" i="11" s="1"/>
  <c r="U851" i="11"/>
  <c r="U852" i="11" s="1"/>
  <c r="U854" i="11" s="1"/>
  <c r="T854" i="11"/>
  <c r="T862" i="11" s="1"/>
  <c r="U744" i="11"/>
  <c r="U745" i="11" s="1"/>
  <c r="U747" i="11" s="1"/>
  <c r="U788" i="11" s="1"/>
  <c r="U790" i="11" s="1"/>
  <c r="T940" i="11"/>
  <c r="T939" i="11"/>
  <c r="U934" i="11"/>
  <c r="U935" i="11" s="1"/>
  <c r="U937" i="11" s="1"/>
  <c r="U1011" i="11"/>
  <c r="U1012" i="11" s="1"/>
  <c r="U1014" i="11" s="1"/>
  <c r="M486" i="14"/>
  <c r="M501" i="14" s="1"/>
  <c r="R942" i="11"/>
  <c r="R1030" i="11"/>
  <c r="V813" i="11"/>
  <c r="V634" i="11"/>
  <c r="V887" i="11"/>
  <c r="R71" i="11"/>
  <c r="V965" i="11"/>
  <c r="R60" i="11"/>
  <c r="R465" i="14"/>
  <c r="U468" i="14"/>
  <c r="S818" i="11"/>
  <c r="S373" i="14" s="1"/>
  <c r="S349" i="48" s="1"/>
  <c r="Q264" i="11"/>
  <c r="S686" i="11"/>
  <c r="S327" i="14" s="1"/>
  <c r="S303" i="48" s="1"/>
  <c r="T146" i="14"/>
  <c r="S68" i="41" s="1"/>
  <c r="P116" i="14"/>
  <c r="S891" i="11"/>
  <c r="S396" i="14" s="1"/>
  <c r="S372" i="48" s="1"/>
  <c r="U646" i="11"/>
  <c r="T647" i="11"/>
  <c r="U1080" i="11"/>
  <c r="T1082" i="11"/>
  <c r="U282" i="11"/>
  <c r="T284" i="11"/>
  <c r="T476" i="11" s="1"/>
  <c r="T699" i="11" s="1"/>
  <c r="U454" i="14"/>
  <c r="U339" i="14"/>
  <c r="U155" i="14"/>
  <c r="U385" i="14"/>
  <c r="U178" i="14"/>
  <c r="U408" i="14"/>
  <c r="U431" i="14"/>
  <c r="U477" i="14"/>
  <c r="U36" i="14"/>
  <c r="U500" i="14"/>
  <c r="U270" i="14"/>
  <c r="U293" i="14"/>
  <c r="U131" i="14"/>
  <c r="P21" i="14"/>
  <c r="P21" i="48" s="1"/>
  <c r="P1148" i="11"/>
  <c r="P1149" i="11" s="1"/>
  <c r="V961" i="11"/>
  <c r="V41" i="11"/>
  <c r="V266" i="11"/>
  <c r="V268" i="11" s="1"/>
  <c r="V1538" i="11"/>
  <c r="V1542" i="11" s="1"/>
  <c r="V867" i="11"/>
  <c r="V1033" i="11"/>
  <c r="V445" i="14" s="1"/>
  <c r="V421" i="48" s="1"/>
  <c r="I421" i="48" s="1"/>
  <c r="V945" i="11"/>
  <c r="V767" i="11"/>
  <c r="V15" i="11"/>
  <c r="S379" i="11"/>
  <c r="S161" i="11" s="1"/>
  <c r="S164" i="11" s="1"/>
  <c r="V335" i="11"/>
  <c r="V348" i="11" s="1"/>
  <c r="U348" i="11"/>
  <c r="U336" i="11"/>
  <c r="T349" i="11"/>
  <c r="U955" i="11"/>
  <c r="T957" i="11"/>
  <c r="T520" i="11"/>
  <c r="R540" i="11"/>
  <c r="R542" i="11" s="1"/>
  <c r="R119" i="14"/>
  <c r="R95" i="48" s="1"/>
  <c r="U677" i="11"/>
  <c r="T688" i="11"/>
  <c r="U68" i="11"/>
  <c r="T69" i="11"/>
  <c r="U992" i="11"/>
  <c r="T994" i="11"/>
  <c r="U338" i="11"/>
  <c r="T351" i="11"/>
  <c r="T550" i="11" s="1"/>
  <c r="U682" i="11"/>
  <c r="T693" i="11"/>
  <c r="U997" i="11"/>
  <c r="T999" i="11"/>
  <c r="U371" i="11"/>
  <c r="U376" i="11"/>
  <c r="U391" i="11"/>
  <c r="U602" i="11"/>
  <c r="U607" i="11"/>
  <c r="N446" i="14"/>
  <c r="V331" i="11"/>
  <c r="V344" i="11" s="1"/>
  <c r="U344" i="11"/>
  <c r="U276" i="11"/>
  <c r="T277" i="11"/>
  <c r="U1075" i="11"/>
  <c r="T1077" i="11"/>
  <c r="S1028" i="11"/>
  <c r="V914" i="11"/>
  <c r="V916" i="11" s="1"/>
  <c r="U916" i="11"/>
  <c r="U57" i="11"/>
  <c r="T58" i="11"/>
  <c r="V904" i="11"/>
  <c r="V906" i="11" s="1"/>
  <c r="U906" i="11"/>
  <c r="Q593" i="11"/>
  <c r="U678" i="11"/>
  <c r="T689" i="11"/>
  <c r="V337" i="11"/>
  <c r="V350" i="11" s="1"/>
  <c r="U350" i="11"/>
  <c r="U86" i="11"/>
  <c r="T87" i="11"/>
  <c r="U585" i="11"/>
  <c r="T586" i="11"/>
  <c r="N29" i="40" s="1"/>
  <c r="N9" i="40" s="1"/>
  <c r="V333" i="11"/>
  <c r="V346" i="11" s="1"/>
  <c r="U346" i="11"/>
  <c r="R655" i="11"/>
  <c r="U679" i="11"/>
  <c r="T690" i="11"/>
  <c r="V322" i="11"/>
  <c r="V324" i="11" s="1"/>
  <c r="U324" i="11"/>
  <c r="U1085" i="11"/>
  <c r="T1087" i="11"/>
  <c r="U414" i="11"/>
  <c r="U419" i="11"/>
  <c r="U430" i="11"/>
  <c r="S1057" i="11"/>
  <c r="S442" i="14" s="1"/>
  <c r="S418" i="48" s="1"/>
  <c r="L336" i="14"/>
  <c r="U102" i="11"/>
  <c r="T116" i="11"/>
  <c r="U1065" i="11"/>
  <c r="T1067" i="11"/>
  <c r="U628" i="11"/>
  <c r="T629" i="11"/>
  <c r="U831" i="11"/>
  <c r="T833" i="11"/>
  <c r="V104" i="11"/>
  <c r="V118" i="11" s="1"/>
  <c r="U118" i="11"/>
  <c r="R631" i="11"/>
  <c r="S969" i="11"/>
  <c r="S419" i="14" s="1"/>
  <c r="S395" i="48" s="1"/>
  <c r="N428" i="14"/>
  <c r="V684" i="11"/>
  <c r="V695" i="11" s="1"/>
  <c r="U695" i="11"/>
  <c r="U652" i="11"/>
  <c r="T653" i="11"/>
  <c r="R323" i="14"/>
  <c r="R635" i="11"/>
  <c r="R637" i="11" s="1"/>
  <c r="U826" i="11"/>
  <c r="T828" i="11"/>
  <c r="R672" i="11"/>
  <c r="U1060" i="11"/>
  <c r="T1062" i="11"/>
  <c r="U1070" i="11"/>
  <c r="T1072" i="11"/>
  <c r="R649" i="11"/>
  <c r="U332" i="11"/>
  <c r="T345" i="11"/>
  <c r="O22" i="14"/>
  <c r="N37" i="14"/>
  <c r="N25" i="14"/>
  <c r="H77" i="40" s="1"/>
  <c r="U909" i="11"/>
  <c r="T911" i="11"/>
  <c r="U803" i="11"/>
  <c r="T805" i="11"/>
  <c r="U1043" i="11"/>
  <c r="T1045" i="11"/>
  <c r="U1053" i="11"/>
  <c r="L128" i="14"/>
  <c r="V108" i="11"/>
  <c r="V122" i="11" s="1"/>
  <c r="U122" i="11"/>
  <c r="U808" i="11"/>
  <c r="T810" i="11"/>
  <c r="V101" i="11"/>
  <c r="V115" i="11" s="1"/>
  <c r="U115" i="11"/>
  <c r="U972" i="11"/>
  <c r="T974" i="11"/>
  <c r="V109" i="11"/>
  <c r="V123" i="11" s="1"/>
  <c r="U123" i="11"/>
  <c r="U612" i="11"/>
  <c r="T614" i="11"/>
  <c r="Q39" i="11"/>
  <c r="V51" i="11"/>
  <c r="V52" i="11" s="1"/>
  <c r="U52" i="11"/>
  <c r="V74" i="11"/>
  <c r="V75" i="11" s="1"/>
  <c r="U75" i="11"/>
  <c r="U977" i="11"/>
  <c r="T979" i="11"/>
  <c r="T609" i="11"/>
  <c r="V310" i="11"/>
  <c r="V311" i="11" s="1"/>
  <c r="U311" i="11"/>
  <c r="N132" i="14"/>
  <c r="N120" i="14"/>
  <c r="S384" i="11"/>
  <c r="S386" i="11" s="1"/>
  <c r="S340" i="11"/>
  <c r="S353" i="11"/>
  <c r="S122" i="14" s="1"/>
  <c r="S98" i="48" s="1"/>
  <c r="R319" i="11"/>
  <c r="R307" i="11"/>
  <c r="R313" i="11"/>
  <c r="U103" i="11"/>
  <c r="T117" i="11"/>
  <c r="R301" i="11"/>
  <c r="S394" i="11"/>
  <c r="T1009" i="11"/>
  <c r="T1028" i="11" s="1"/>
  <c r="T1027" i="11"/>
  <c r="R290" i="11"/>
  <c r="U622" i="11"/>
  <c r="T623" i="11"/>
  <c r="U899" i="11"/>
  <c r="T901" i="11"/>
  <c r="U617" i="11"/>
  <c r="T619" i="11"/>
  <c r="V98" i="11"/>
  <c r="V112" i="11" s="1"/>
  <c r="U112" i="11"/>
  <c r="U836" i="11"/>
  <c r="T838" i="11"/>
  <c r="V46" i="11"/>
  <c r="V48" i="11" s="1"/>
  <c r="U48" i="11"/>
  <c r="U298" i="11"/>
  <c r="T299" i="11"/>
  <c r="M38" i="14"/>
  <c r="M28" i="14"/>
  <c r="M39" i="14" s="1"/>
  <c r="U334" i="11"/>
  <c r="T347" i="11"/>
  <c r="R422" i="11"/>
  <c r="R425" i="11" s="1"/>
  <c r="R381" i="11"/>
  <c r="V877" i="11"/>
  <c r="V879" i="11" s="1"/>
  <c r="U879" i="11"/>
  <c r="U328" i="11"/>
  <c r="T341" i="11"/>
  <c r="S262" i="11"/>
  <c r="V100" i="11"/>
  <c r="V114" i="11" s="1"/>
  <c r="U114" i="11"/>
  <c r="L451" i="14"/>
  <c r="U681" i="11"/>
  <c r="T692" i="11"/>
  <c r="V680" i="11"/>
  <c r="V691" i="11" s="1"/>
  <c r="U691" i="11"/>
  <c r="U65" i="11"/>
  <c r="V63" i="11"/>
  <c r="V65" i="11" s="1"/>
  <c r="U287" i="11"/>
  <c r="T288" i="11"/>
  <c r="R643" i="11"/>
  <c r="R396" i="11"/>
  <c r="R433" i="11"/>
  <c r="Q1111" i="11"/>
  <c r="R77" i="11"/>
  <c r="R54" i="11"/>
  <c r="R95" i="11"/>
  <c r="V92" i="11"/>
  <c r="V93" i="11" s="1"/>
  <c r="U93" i="11"/>
  <c r="U526" i="11"/>
  <c r="U531" i="11"/>
  <c r="S24" i="11"/>
  <c r="U99" i="11"/>
  <c r="T113" i="11"/>
  <c r="R279" i="11"/>
  <c r="V304" i="11"/>
  <c r="V305" i="11" s="1"/>
  <c r="U305" i="11"/>
  <c r="U982" i="11"/>
  <c r="T984" i="11"/>
  <c r="J434" i="14"/>
  <c r="U255" i="11"/>
  <c r="S125" i="11"/>
  <c r="S27" i="14" s="1"/>
  <c r="S27" i="48" s="1"/>
  <c r="S111" i="11"/>
  <c r="S24" i="14" s="1"/>
  <c r="U894" i="11"/>
  <c r="T896" i="11"/>
  <c r="U669" i="11"/>
  <c r="T670" i="11"/>
  <c r="U821" i="11"/>
  <c r="T823" i="11"/>
  <c r="J411" i="14"/>
  <c r="U330" i="11"/>
  <c r="T343" i="11"/>
  <c r="T169" i="14"/>
  <c r="S109" i="41" s="1"/>
  <c r="U1007" i="11"/>
  <c r="V11" i="14"/>
  <c r="V12" i="14" s="1"/>
  <c r="V14" i="14" s="1"/>
  <c r="V8" i="14"/>
  <c r="V9" i="14"/>
  <c r="U3" i="41" s="1"/>
  <c r="U987" i="11"/>
  <c r="T989" i="11"/>
  <c r="U21" i="11"/>
  <c r="U22" i="11" s="1"/>
  <c r="U1101" i="11" s="1"/>
  <c r="V676" i="11"/>
  <c r="V687" i="11" s="1"/>
  <c r="U687" i="11"/>
  <c r="V1036" i="11"/>
  <c r="V926" i="11"/>
  <c r="V1473" i="11"/>
  <c r="V1006" i="11"/>
  <c r="V948" i="11"/>
  <c r="V870" i="11"/>
  <c r="V1091" i="11"/>
  <c r="V31" i="11" s="1"/>
  <c r="V771" i="11"/>
  <c r="V1003" i="11"/>
  <c r="V848" i="11"/>
  <c r="V510" i="11"/>
  <c r="V400" i="11"/>
  <c r="V357" i="11"/>
  <c r="V582" i="11"/>
  <c r="V731" i="11"/>
  <c r="U106" i="11"/>
  <c r="T120" i="11"/>
  <c r="J181" i="14"/>
  <c r="U683" i="11"/>
  <c r="T694" i="11"/>
  <c r="U640" i="11"/>
  <c r="T641" i="11"/>
  <c r="Q367" i="11"/>
  <c r="U271" i="11"/>
  <c r="T273" i="11"/>
  <c r="U841" i="11"/>
  <c r="T843" i="11"/>
  <c r="U329" i="11"/>
  <c r="T342" i="11"/>
  <c r="U107" i="11"/>
  <c r="T121" i="11"/>
  <c r="U26" i="11"/>
  <c r="T27" i="11"/>
  <c r="T1108" i="11" s="1"/>
  <c r="U105" i="11"/>
  <c r="T119" i="11"/>
  <c r="V316" i="11"/>
  <c r="V317" i="11" s="1"/>
  <c r="U317" i="11"/>
  <c r="U919" i="11"/>
  <c r="T921" i="11"/>
  <c r="V14" i="15"/>
  <c r="V14" i="24"/>
  <c r="H108" i="40" l="1"/>
  <c r="H21" i="49" s="1"/>
  <c r="S73" i="14"/>
  <c r="M85" i="40" s="1"/>
  <c r="M46" i="40"/>
  <c r="M70" i="40" s="1"/>
  <c r="G17" i="46"/>
  <c r="D69" i="40"/>
  <c r="D14" i="49" s="1"/>
  <c r="D18" i="49" s="1"/>
  <c r="K109" i="40"/>
  <c r="L84" i="40"/>
  <c r="L85" i="40"/>
  <c r="K48" i="15"/>
  <c r="K22" i="24" s="1"/>
  <c r="I37" i="14"/>
  <c r="I62" i="14"/>
  <c r="J193" i="41"/>
  <c r="J194" i="41" s="1"/>
  <c r="J197" i="41" s="1"/>
  <c r="J199" i="41" s="1"/>
  <c r="U59" i="19"/>
  <c r="H168" i="45"/>
  <c r="F12" i="47" s="1"/>
  <c r="T13" i="47" s="1"/>
  <c r="V210" i="11"/>
  <c r="V194" i="11"/>
  <c r="V197" i="11"/>
  <c r="V199" i="11" s="1"/>
  <c r="I199" i="11" s="1"/>
  <c r="L10" i="40"/>
  <c r="I210" i="11"/>
  <c r="V72" i="14"/>
  <c r="Q86" i="14"/>
  <c r="R86" i="14"/>
  <c r="O9" i="40"/>
  <c r="K35" i="40"/>
  <c r="Q1116" i="11"/>
  <c r="Q1147" i="11" s="1"/>
  <c r="V12" i="42"/>
  <c r="V14" i="19"/>
  <c r="V26" i="19"/>
  <c r="V62" i="19" s="1"/>
  <c r="V75" i="19" s="1"/>
  <c r="R1104" i="11"/>
  <c r="R1112" i="11"/>
  <c r="R1114" i="11"/>
  <c r="O110" i="14"/>
  <c r="J478" i="48"/>
  <c r="K299" i="41"/>
  <c r="L486" i="14"/>
  <c r="T16" i="42"/>
  <c r="I308" i="41"/>
  <c r="I309" i="41" s="1"/>
  <c r="I316" i="41" s="1"/>
  <c r="N86" i="48"/>
  <c r="S19" i="42"/>
  <c r="V18" i="42"/>
  <c r="D56" i="40"/>
  <c r="D62" i="40" s="1"/>
  <c r="J485" i="48"/>
  <c r="U137" i="41"/>
  <c r="U142" i="41"/>
  <c r="V108" i="14"/>
  <c r="U2" i="41"/>
  <c r="U1110" i="11"/>
  <c r="U1113" i="11"/>
  <c r="U1115" i="11" s="1"/>
  <c r="J341" i="41"/>
  <c r="J301" i="41"/>
  <c r="J304" i="41"/>
  <c r="J306" i="41" s="1"/>
  <c r="K509" i="14"/>
  <c r="K501" i="14"/>
  <c r="K489" i="14"/>
  <c r="J110" i="14"/>
  <c r="J100" i="14"/>
  <c r="J103" i="14" s="1"/>
  <c r="J105" i="14" s="1"/>
  <c r="K97" i="14"/>
  <c r="K100" i="14" s="1"/>
  <c r="K109" i="14"/>
  <c r="F92" i="40"/>
  <c r="F21" i="46"/>
  <c r="F53" i="42"/>
  <c r="J1240" i="43"/>
  <c r="J1242" i="43" s="1"/>
  <c r="J18" i="25"/>
  <c r="J1453" i="11"/>
  <c r="J1455" i="11" s="1"/>
  <c r="J97" i="15" s="1"/>
  <c r="J71" i="24" s="1"/>
  <c r="J71" i="25" s="1"/>
  <c r="J81" i="19"/>
  <c r="J18" i="24"/>
  <c r="H17" i="46"/>
  <c r="E35" i="46" s="1"/>
  <c r="T145" i="48"/>
  <c r="L72" i="48"/>
  <c r="L487" i="48" s="1"/>
  <c r="L511" i="14"/>
  <c r="S14" i="41"/>
  <c r="S19" i="41"/>
  <c r="T15" i="42"/>
  <c r="W15" i="42" s="1"/>
  <c r="V15" i="42"/>
  <c r="K25" i="14"/>
  <c r="K37" i="14"/>
  <c r="J22" i="25"/>
  <c r="J22" i="24"/>
  <c r="I343" i="41"/>
  <c r="I346" i="41"/>
  <c r="I348" i="41" s="1"/>
  <c r="L25" i="48"/>
  <c r="L37" i="48"/>
  <c r="K37" i="48"/>
  <c r="K25" i="48"/>
  <c r="K483" i="48"/>
  <c r="K70" i="48"/>
  <c r="E58" i="40"/>
  <c r="L507" i="14"/>
  <c r="L509" i="14" s="1"/>
  <c r="H93" i="14"/>
  <c r="L68" i="48"/>
  <c r="L94" i="14"/>
  <c r="J502" i="14"/>
  <c r="J492" i="14"/>
  <c r="K74" i="41"/>
  <c r="K465" i="48"/>
  <c r="K468" i="48" s="1"/>
  <c r="L37" i="14"/>
  <c r="L25" i="14"/>
  <c r="F33" i="42"/>
  <c r="F49" i="45"/>
  <c r="J37" i="48"/>
  <c r="I37" i="48" s="1"/>
  <c r="J25" i="48"/>
  <c r="N147" i="14"/>
  <c r="M66" i="41" s="1"/>
  <c r="M67" i="41" s="1"/>
  <c r="J512" i="14"/>
  <c r="J73" i="48"/>
  <c r="J85" i="48"/>
  <c r="D77" i="40"/>
  <c r="J38" i="14"/>
  <c r="I38" i="14" s="1"/>
  <c r="J28" i="14"/>
  <c r="P483" i="48"/>
  <c r="P485" i="48" s="1"/>
  <c r="P500" i="48" s="1"/>
  <c r="U89" i="43"/>
  <c r="H79" i="40"/>
  <c r="H25" i="46" s="1"/>
  <c r="P507" i="14"/>
  <c r="P509" i="14" s="1"/>
  <c r="P524" i="14" s="1"/>
  <c r="V572" i="11"/>
  <c r="I572" i="11" s="1"/>
  <c r="P94" i="14"/>
  <c r="P109" i="14" s="1"/>
  <c r="U241" i="11"/>
  <c r="U718" i="11"/>
  <c r="P70" i="48"/>
  <c r="J58" i="40"/>
  <c r="J69" i="40" s="1"/>
  <c r="M334" i="14"/>
  <c r="M336" i="14" s="1"/>
  <c r="M337" i="14" s="1"/>
  <c r="M342" i="14" s="1"/>
  <c r="L230" i="41"/>
  <c r="L231" i="41" s="1"/>
  <c r="F20" i="47"/>
  <c r="N110" i="48"/>
  <c r="Q68" i="48"/>
  <c r="Q70" i="48" s="1"/>
  <c r="K117" i="41"/>
  <c r="S1102" i="11"/>
  <c r="L465" i="48"/>
  <c r="L468" i="48" s="1"/>
  <c r="Q16" i="47"/>
  <c r="Q18" i="47" s="1"/>
  <c r="M31" i="48"/>
  <c r="M33" i="48" s="1"/>
  <c r="M34" i="48" s="1"/>
  <c r="M40" i="48" s="1"/>
  <c r="R233" i="11"/>
  <c r="R234" i="11" s="1"/>
  <c r="R239" i="11" s="1"/>
  <c r="R96" i="14" s="1"/>
  <c r="R72" i="48" s="1"/>
  <c r="K76" i="41"/>
  <c r="O132" i="14"/>
  <c r="N38" i="48"/>
  <c r="N28" i="48"/>
  <c r="O231" i="48"/>
  <c r="P426" i="14"/>
  <c r="P428" i="14" s="1"/>
  <c r="P429" i="14" s="1"/>
  <c r="P434" i="14" s="1"/>
  <c r="O140" i="48"/>
  <c r="O155" i="48" s="1"/>
  <c r="I78" i="40"/>
  <c r="O123" i="14"/>
  <c r="O134" i="14" s="1"/>
  <c r="Q21" i="41"/>
  <c r="Q22" i="41" s="1"/>
  <c r="Q29" i="41" s="1"/>
  <c r="P22" i="48"/>
  <c r="P25" i="48" s="1"/>
  <c r="P28" i="48" s="1"/>
  <c r="P351" i="14"/>
  <c r="P354" i="14" s="1"/>
  <c r="P364" i="14" s="1"/>
  <c r="S942" i="11"/>
  <c r="S416" i="14" s="1"/>
  <c r="S392" i="48" s="1"/>
  <c r="S393" i="48" s="1"/>
  <c r="P403" i="14"/>
  <c r="P405" i="14" s="1"/>
  <c r="P406" i="14" s="1"/>
  <c r="P411" i="14" s="1"/>
  <c r="S85" i="14"/>
  <c r="H36" i="47"/>
  <c r="S230" i="11"/>
  <c r="Q212" i="48"/>
  <c r="Q215" i="48" s="1"/>
  <c r="Q79" i="14"/>
  <c r="Q81" i="14" s="1"/>
  <c r="Q82" i="14" s="1"/>
  <c r="Q87" i="14" s="1"/>
  <c r="M295" i="14"/>
  <c r="M288" i="14"/>
  <c r="M290" i="14" s="1"/>
  <c r="M291" i="14" s="1"/>
  <c r="M296" i="14" s="1"/>
  <c r="N18" i="50"/>
  <c r="S864" i="11"/>
  <c r="S393" i="14" s="1"/>
  <c r="O35" i="41"/>
  <c r="N518" i="14"/>
  <c r="O28" i="48"/>
  <c r="O39" i="48" s="1"/>
  <c r="O38" i="48"/>
  <c r="J387" i="14"/>
  <c r="Q236" i="14"/>
  <c r="Q239" i="14" s="1"/>
  <c r="Q242" i="14" s="1"/>
  <c r="Q244" i="14" s="1"/>
  <c r="P363" i="14"/>
  <c r="M264" i="48"/>
  <c r="M266" i="48" s="1"/>
  <c r="M500" i="48"/>
  <c r="M488" i="48"/>
  <c r="M491" i="48" s="1"/>
  <c r="N222" i="41"/>
  <c r="N224" i="41" s="1"/>
  <c r="N226" i="41" s="1"/>
  <c r="N227" i="41" s="1"/>
  <c r="N234" i="41" s="1"/>
  <c r="P201" i="48"/>
  <c r="M76" i="48"/>
  <c r="G97" i="40"/>
  <c r="O120" i="48"/>
  <c r="O123" i="48" s="1"/>
  <c r="O126" i="48" s="1"/>
  <c r="O328" i="14"/>
  <c r="I79" i="40" s="1"/>
  <c r="I25" i="46" s="1"/>
  <c r="G15" i="49"/>
  <c r="Q410" i="14"/>
  <c r="N99" i="41"/>
  <c r="N101" i="41" s="1"/>
  <c r="N103" i="41" s="1"/>
  <c r="N104" i="41" s="1"/>
  <c r="N111" i="41" s="1"/>
  <c r="N55" i="41"/>
  <c r="N62" i="41" s="1"/>
  <c r="N63" i="41" s="1"/>
  <c r="O37" i="48"/>
  <c r="T222" i="11"/>
  <c r="T227" i="11" s="1"/>
  <c r="T230" i="11" s="1"/>
  <c r="O8" i="50"/>
  <c r="S237" i="48"/>
  <c r="F15" i="49"/>
  <c r="Q20" i="48"/>
  <c r="K39" i="40" s="1"/>
  <c r="E5" i="46"/>
  <c r="F5" i="46" s="1"/>
  <c r="P117" i="14"/>
  <c r="P132" i="14" s="1"/>
  <c r="P92" i="48"/>
  <c r="P93" i="48" s="1"/>
  <c r="P108" i="48" s="1"/>
  <c r="T122" i="48"/>
  <c r="L57" i="40"/>
  <c r="R209" i="48"/>
  <c r="R224" i="48" s="1"/>
  <c r="Q348" i="14"/>
  <c r="Q363" i="14" s="1"/>
  <c r="Q322" i="48"/>
  <c r="I164" i="45"/>
  <c r="G18" i="47"/>
  <c r="K165" i="45"/>
  <c r="I34" i="47"/>
  <c r="R276" i="48"/>
  <c r="R302" i="14"/>
  <c r="P511" i="14"/>
  <c r="P326" i="48"/>
  <c r="P487" i="48" s="1"/>
  <c r="J21" i="46"/>
  <c r="J92" i="40"/>
  <c r="T514" i="14"/>
  <c r="T214" i="48"/>
  <c r="T490" i="48" s="1"/>
  <c r="T191" i="48"/>
  <c r="R48" i="41"/>
  <c r="R50" i="41" s="1"/>
  <c r="S115" i="48"/>
  <c r="M47" i="40" s="1"/>
  <c r="P176" i="41"/>
  <c r="Q185" i="48"/>
  <c r="Q186" i="48" s="1"/>
  <c r="Q189" i="48" s="1"/>
  <c r="Q192" i="48" s="1"/>
  <c r="U138" i="48"/>
  <c r="O53" i="41"/>
  <c r="P116" i="48"/>
  <c r="P117" i="48" s="1"/>
  <c r="P132" i="48" s="1"/>
  <c r="Q97" i="14"/>
  <c r="Q100" i="14" s="1"/>
  <c r="Q110" i="14" s="1"/>
  <c r="Q72" i="48"/>
  <c r="P164" i="14"/>
  <c r="P167" i="14" s="1"/>
  <c r="P139" i="48"/>
  <c r="P140" i="48" s="1"/>
  <c r="G72" i="40"/>
  <c r="G17" i="49" s="1"/>
  <c r="G43" i="40"/>
  <c r="P293" i="48"/>
  <c r="P281" i="48"/>
  <c r="P308" i="14"/>
  <c r="N311" i="14"/>
  <c r="N313" i="14" s="1"/>
  <c r="N314" i="14" s="1"/>
  <c r="N319" i="14" s="1"/>
  <c r="N318" i="14"/>
  <c r="H98" i="40"/>
  <c r="N284" i="48"/>
  <c r="N500" i="48"/>
  <c r="N488" i="48"/>
  <c r="N491" i="48" s="1"/>
  <c r="M289" i="48"/>
  <c r="M290" i="48" s="1"/>
  <c r="M295" i="48" s="1"/>
  <c r="O485" i="48"/>
  <c r="O500" i="48" s="1"/>
  <c r="I56" i="40"/>
  <c r="O293" i="48"/>
  <c r="O281" i="48"/>
  <c r="O311" i="14"/>
  <c r="O313" i="14" s="1"/>
  <c r="O314" i="14" s="1"/>
  <c r="O319" i="14" s="1"/>
  <c r="O318" i="14"/>
  <c r="I97" i="40"/>
  <c r="O76" i="48"/>
  <c r="N330" i="48"/>
  <c r="H99" i="40"/>
  <c r="O327" i="48"/>
  <c r="O487" i="48"/>
  <c r="Q276" i="48"/>
  <c r="Q302" i="14"/>
  <c r="Q280" i="48"/>
  <c r="J60" i="40"/>
  <c r="P324" i="48"/>
  <c r="G107" i="40"/>
  <c r="G20" i="49" s="1"/>
  <c r="Q409" i="14"/>
  <c r="S24" i="48"/>
  <c r="N258" i="41"/>
  <c r="N263" i="41" s="1"/>
  <c r="N265" i="41" s="1"/>
  <c r="O279" i="14"/>
  <c r="O282" i="14" s="1"/>
  <c r="O285" i="14" s="1"/>
  <c r="M299" i="41"/>
  <c r="M341" i="41" s="1"/>
  <c r="M346" i="41" s="1"/>
  <c r="M348" i="41" s="1"/>
  <c r="N461" i="48"/>
  <c r="S441" i="48"/>
  <c r="O432" i="48"/>
  <c r="O425" i="48"/>
  <c r="J1463" i="11"/>
  <c r="J1465" i="11" s="1"/>
  <c r="J1250" i="43"/>
  <c r="J1252" i="43" s="1"/>
  <c r="J46" i="15"/>
  <c r="J19" i="25"/>
  <c r="J19" i="24"/>
  <c r="K347" i="48"/>
  <c r="K362" i="48" s="1"/>
  <c r="K463" i="14"/>
  <c r="N461" i="14"/>
  <c r="N345" i="48"/>
  <c r="N437" i="48" s="1"/>
  <c r="H42" i="40" s="1"/>
  <c r="Q417" i="14"/>
  <c r="Q392" i="48"/>
  <c r="Q393" i="48" s="1"/>
  <c r="O426" i="14"/>
  <c r="O428" i="14" s="1"/>
  <c r="O429" i="14" s="1"/>
  <c r="O434" i="14" s="1"/>
  <c r="O433" i="14"/>
  <c r="P440" i="14"/>
  <c r="P455" i="14" s="1"/>
  <c r="P415" i="48"/>
  <c r="P416" i="48" s="1"/>
  <c r="L462" i="14"/>
  <c r="L45" i="15" s="1"/>
  <c r="L346" i="48"/>
  <c r="L347" i="48" s="1"/>
  <c r="Q440" i="14"/>
  <c r="Q455" i="14" s="1"/>
  <c r="Q415" i="48"/>
  <c r="Q416" i="48" s="1"/>
  <c r="Q419" i="48" s="1"/>
  <c r="Q422" i="48" s="1"/>
  <c r="J362" i="48"/>
  <c r="J466" i="14"/>
  <c r="J478" i="14"/>
  <c r="O403" i="14"/>
  <c r="O405" i="14" s="1"/>
  <c r="R253" i="41"/>
  <c r="R255" i="41" s="1"/>
  <c r="S253" i="48"/>
  <c r="M54" i="40" s="1"/>
  <c r="R273" i="41"/>
  <c r="S260" i="48"/>
  <c r="M260" i="41"/>
  <c r="M263" i="41"/>
  <c r="M265" i="41" s="1"/>
  <c r="Q212" i="41"/>
  <c r="Q214" i="41" s="1"/>
  <c r="R299" i="48"/>
  <c r="L41" i="40" s="1"/>
  <c r="O217" i="41"/>
  <c r="O219" i="41" s="1"/>
  <c r="R232" i="41"/>
  <c r="S306" i="48"/>
  <c r="P325" i="14"/>
  <c r="P340" i="14" s="1"/>
  <c r="S61" i="48"/>
  <c r="S49" i="48"/>
  <c r="R19" i="41"/>
  <c r="R21" i="41" s="1"/>
  <c r="T45" i="48"/>
  <c r="T46" i="48" s="1"/>
  <c r="T61" i="48" s="1"/>
  <c r="T70" i="14"/>
  <c r="S51" i="48"/>
  <c r="U44" i="48"/>
  <c r="U283" i="48"/>
  <c r="N63" i="48"/>
  <c r="P255" i="14"/>
  <c r="T330" i="14"/>
  <c r="S232" i="41" s="1"/>
  <c r="O376" i="48"/>
  <c r="O179" i="14"/>
  <c r="T139" i="14"/>
  <c r="O94" i="41"/>
  <c r="O99" i="41" s="1"/>
  <c r="O101" i="41" s="1"/>
  <c r="M381" i="48"/>
  <c r="M382" i="48" s="1"/>
  <c r="N104" i="48"/>
  <c r="N105" i="48" s="1"/>
  <c r="N111" i="48" s="1"/>
  <c r="M104" i="48"/>
  <c r="M105" i="48" s="1"/>
  <c r="M111" i="48" s="1"/>
  <c r="L104" i="48"/>
  <c r="L105" i="48" s="1"/>
  <c r="O270" i="48"/>
  <c r="O258" i="48"/>
  <c r="J249" i="48"/>
  <c r="N220" i="48"/>
  <c r="N221" i="48" s="1"/>
  <c r="T871" i="11"/>
  <c r="T873" i="11" s="1"/>
  <c r="Q350" i="14"/>
  <c r="R281" i="14"/>
  <c r="R257" i="48" s="1"/>
  <c r="N294" i="14"/>
  <c r="N146" i="48"/>
  <c r="S115" i="14"/>
  <c r="S91" i="48" s="1"/>
  <c r="M40" i="40" s="1"/>
  <c r="K387" i="14"/>
  <c r="S457" i="11"/>
  <c r="M335" i="48"/>
  <c r="M336" i="48" s="1"/>
  <c r="Q163" i="14"/>
  <c r="Q116" i="14"/>
  <c r="Q92" i="48" s="1"/>
  <c r="Q93" i="48" s="1"/>
  <c r="I86" i="40"/>
  <c r="N170" i="14"/>
  <c r="M107" i="41" s="1"/>
  <c r="M108" i="41" s="1"/>
  <c r="J442" i="48"/>
  <c r="J454" i="48"/>
  <c r="Q379" i="48"/>
  <c r="Q386" i="48"/>
  <c r="R212" i="14"/>
  <c r="R188" i="48" s="1"/>
  <c r="J473" i="48"/>
  <c r="J474" i="48" s="1"/>
  <c r="R209" i="14"/>
  <c r="M370" i="14"/>
  <c r="N123" i="48"/>
  <c r="T284" i="14"/>
  <c r="S273" i="41" s="1"/>
  <c r="O156" i="14"/>
  <c r="P278" i="14"/>
  <c r="P254" i="48" s="1"/>
  <c r="T277" i="14"/>
  <c r="S253" i="41" s="1"/>
  <c r="S255" i="41" s="1"/>
  <c r="R416" i="14"/>
  <c r="O310" i="48"/>
  <c r="O317" i="48"/>
  <c r="U215" i="14"/>
  <c r="T191" i="41" s="1"/>
  <c r="P301" i="48"/>
  <c r="L427" i="48"/>
  <c r="L428" i="48" s="1"/>
  <c r="M488" i="14"/>
  <c r="L197" i="48"/>
  <c r="L198" i="48" s="1"/>
  <c r="M151" i="48"/>
  <c r="R235" i="14"/>
  <c r="R211" i="48" s="1"/>
  <c r="N307" i="48"/>
  <c r="Q140" i="14"/>
  <c r="T415" i="14"/>
  <c r="T391" i="48" s="1"/>
  <c r="K386" i="14"/>
  <c r="P1418" i="11"/>
  <c r="L271" i="48"/>
  <c r="L264" i="48"/>
  <c r="J353" i="48"/>
  <c r="J363" i="48"/>
  <c r="S438" i="14"/>
  <c r="S414" i="48" s="1"/>
  <c r="P192" i="48"/>
  <c r="R393" i="14"/>
  <c r="U69" i="14"/>
  <c r="U238" i="14"/>
  <c r="P381" i="48"/>
  <c r="P382" i="48" s="1"/>
  <c r="P387" i="48" s="1"/>
  <c r="L151" i="48"/>
  <c r="L152" i="48" s="1"/>
  <c r="Q324" i="14"/>
  <c r="Q300" i="48" s="1"/>
  <c r="Q301" i="48" s="1"/>
  <c r="P215" i="48"/>
  <c r="N270" i="48"/>
  <c r="N258" i="48"/>
  <c r="H93" i="40" s="1"/>
  <c r="K454" i="48"/>
  <c r="K442" i="48"/>
  <c r="K445" i="48" s="1"/>
  <c r="O197" i="48"/>
  <c r="O198" i="48" s="1"/>
  <c r="O203" i="48" s="1"/>
  <c r="O399" i="48"/>
  <c r="N422" i="48"/>
  <c r="P404" i="48"/>
  <c r="P405" i="48" s="1"/>
  <c r="P410" i="48" s="1"/>
  <c r="U353" i="14"/>
  <c r="U329" i="48" s="1"/>
  <c r="O96" i="48"/>
  <c r="O108" i="48"/>
  <c r="T438" i="14"/>
  <c r="T414" i="48" s="1"/>
  <c r="R20" i="14"/>
  <c r="U75" i="48"/>
  <c r="R55" i="48"/>
  <c r="R62" i="48"/>
  <c r="M404" i="48"/>
  <c r="J272" i="48"/>
  <c r="L103" i="45"/>
  <c r="J27" i="47" s="1"/>
  <c r="J28" i="47" s="1"/>
  <c r="I83" i="45"/>
  <c r="I84" i="45" s="1"/>
  <c r="G176" i="45"/>
  <c r="E14" i="47"/>
  <c r="S16" i="47" s="1"/>
  <c r="G186" i="45"/>
  <c r="E13" i="47"/>
  <c r="E16" i="47" s="1"/>
  <c r="S14" i="47" s="1"/>
  <c r="S15" i="47" s="1"/>
  <c r="V721" i="11"/>
  <c r="V244" i="11"/>
  <c r="V99" i="14" s="1"/>
  <c r="V249" i="11"/>
  <c r="V577" i="11"/>
  <c r="V726" i="11"/>
  <c r="L191" i="45"/>
  <c r="J51" i="45"/>
  <c r="H19" i="47" s="1"/>
  <c r="J179" i="45"/>
  <c r="J185" i="45" s="1"/>
  <c r="L182" i="45"/>
  <c r="J82" i="45"/>
  <c r="J189" i="45"/>
  <c r="H55" i="45"/>
  <c r="F21" i="47" s="1"/>
  <c r="H171" i="45"/>
  <c r="H175" i="45" s="1"/>
  <c r="I55" i="45"/>
  <c r="G21" i="47" s="1"/>
  <c r="I171" i="45"/>
  <c r="I175" i="45" s="1"/>
  <c r="K78" i="45"/>
  <c r="I37" i="47" s="1"/>
  <c r="K172" i="45"/>
  <c r="L111" i="45"/>
  <c r="J30" i="47" s="1"/>
  <c r="J31" i="47" s="1"/>
  <c r="S560" i="11"/>
  <c r="M102" i="45" s="1"/>
  <c r="M110" i="45" s="1"/>
  <c r="S561" i="11"/>
  <c r="S300" i="14" s="1"/>
  <c r="R562" i="11"/>
  <c r="R567" i="11" s="1"/>
  <c r="R304" i="14" s="1"/>
  <c r="M10" i="45"/>
  <c r="M9" i="45" s="1"/>
  <c r="S1327" i="11"/>
  <c r="S1331" i="11" s="1"/>
  <c r="T558" i="11"/>
  <c r="M109" i="45"/>
  <c r="M190" i="45" s="1"/>
  <c r="S1400" i="11"/>
  <c r="S1402" i="11" s="1"/>
  <c r="T1396" i="11"/>
  <c r="T1398" i="11" s="1"/>
  <c r="N101" i="45"/>
  <c r="N181" i="45" s="1"/>
  <c r="O181" i="45" s="1"/>
  <c r="U1394" i="11"/>
  <c r="U1396" i="11" s="1"/>
  <c r="S1095" i="43"/>
  <c r="S1100" i="43" s="1"/>
  <c r="K80" i="45"/>
  <c r="T695" i="43"/>
  <c r="Q1358" i="11"/>
  <c r="K67" i="45" s="1"/>
  <c r="Q1420" i="11"/>
  <c r="K92" i="40" s="1"/>
  <c r="S709" i="11"/>
  <c r="M73" i="45" s="1"/>
  <c r="M81" i="45" s="1"/>
  <c r="S710" i="11"/>
  <c r="S711" i="11" s="1"/>
  <c r="Q1375" i="11"/>
  <c r="P1359" i="11"/>
  <c r="J67" i="45"/>
  <c r="S1366" i="11"/>
  <c r="S1369" i="11"/>
  <c r="S1374" i="11"/>
  <c r="M70" i="45"/>
  <c r="M69" i="45" s="1"/>
  <c r="S1368" i="11"/>
  <c r="S1370" i="11"/>
  <c r="R1372" i="11"/>
  <c r="L72" i="45"/>
  <c r="K74" i="45"/>
  <c r="I35" i="47" s="1"/>
  <c r="S1353" i="11"/>
  <c r="M64" i="45"/>
  <c r="R1355" i="11"/>
  <c r="L66" i="45" s="1"/>
  <c r="L65" i="45"/>
  <c r="S1357" i="11"/>
  <c r="S1351" i="11"/>
  <c r="S1352" i="11"/>
  <c r="S1349" i="11"/>
  <c r="T1346" i="11"/>
  <c r="T1363" i="11"/>
  <c r="T1435" i="11" s="1"/>
  <c r="T780" i="43"/>
  <c r="T782" i="43" s="1"/>
  <c r="T773" i="43" s="1"/>
  <c r="V175" i="43"/>
  <c r="I768" i="43"/>
  <c r="S773" i="43"/>
  <c r="I23" i="43"/>
  <c r="T1209" i="43"/>
  <c r="T971" i="43"/>
  <c r="S1124" i="43"/>
  <c r="R1040" i="43"/>
  <c r="R1104" i="43" s="1"/>
  <c r="R1101" i="43" s="1"/>
  <c r="S1038" i="43"/>
  <c r="S1040" i="43" s="1"/>
  <c r="S1104" i="43" s="1"/>
  <c r="U1086" i="43"/>
  <c r="U1075" i="43"/>
  <c r="U1080" i="43"/>
  <c r="U1088" i="43"/>
  <c r="U1084" i="43"/>
  <c r="U1077" i="43"/>
  <c r="U1074" i="43"/>
  <c r="U1076" i="43"/>
  <c r="U1087" i="43"/>
  <c r="U1216" i="43"/>
  <c r="U1218" i="43" s="1"/>
  <c r="U1220" i="43" s="1"/>
  <c r="U1222" i="43" s="1"/>
  <c r="U1078" i="43"/>
  <c r="U1085" i="43"/>
  <c r="U1079" i="43"/>
  <c r="V770" i="43"/>
  <c r="U149" i="43"/>
  <c r="U1031" i="43"/>
  <c r="U1032" i="43"/>
  <c r="U1022" i="43"/>
  <c r="U1020" i="43"/>
  <c r="U1021" i="43"/>
  <c r="U1030" i="43"/>
  <c r="U1023" i="43"/>
  <c r="U1029" i="43"/>
  <c r="U1019" i="43"/>
  <c r="U1024" i="43"/>
  <c r="U1025" i="43"/>
  <c r="U1033" i="43"/>
  <c r="U60" i="43"/>
  <c r="U71" i="43"/>
  <c r="U932" i="43"/>
  <c r="V1032" i="43"/>
  <c r="V1023" i="43"/>
  <c r="V1031" i="43"/>
  <c r="V1029" i="43"/>
  <c r="V1019" i="43"/>
  <c r="V1020" i="43"/>
  <c r="V1025" i="43"/>
  <c r="V1033" i="43"/>
  <c r="V1024" i="43"/>
  <c r="V1022" i="43"/>
  <c r="V1030" i="43"/>
  <c r="V1021" i="43"/>
  <c r="U335" i="43"/>
  <c r="V932" i="43"/>
  <c r="V60" i="43"/>
  <c r="V89" i="43"/>
  <c r="V71" i="43"/>
  <c r="T1081" i="43"/>
  <c r="T1099" i="43" s="1"/>
  <c r="J77" i="42" s="1"/>
  <c r="T861" i="43"/>
  <c r="S1099" i="43"/>
  <c r="T1034" i="43"/>
  <c r="V405" i="43"/>
  <c r="U771" i="43"/>
  <c r="U791" i="43" s="1"/>
  <c r="U793" i="43" s="1"/>
  <c r="T1026" i="43"/>
  <c r="S1036" i="43"/>
  <c r="S1103" i="43" s="1"/>
  <c r="U54" i="43"/>
  <c r="V77" i="43"/>
  <c r="V1079" i="43"/>
  <c r="V1085" i="43"/>
  <c r="V1077" i="43"/>
  <c r="V1086" i="43"/>
  <c r="V1078" i="43"/>
  <c r="V1098" i="43"/>
  <c r="V1074" i="43"/>
  <c r="V1076" i="43"/>
  <c r="V1087" i="43"/>
  <c r="V1080" i="43"/>
  <c r="V1084" i="43"/>
  <c r="V1088" i="43"/>
  <c r="V1216" i="43"/>
  <c r="V1218" i="43" s="1"/>
  <c r="V1220" i="43" s="1"/>
  <c r="V1222" i="43" s="1"/>
  <c r="V1075" i="43"/>
  <c r="U770" i="43"/>
  <c r="T1083" i="43"/>
  <c r="V54" i="43"/>
  <c r="V361" i="43"/>
  <c r="V95" i="43"/>
  <c r="U95" i="43"/>
  <c r="U495" i="11"/>
  <c r="S458" i="11"/>
  <c r="S1285" i="11"/>
  <c r="R1417" i="11"/>
  <c r="L53" i="40" s="1"/>
  <c r="T486" i="11"/>
  <c r="N14" i="45" s="1"/>
  <c r="N23" i="45" s="1"/>
  <c r="O23" i="45" s="1"/>
  <c r="T487" i="11"/>
  <c r="T488" i="11" s="1"/>
  <c r="R1406" i="11"/>
  <c r="S1408" i="11"/>
  <c r="S1410" i="11" s="1"/>
  <c r="M47" i="45"/>
  <c r="M46" i="45" s="1"/>
  <c r="M41" i="45"/>
  <c r="M39" i="45" s="1"/>
  <c r="T564" i="11"/>
  <c r="I51" i="45"/>
  <c r="G19" i="47" s="1"/>
  <c r="P1269" i="11"/>
  <c r="J42" i="45"/>
  <c r="N763" i="11"/>
  <c r="T453" i="11"/>
  <c r="S171" i="41" s="1"/>
  <c r="S173" i="41" s="1"/>
  <c r="T451" i="11"/>
  <c r="N13" i="45" s="1"/>
  <c r="N22" i="45" s="1"/>
  <c r="O22" i="45" s="1"/>
  <c r="R171" i="41"/>
  <c r="R173" i="41" s="1"/>
  <c r="S238" i="11"/>
  <c r="S566" i="11"/>
  <c r="S715" i="11"/>
  <c r="S208" i="14"/>
  <c r="S184" i="48" s="1"/>
  <c r="M49" i="40" s="1"/>
  <c r="S492" i="11"/>
  <c r="L374" i="14"/>
  <c r="L377" i="14" s="1"/>
  <c r="L380" i="14" s="1"/>
  <c r="L382" i="14" s="1"/>
  <c r="L383" i="14" s="1"/>
  <c r="L388" i="14" s="1"/>
  <c r="U449" i="11"/>
  <c r="S1284" i="11"/>
  <c r="V506" i="43"/>
  <c r="V512" i="43"/>
  <c r="V488" i="43"/>
  <c r="V535" i="43"/>
  <c r="V518" i="43"/>
  <c r="V494" i="43"/>
  <c r="I845" i="43"/>
  <c r="V859" i="43"/>
  <c r="U868" i="43"/>
  <c r="U870" i="43" s="1"/>
  <c r="U879" i="43"/>
  <c r="U881" i="43" s="1"/>
  <c r="O369" i="14"/>
  <c r="O772" i="11"/>
  <c r="O774" i="11" s="1"/>
  <c r="O769" i="11" s="1"/>
  <c r="O816" i="11"/>
  <c r="J382" i="14"/>
  <c r="J383" i="14" s="1"/>
  <c r="J388" i="14" s="1"/>
  <c r="R755" i="11"/>
  <c r="S754" i="11"/>
  <c r="S750" i="11"/>
  <c r="S752" i="11" s="1"/>
  <c r="S793" i="11" s="1"/>
  <c r="S795" i="11" s="1"/>
  <c r="T749" i="11"/>
  <c r="R586" i="43"/>
  <c r="S585" i="43"/>
  <c r="Q588" i="43"/>
  <c r="Q591" i="43"/>
  <c r="P629" i="43"/>
  <c r="P631" i="43" s="1"/>
  <c r="P607" i="43" s="1"/>
  <c r="P592" i="43"/>
  <c r="Q757" i="11"/>
  <c r="Q760" i="11"/>
  <c r="K20" i="40" s="1"/>
  <c r="V609" i="43"/>
  <c r="V611" i="43" s="1"/>
  <c r="I568" i="43"/>
  <c r="N594" i="43"/>
  <c r="O603" i="43"/>
  <c r="O605" i="43" s="1"/>
  <c r="O647" i="43"/>
  <c r="V771" i="43"/>
  <c r="I763" i="43"/>
  <c r="U512" i="43"/>
  <c r="U535" i="43"/>
  <c r="U506" i="43"/>
  <c r="U518" i="43"/>
  <c r="U494" i="43"/>
  <c r="U488" i="43"/>
  <c r="S581" i="43"/>
  <c r="S583" i="43" s="1"/>
  <c r="S624" i="43" s="1"/>
  <c r="S626" i="43" s="1"/>
  <c r="T580" i="43"/>
  <c r="U702" i="43"/>
  <c r="U704" i="43" s="1"/>
  <c r="U713" i="43"/>
  <c r="U715" i="43" s="1"/>
  <c r="T576" i="43"/>
  <c r="T578" i="43" s="1"/>
  <c r="T619" i="43" s="1"/>
  <c r="T621" i="43" s="1"/>
  <c r="U575" i="43"/>
  <c r="S1291" i="11"/>
  <c r="V693" i="43"/>
  <c r="I685" i="43"/>
  <c r="P761" i="11"/>
  <c r="P798" i="11"/>
  <c r="P800" i="11" s="1"/>
  <c r="P776" i="11" s="1"/>
  <c r="T456" i="43"/>
  <c r="U571" i="43"/>
  <c r="U573" i="43" s="1"/>
  <c r="U614" i="43" s="1"/>
  <c r="U616" i="43" s="1"/>
  <c r="V570" i="43"/>
  <c r="V571" i="43" s="1"/>
  <c r="V573" i="43" s="1"/>
  <c r="S1286" i="11"/>
  <c r="V498" i="43"/>
  <c r="V500" i="43" s="1"/>
  <c r="I452" i="43"/>
  <c r="T591" i="11"/>
  <c r="T625" i="11" s="1"/>
  <c r="T1178" i="43"/>
  <c r="T1180" i="43" s="1"/>
  <c r="T1186" i="43" s="1"/>
  <c r="T589" i="11"/>
  <c r="T261" i="14"/>
  <c r="T1302" i="11"/>
  <c r="T1278" i="11"/>
  <c r="N4" i="45" s="1"/>
  <c r="N2" i="45" s="1"/>
  <c r="S1282" i="11"/>
  <c r="S1283" i="11"/>
  <c r="S1290" i="11"/>
  <c r="S1292" i="11"/>
  <c r="S1182" i="43"/>
  <c r="S1184" i="43" s="1"/>
  <c r="S1187" i="43" s="1"/>
  <c r="S1188" i="43" s="1"/>
  <c r="U518" i="11"/>
  <c r="U555" i="11"/>
  <c r="U558" i="11" s="1"/>
  <c r="V350" i="43"/>
  <c r="V394" i="43"/>
  <c r="V164" i="43"/>
  <c r="V162" i="14"/>
  <c r="I406" i="11"/>
  <c r="Q248" i="14"/>
  <c r="N105" i="14"/>
  <c r="N106" i="14" s="1"/>
  <c r="Q507" i="14"/>
  <c r="Q509" i="14" s="1"/>
  <c r="M525" i="14"/>
  <c r="M518" i="14"/>
  <c r="R716" i="11"/>
  <c r="R346" i="14"/>
  <c r="S713" i="11"/>
  <c r="K365" i="14"/>
  <c r="M359" i="14"/>
  <c r="L343" i="41"/>
  <c r="O512" i="14"/>
  <c r="I95" i="40" s="1"/>
  <c r="I24" i="46" s="1"/>
  <c r="O524" i="14"/>
  <c r="O354" i="14"/>
  <c r="T704" i="11"/>
  <c r="T707" i="11" s="1"/>
  <c r="L301" i="41"/>
  <c r="L304" i="41"/>
  <c r="L306" i="41" s="1"/>
  <c r="V362" i="14"/>
  <c r="V523" i="14"/>
  <c r="V316" i="14"/>
  <c r="Q137" i="41"/>
  <c r="S493" i="11"/>
  <c r="S231" i="14"/>
  <c r="S207" i="48" s="1"/>
  <c r="N244" i="14"/>
  <c r="R233" i="14"/>
  <c r="P239" i="14"/>
  <c r="T490" i="11"/>
  <c r="U480" i="11"/>
  <c r="U481" i="11" s="1"/>
  <c r="U484" i="11" s="1"/>
  <c r="V224" i="14"/>
  <c r="V247" i="14"/>
  <c r="V445" i="11"/>
  <c r="V449" i="11" s="1"/>
  <c r="V451" i="11" s="1"/>
  <c r="V503" i="11"/>
  <c r="I503" i="11" s="1"/>
  <c r="V498" i="11"/>
  <c r="N334" i="14"/>
  <c r="N336" i="14" s="1"/>
  <c r="N337" i="14" s="1"/>
  <c r="N342" i="14" s="1"/>
  <c r="R140" i="41"/>
  <c r="R142" i="41" s="1"/>
  <c r="N19" i="40"/>
  <c r="I258" i="11"/>
  <c r="T440" i="11"/>
  <c r="V292" i="43"/>
  <c r="U1010" i="43"/>
  <c r="V1227" i="43"/>
  <c r="V1229" i="43" s="1"/>
  <c r="V1232" i="43" s="1"/>
  <c r="V1144" i="43"/>
  <c r="V1155" i="43"/>
  <c r="V1153" i="43"/>
  <c r="V1142" i="43"/>
  <c r="V1146" i="43"/>
  <c r="V1141" i="43"/>
  <c r="V1152" i="43"/>
  <c r="V1143" i="43"/>
  <c r="V1147" i="43"/>
  <c r="V1145" i="43"/>
  <c r="V1151" i="43"/>
  <c r="U1122" i="43"/>
  <c r="T1166" i="43"/>
  <c r="J76" i="42" s="1"/>
  <c r="T1133" i="43"/>
  <c r="T1171" i="43" s="1"/>
  <c r="J69" i="42" s="1"/>
  <c r="T1170" i="43"/>
  <c r="J63" i="42" s="1"/>
  <c r="U1148" i="43"/>
  <c r="U189" i="43"/>
  <c r="U433" i="43" s="1"/>
  <c r="U435" i="43" s="1"/>
  <c r="U421" i="43" s="1"/>
  <c r="V204" i="43"/>
  <c r="V232" i="43"/>
  <c r="V215" i="43"/>
  <c r="V238" i="43"/>
  <c r="V226" i="43"/>
  <c r="V244" i="43"/>
  <c r="U1130" i="43"/>
  <c r="I185" i="43"/>
  <c r="V439" i="43"/>
  <c r="V441" i="43" s="1"/>
  <c r="V1128" i="43"/>
  <c r="V1119" i="43"/>
  <c r="V1126" i="43"/>
  <c r="V1120" i="43"/>
  <c r="V1117" i="43"/>
  <c r="V1121" i="43"/>
  <c r="V1129" i="43"/>
  <c r="V1118" i="43"/>
  <c r="V1127" i="43"/>
  <c r="V1116" i="43"/>
  <c r="V1165" i="43"/>
  <c r="V1125" i="43"/>
  <c r="V1115" i="43"/>
  <c r="V1002" i="43"/>
  <c r="T1013" i="43"/>
  <c r="V1010" i="43"/>
  <c r="U1057" i="43"/>
  <c r="V1055" i="43"/>
  <c r="V1057" i="43"/>
  <c r="U1055" i="43"/>
  <c r="U1002" i="43"/>
  <c r="T1068" i="43"/>
  <c r="M16" i="40"/>
  <c r="M22" i="40" s="1"/>
  <c r="M6" i="40" s="1"/>
  <c r="N18" i="40"/>
  <c r="T260" i="11"/>
  <c r="L210" i="14"/>
  <c r="H209" i="14"/>
  <c r="N341" i="14"/>
  <c r="M12" i="40"/>
  <c r="M5" i="40" s="1"/>
  <c r="S1415" i="11"/>
  <c r="H78" i="40"/>
  <c r="N133" i="14"/>
  <c r="S1307" i="11"/>
  <c r="S1425" i="11"/>
  <c r="S1316" i="11"/>
  <c r="S1306" i="11"/>
  <c r="S1315" i="11"/>
  <c r="S1314" i="11"/>
  <c r="S1310" i="11"/>
  <c r="S1308" i="11"/>
  <c r="S1309" i="11"/>
  <c r="Q1265" i="11"/>
  <c r="K49" i="45" s="1"/>
  <c r="Q1206" i="11"/>
  <c r="Q1205" i="11"/>
  <c r="S1179" i="11"/>
  <c r="S1200" i="11"/>
  <c r="S1195" i="11"/>
  <c r="Q1185" i="11"/>
  <c r="Q1177" i="11" s="1"/>
  <c r="Q1183" i="11" s="1"/>
  <c r="S1203" i="11"/>
  <c r="S1201" i="11"/>
  <c r="S1264" i="11"/>
  <c r="R1204" i="11"/>
  <c r="R1197" i="11"/>
  <c r="R1208" i="11" s="1"/>
  <c r="R1199" i="11" s="1"/>
  <c r="R1248" i="11"/>
  <c r="S1244" i="11"/>
  <c r="S1243" i="11"/>
  <c r="S1254" i="11"/>
  <c r="S1253" i="11"/>
  <c r="S1252" i="11"/>
  <c r="S1247" i="11"/>
  <c r="S1246" i="11"/>
  <c r="S1245" i="11"/>
  <c r="S1251" i="11"/>
  <c r="S1242" i="11"/>
  <c r="S1196" i="11"/>
  <c r="S1192" i="11"/>
  <c r="T1188" i="11"/>
  <c r="T1239" i="11"/>
  <c r="T1413" i="11" s="1"/>
  <c r="S1191" i="11"/>
  <c r="P1210" i="11"/>
  <c r="S1173" i="11"/>
  <c r="Q1261" i="11"/>
  <c r="S1174" i="11"/>
  <c r="S1202" i="11"/>
  <c r="S1193" i="11"/>
  <c r="S1194" i="11"/>
  <c r="R1250" i="11"/>
  <c r="R1182" i="11"/>
  <c r="S1180" i="11"/>
  <c r="R1175" i="11"/>
  <c r="S1171" i="11"/>
  <c r="S1227" i="11"/>
  <c r="S1228" i="11"/>
  <c r="S1229" i="11"/>
  <c r="S1181" i="11"/>
  <c r="S1172" i="11"/>
  <c r="R1224" i="11"/>
  <c r="S1169" i="11"/>
  <c r="S1178" i="11"/>
  <c r="S1170" i="11"/>
  <c r="T1166" i="11"/>
  <c r="T1215" i="11"/>
  <c r="S1218" i="11"/>
  <c r="S1223" i="11"/>
  <c r="S1222" i="11"/>
  <c r="S1221" i="11"/>
  <c r="S1219" i="11"/>
  <c r="S1220" i="11"/>
  <c r="L117" i="41"/>
  <c r="V1106" i="11"/>
  <c r="S38" i="11"/>
  <c r="R79" i="14"/>
  <c r="R81" i="14" s="1"/>
  <c r="R82" i="14" s="1"/>
  <c r="R87" i="14" s="1"/>
  <c r="U191" i="11"/>
  <c r="N14" i="40"/>
  <c r="T37" i="11"/>
  <c r="T89" i="11" s="1"/>
  <c r="U34" i="11"/>
  <c r="V34" i="11"/>
  <c r="K281" i="41"/>
  <c r="O150" i="14"/>
  <c r="O152" i="14" s="1"/>
  <c r="O157" i="14"/>
  <c r="V201" i="14"/>
  <c r="U460" i="11"/>
  <c r="M84" i="40"/>
  <c r="V188" i="11"/>
  <c r="I184" i="11"/>
  <c r="V68" i="14"/>
  <c r="I176" i="11"/>
  <c r="L268" i="41"/>
  <c r="L275" i="41" s="1"/>
  <c r="M235" i="41"/>
  <c r="M238" i="41" s="1"/>
  <c r="V463" i="11"/>
  <c r="V468" i="11"/>
  <c r="I468" i="11" s="1"/>
  <c r="L272" i="41"/>
  <c r="M152" i="14"/>
  <c r="S76" i="14"/>
  <c r="R25" i="41" s="1"/>
  <c r="R26" i="41" s="1"/>
  <c r="L71" i="41"/>
  <c r="T252" i="11"/>
  <c r="T251" i="11" s="1"/>
  <c r="N17" i="40"/>
  <c r="N21" i="40" s="1"/>
  <c r="T29" i="11"/>
  <c r="N13" i="40"/>
  <c r="U455" i="11"/>
  <c r="I27" i="46"/>
  <c r="T192" i="11"/>
  <c r="T75" i="14"/>
  <c r="S27" i="41" s="1"/>
  <c r="R190" i="11"/>
  <c r="K34" i="40"/>
  <c r="N484" i="14"/>
  <c r="N460" i="48" s="1"/>
  <c r="N1157" i="11"/>
  <c r="N1159" i="11" s="1"/>
  <c r="K33" i="40"/>
  <c r="O1119" i="11"/>
  <c r="L176" i="14"/>
  <c r="L181" i="14" s="1"/>
  <c r="U365" i="11"/>
  <c r="S202" i="11"/>
  <c r="S205" i="11" s="1"/>
  <c r="R436" i="11"/>
  <c r="R410" i="11" s="1"/>
  <c r="V84" i="14"/>
  <c r="X135" i="39"/>
  <c r="X134" i="39"/>
  <c r="V27" i="19"/>
  <c r="I61" i="35"/>
  <c r="U34" i="35"/>
  <c r="U69" i="35"/>
  <c r="U57" i="35" s="1"/>
  <c r="V22" i="36"/>
  <c r="V21" i="36"/>
  <c r="V14" i="36"/>
  <c r="V22" i="35"/>
  <c r="V21" i="35"/>
  <c r="V14" i="35"/>
  <c r="U70" i="24"/>
  <c r="U70" i="25" s="1"/>
  <c r="V78" i="24"/>
  <c r="V78" i="25" s="1"/>
  <c r="T90" i="23"/>
  <c r="S79" i="24"/>
  <c r="S79" i="25" s="1"/>
  <c r="T84" i="23"/>
  <c r="S73" i="24"/>
  <c r="S73" i="25" s="1"/>
  <c r="V96" i="15"/>
  <c r="V360" i="11"/>
  <c r="V361" i="11" s="1"/>
  <c r="U363" i="11"/>
  <c r="V734" i="11"/>
  <c r="V735" i="11" s="1"/>
  <c r="V737" i="11" s="1"/>
  <c r="I737" i="11" s="1"/>
  <c r="V40" i="28"/>
  <c r="V45" i="28"/>
  <c r="V88" i="23" s="1"/>
  <c r="V1021" i="11"/>
  <c r="V1022" i="11" s="1"/>
  <c r="V1024" i="11" s="1"/>
  <c r="I1024" i="11" s="1"/>
  <c r="V14" i="28"/>
  <c r="M91" i="23"/>
  <c r="V513" i="11"/>
  <c r="V514" i="11" s="1"/>
  <c r="V1391" i="11" s="1"/>
  <c r="V1094" i="11"/>
  <c r="V1096" i="11" s="1"/>
  <c r="V1097" i="11" s="1"/>
  <c r="I1097" i="11" s="1"/>
  <c r="T535" i="11"/>
  <c r="T541" i="11" s="1"/>
  <c r="U516" i="11"/>
  <c r="V739" i="11"/>
  <c r="V740" i="11" s="1"/>
  <c r="V742" i="11" s="1"/>
  <c r="V783" i="11" s="1"/>
  <c r="V785" i="11" s="1"/>
  <c r="I785" i="11" s="1"/>
  <c r="V1099" i="11"/>
  <c r="V1103" i="11" s="1"/>
  <c r="V1016" i="11"/>
  <c r="V1017" i="11" s="1"/>
  <c r="V1019" i="11" s="1"/>
  <c r="I1019" i="11" s="1"/>
  <c r="V929" i="11"/>
  <c r="V930" i="11" s="1"/>
  <c r="V932" i="11" s="1"/>
  <c r="V856" i="11"/>
  <c r="V857" i="11" s="1"/>
  <c r="V859" i="11" s="1"/>
  <c r="I859" i="11" s="1"/>
  <c r="U861" i="11"/>
  <c r="T392" i="14"/>
  <c r="T368" i="48" s="1"/>
  <c r="U862" i="11"/>
  <c r="R439" i="14"/>
  <c r="V1011" i="11"/>
  <c r="V1012" i="11" s="1"/>
  <c r="V1014" i="11" s="1"/>
  <c r="I1014" i="11" s="1"/>
  <c r="V851" i="11"/>
  <c r="V852" i="11" s="1"/>
  <c r="V744" i="11"/>
  <c r="V745" i="11" s="1"/>
  <c r="V747" i="11" s="1"/>
  <c r="I747" i="11" s="1"/>
  <c r="V934" i="11"/>
  <c r="V935" i="11" s="1"/>
  <c r="V937" i="11" s="1"/>
  <c r="I937" i="11" s="1"/>
  <c r="U939" i="11"/>
  <c r="U940" i="11"/>
  <c r="T882" i="11"/>
  <c r="T884" i="11" s="1"/>
  <c r="T960" i="11"/>
  <c r="T962" i="11" s="1"/>
  <c r="T949" i="11"/>
  <c r="T951" i="11" s="1"/>
  <c r="O485" i="14"/>
  <c r="O461" i="48" s="1"/>
  <c r="V1007" i="11"/>
  <c r="V1009" i="11" s="1"/>
  <c r="S465" i="14"/>
  <c r="S649" i="11"/>
  <c r="S672" i="11"/>
  <c r="S655" i="11"/>
  <c r="Q534" i="11"/>
  <c r="Q536" i="11" s="1"/>
  <c r="Q522" i="11" s="1"/>
  <c r="T686" i="11"/>
  <c r="T327" i="14" s="1"/>
  <c r="T303" i="48" s="1"/>
  <c r="R39" i="11"/>
  <c r="R593" i="11"/>
  <c r="T818" i="11"/>
  <c r="T373" i="14" s="1"/>
  <c r="T349" i="48" s="1"/>
  <c r="R367" i="11"/>
  <c r="U169" i="14"/>
  <c r="T109" i="41" s="1"/>
  <c r="U609" i="11"/>
  <c r="T891" i="11"/>
  <c r="T396" i="14" s="1"/>
  <c r="T372" i="48" s="1"/>
  <c r="U520" i="11"/>
  <c r="V329" i="11"/>
  <c r="V342" i="11" s="1"/>
  <c r="U342" i="11"/>
  <c r="T24" i="11"/>
  <c r="V894" i="11"/>
  <c r="V896" i="11" s="1"/>
  <c r="U896" i="11"/>
  <c r="V105" i="11"/>
  <c r="V119" i="11" s="1"/>
  <c r="U119" i="11"/>
  <c r="V683" i="11"/>
  <c r="U694" i="11"/>
  <c r="V21" i="11"/>
  <c r="V22" i="11" s="1"/>
  <c r="V1101" i="11" s="1"/>
  <c r="U1009" i="11"/>
  <c r="U1028" i="11" s="1"/>
  <c r="U1027" i="11"/>
  <c r="V669" i="11"/>
  <c r="V670" i="11" s="1"/>
  <c r="U670" i="11"/>
  <c r="S643" i="11"/>
  <c r="R264" i="11"/>
  <c r="L452" i="14"/>
  <c r="T384" i="11"/>
  <c r="T386" i="11" s="1"/>
  <c r="V622" i="11"/>
  <c r="V623" i="11" s="1"/>
  <c r="U623" i="11"/>
  <c r="T1037" i="11"/>
  <c r="T1039" i="11" s="1"/>
  <c r="T1048" i="11"/>
  <c r="T1050" i="11" s="1"/>
  <c r="S625" i="11"/>
  <c r="V909" i="11"/>
  <c r="V911" i="11" s="1"/>
  <c r="U911" i="11"/>
  <c r="V86" i="11"/>
  <c r="V87" i="11" s="1"/>
  <c r="U87" i="11"/>
  <c r="V955" i="11"/>
  <c r="V957" i="11" s="1"/>
  <c r="U957" i="11"/>
  <c r="S381" i="11"/>
  <c r="S422" i="11"/>
  <c r="S425" i="11" s="1"/>
  <c r="V294" i="11"/>
  <c r="V295" i="11" s="1"/>
  <c r="I268" i="11"/>
  <c r="S319" i="11"/>
  <c r="S313" i="11"/>
  <c r="S307" i="11"/>
  <c r="S71" i="11"/>
  <c r="V841" i="11"/>
  <c r="V843" i="11" s="1"/>
  <c r="U843" i="11"/>
  <c r="V391" i="11"/>
  <c r="I391" i="11" s="1"/>
  <c r="V602" i="11"/>
  <c r="I602" i="11" s="1"/>
  <c r="V371" i="11"/>
  <c r="V376" i="11"/>
  <c r="I376" i="11" s="1"/>
  <c r="V607" i="11"/>
  <c r="V298" i="11"/>
  <c r="V299" i="11" s="1"/>
  <c r="U299" i="11"/>
  <c r="S433" i="11"/>
  <c r="S396" i="11"/>
  <c r="S119" i="14"/>
  <c r="S95" i="48" s="1"/>
  <c r="S540" i="11"/>
  <c r="S542" i="11" s="1"/>
  <c r="Q21" i="14"/>
  <c r="Q21" i="48" s="1"/>
  <c r="Q1148" i="11"/>
  <c r="T969" i="11"/>
  <c r="T419" i="14" s="1"/>
  <c r="T395" i="48" s="1"/>
  <c r="V1053" i="11"/>
  <c r="N38" i="14"/>
  <c r="N28" i="14"/>
  <c r="V652" i="11"/>
  <c r="V653" i="11" s="1"/>
  <c r="U653" i="11"/>
  <c r="N429" i="14"/>
  <c r="V831" i="11"/>
  <c r="V833" i="11" s="1"/>
  <c r="U833" i="11"/>
  <c r="V679" i="11"/>
  <c r="V690" i="11" s="1"/>
  <c r="U690" i="11"/>
  <c r="O170" i="14"/>
  <c r="N107" i="41" s="1"/>
  <c r="N108" i="41" s="1"/>
  <c r="V997" i="11"/>
  <c r="V999" i="11" s="1"/>
  <c r="U999" i="11"/>
  <c r="V677" i="11"/>
  <c r="V688" i="11" s="1"/>
  <c r="U688" i="11"/>
  <c r="V99" i="11"/>
  <c r="V113" i="11" s="1"/>
  <c r="U113" i="11"/>
  <c r="V328" i="11"/>
  <c r="V341" i="11" s="1"/>
  <c r="U341" i="11"/>
  <c r="V617" i="11"/>
  <c r="V619" i="11" s="1"/>
  <c r="U619" i="11"/>
  <c r="V899" i="11"/>
  <c r="V901" i="11" s="1"/>
  <c r="U901" i="11"/>
  <c r="S290" i="11"/>
  <c r="V972" i="11"/>
  <c r="V974" i="11" s="1"/>
  <c r="U974" i="11"/>
  <c r="V826" i="11"/>
  <c r="V828" i="11" s="1"/>
  <c r="U828" i="11"/>
  <c r="M176" i="14"/>
  <c r="M181" i="14" s="1"/>
  <c r="V1085" i="11"/>
  <c r="V1087" i="11" s="1"/>
  <c r="U1087" i="11"/>
  <c r="L291" i="14"/>
  <c r="V43" i="11"/>
  <c r="I41" i="11"/>
  <c r="V646" i="11"/>
  <c r="V647" i="11" s="1"/>
  <c r="U647" i="11"/>
  <c r="V271" i="11"/>
  <c r="V273" i="11" s="1"/>
  <c r="U273" i="11"/>
  <c r="S95" i="11"/>
  <c r="S77" i="11"/>
  <c r="S54" i="11"/>
  <c r="V612" i="11"/>
  <c r="V614" i="11" s="1"/>
  <c r="U614" i="11"/>
  <c r="V628" i="11"/>
  <c r="V629" i="11" s="1"/>
  <c r="U629" i="11"/>
  <c r="V57" i="11"/>
  <c r="U58" i="11"/>
  <c r="S1048" i="11"/>
  <c r="S1050" i="11" s="1"/>
  <c r="S1037" i="11"/>
  <c r="S1039" i="11" s="1"/>
  <c r="V1075" i="11"/>
  <c r="V1077" i="11" s="1"/>
  <c r="U1077" i="11"/>
  <c r="V682" i="11"/>
  <c r="V693" i="11" s="1"/>
  <c r="U693" i="11"/>
  <c r="V376" i="14"/>
  <c r="I767" i="11"/>
  <c r="V419" i="11"/>
  <c r="I419" i="11" s="1"/>
  <c r="V414" i="11"/>
  <c r="V430" i="11"/>
  <c r="I430" i="11" s="1"/>
  <c r="V26" i="11"/>
  <c r="V27" i="11" s="1"/>
  <c r="U27" i="11"/>
  <c r="T340" i="11"/>
  <c r="T353" i="11"/>
  <c r="T122" i="14" s="1"/>
  <c r="T98" i="48" s="1"/>
  <c r="S301" i="11"/>
  <c r="V919" i="11"/>
  <c r="V921" i="11" s="1"/>
  <c r="U921" i="11"/>
  <c r="V987" i="11"/>
  <c r="V989" i="11" s="1"/>
  <c r="U989" i="11"/>
  <c r="V330" i="11"/>
  <c r="V343" i="11" s="1"/>
  <c r="U343" i="11"/>
  <c r="V821" i="11"/>
  <c r="V823" i="11" s="1"/>
  <c r="U823" i="11"/>
  <c r="R1111" i="11"/>
  <c r="T394" i="11"/>
  <c r="V334" i="11"/>
  <c r="V347" i="11" s="1"/>
  <c r="U347" i="11"/>
  <c r="V103" i="11"/>
  <c r="V117" i="11" s="1"/>
  <c r="U117" i="11"/>
  <c r="V1043" i="11"/>
  <c r="V1045" i="11" s="1"/>
  <c r="U1045" i="11"/>
  <c r="O37" i="14"/>
  <c r="O25" i="14"/>
  <c r="I77" i="40" s="1"/>
  <c r="T1057" i="11"/>
  <c r="T442" i="14" s="1"/>
  <c r="T418" i="48" s="1"/>
  <c r="U146" i="14"/>
  <c r="T68" i="41" s="1"/>
  <c r="S323" i="14"/>
  <c r="S635" i="11"/>
  <c r="S637" i="11" s="1"/>
  <c r="N285" i="14"/>
  <c r="M271" i="41" s="1"/>
  <c r="V336" i="11"/>
  <c r="V349" i="11" s="1"/>
  <c r="U349" i="11"/>
  <c r="V422" i="14"/>
  <c r="I945" i="11"/>
  <c r="V282" i="11"/>
  <c r="V284" i="11" s="1"/>
  <c r="V476" i="11" s="1"/>
  <c r="V699" i="11" s="1"/>
  <c r="U284" i="11"/>
  <c r="U476" i="11" s="1"/>
  <c r="U699" i="11" s="1"/>
  <c r="V1070" i="11"/>
  <c r="V1072" i="11" s="1"/>
  <c r="U1072" i="11"/>
  <c r="V107" i="11"/>
  <c r="V121" i="11" s="1"/>
  <c r="U121" i="11"/>
  <c r="V106" i="11"/>
  <c r="V120" i="11" s="1"/>
  <c r="U120" i="11"/>
  <c r="T262" i="11"/>
  <c r="T279" i="11" s="1"/>
  <c r="V982" i="11"/>
  <c r="V984" i="11" s="1"/>
  <c r="U984" i="11"/>
  <c r="V287" i="11"/>
  <c r="V288" i="11" s="1"/>
  <c r="U288" i="11"/>
  <c r="V1060" i="11"/>
  <c r="V1062" i="11" s="1"/>
  <c r="U1062" i="11"/>
  <c r="N456" i="14"/>
  <c r="N449" i="14"/>
  <c r="V338" i="11"/>
  <c r="V351" i="11" s="1"/>
  <c r="V550" i="11" s="1"/>
  <c r="U351" i="11"/>
  <c r="U550" i="11" s="1"/>
  <c r="S89" i="11"/>
  <c r="I445" i="14"/>
  <c r="I1033" i="11"/>
  <c r="P22" i="14"/>
  <c r="V640" i="11"/>
  <c r="V641" i="11" s="1"/>
  <c r="U641" i="11"/>
  <c r="V526" i="11"/>
  <c r="V531" i="11"/>
  <c r="I531" i="11" s="1"/>
  <c r="V385" i="14"/>
  <c r="V178" i="14"/>
  <c r="V408" i="14"/>
  <c r="V431" i="14"/>
  <c r="V477" i="14"/>
  <c r="V36" i="14"/>
  <c r="V500" i="14"/>
  <c r="V270" i="14"/>
  <c r="V293" i="14"/>
  <c r="V131" i="14"/>
  <c r="V454" i="14"/>
  <c r="V339" i="14"/>
  <c r="V155" i="14"/>
  <c r="V255" i="11"/>
  <c r="V681" i="11"/>
  <c r="V692" i="11" s="1"/>
  <c r="U692" i="11"/>
  <c r="M31" i="14"/>
  <c r="M60" i="14" s="1"/>
  <c r="V836" i="11"/>
  <c r="V838" i="11" s="1"/>
  <c r="U838" i="11"/>
  <c r="N123" i="14"/>
  <c r="N134" i="14" s="1"/>
  <c r="V977" i="11"/>
  <c r="V979" i="11" s="1"/>
  <c r="U979" i="11"/>
  <c r="V808" i="11"/>
  <c r="V810" i="11" s="1"/>
  <c r="U810" i="11"/>
  <c r="L129" i="14"/>
  <c r="V803" i="11"/>
  <c r="V805" i="11" s="1"/>
  <c r="U805" i="11"/>
  <c r="V1065" i="11"/>
  <c r="V1067" i="11" s="1"/>
  <c r="U1067" i="11"/>
  <c r="V585" i="11"/>
  <c r="V586" i="11" s="1"/>
  <c r="U586" i="11"/>
  <c r="V678" i="11"/>
  <c r="V689" i="11" s="1"/>
  <c r="U689" i="11"/>
  <c r="T379" i="11"/>
  <c r="T161" i="11" s="1"/>
  <c r="T164" i="11" s="1"/>
  <c r="P144" i="14"/>
  <c r="J86" i="40" s="1"/>
  <c r="P156" i="14"/>
  <c r="V399" i="14"/>
  <c r="V375" i="48" s="1"/>
  <c r="I375" i="48" s="1"/>
  <c r="I867" i="11"/>
  <c r="V1080" i="11"/>
  <c r="V1082" i="11" s="1"/>
  <c r="U1082" i="11"/>
  <c r="T125" i="11"/>
  <c r="T27" i="14" s="1"/>
  <c r="T27" i="48" s="1"/>
  <c r="T111" i="11"/>
  <c r="T24" i="14" s="1"/>
  <c r="V332" i="11"/>
  <c r="V345" i="11" s="1"/>
  <c r="U345" i="11"/>
  <c r="V102" i="11"/>
  <c r="V116" i="11" s="1"/>
  <c r="U116" i="11"/>
  <c r="L337" i="14"/>
  <c r="V276" i="11"/>
  <c r="V277" i="11" s="1"/>
  <c r="U277" i="11"/>
  <c r="V992" i="11"/>
  <c r="V994" i="11" s="1"/>
  <c r="U994" i="11"/>
  <c r="V68" i="11"/>
  <c r="V69" i="11" s="1"/>
  <c r="U69" i="11"/>
  <c r="S279" i="11"/>
  <c r="I108" i="40" l="1"/>
  <c r="K22" i="25"/>
  <c r="D73" i="40"/>
  <c r="G108" i="40"/>
  <c r="G21" i="49" s="1"/>
  <c r="J14" i="49"/>
  <c r="M109" i="40"/>
  <c r="E69" i="40"/>
  <c r="E14" i="49" s="1"/>
  <c r="E18" i="49" s="1"/>
  <c r="E3" i="49" s="1"/>
  <c r="T73" i="14"/>
  <c r="N46" i="40"/>
  <c r="N70" i="40" s="1"/>
  <c r="O70" i="40" s="1"/>
  <c r="D108" i="40"/>
  <c r="L109" i="40"/>
  <c r="N70" i="41"/>
  <c r="N71" i="41" s="1"/>
  <c r="N74" i="41" s="1"/>
  <c r="I168" i="45"/>
  <c r="G12" i="47" s="1"/>
  <c r="U13" i="47" s="1"/>
  <c r="P30" i="41"/>
  <c r="P33" i="41" s="1"/>
  <c r="M71" i="41"/>
  <c r="M74" i="41" s="1"/>
  <c r="Q1149" i="11"/>
  <c r="U17" i="41"/>
  <c r="I72" i="14"/>
  <c r="S79" i="14"/>
  <c r="S81" i="14" s="1"/>
  <c r="N11" i="40"/>
  <c r="M10" i="40"/>
  <c r="O18" i="40"/>
  <c r="O19" i="40" s="1"/>
  <c r="L35" i="40"/>
  <c r="R1116" i="11"/>
  <c r="R1147" i="11" s="1"/>
  <c r="S1104" i="11"/>
  <c r="S1112" i="11"/>
  <c r="S1114" i="11"/>
  <c r="J20" i="25"/>
  <c r="J23" i="25" s="1"/>
  <c r="J308" i="41"/>
  <c r="J309" i="41" s="1"/>
  <c r="J316" i="41" s="1"/>
  <c r="I350" i="41"/>
  <c r="I351" i="41" s="1"/>
  <c r="I358" i="41" s="1"/>
  <c r="J20" i="24"/>
  <c r="J37" i="24" s="1"/>
  <c r="J1254" i="43"/>
  <c r="J1255" i="43" s="1"/>
  <c r="L501" i="14"/>
  <c r="L489" i="14"/>
  <c r="K301" i="41"/>
  <c r="K341" i="41"/>
  <c r="K304" i="41"/>
  <c r="K306" i="41" s="1"/>
  <c r="J56" i="40"/>
  <c r="K471" i="48"/>
  <c r="K473" i="48" s="1"/>
  <c r="K474" i="48" s="1"/>
  <c r="K479" i="48" s="1"/>
  <c r="K478" i="48"/>
  <c r="E56" i="40"/>
  <c r="E62" i="40" s="1"/>
  <c r="K485" i="48"/>
  <c r="J343" i="41"/>
  <c r="J346" i="41"/>
  <c r="J348" i="41" s="1"/>
  <c r="U1215" i="11"/>
  <c r="U1408" i="11" s="1"/>
  <c r="U1410" i="11" s="1"/>
  <c r="U1108" i="11"/>
  <c r="V44" i="48"/>
  <c r="I44" i="48" s="1"/>
  <c r="U7" i="41"/>
  <c r="U9" i="41" s="1"/>
  <c r="J39" i="14"/>
  <c r="J31" i="14"/>
  <c r="J60" i="14" s="1"/>
  <c r="K38" i="48"/>
  <c r="K28" i="48"/>
  <c r="V1215" i="11"/>
  <c r="V1408" i="11" s="1"/>
  <c r="V1410" i="11" s="1"/>
  <c r="V1108" i="11"/>
  <c r="K103" i="14"/>
  <c r="K105" i="14" s="1"/>
  <c r="K110" i="14"/>
  <c r="U70" i="14"/>
  <c r="U85" i="14" s="1"/>
  <c r="T12" i="41"/>
  <c r="D28" i="46"/>
  <c r="D37" i="46" s="1"/>
  <c r="D22" i="49"/>
  <c r="J28" i="48"/>
  <c r="J38" i="48"/>
  <c r="I38" i="48" s="1"/>
  <c r="L97" i="14"/>
  <c r="L100" i="14" s="1"/>
  <c r="L109" i="14"/>
  <c r="L38" i="48"/>
  <c r="L28" i="48"/>
  <c r="J106" i="14"/>
  <c r="J111" i="14" s="1"/>
  <c r="J520" i="14"/>
  <c r="K492" i="14"/>
  <c r="U145" i="48"/>
  <c r="H69" i="48"/>
  <c r="F58" i="40"/>
  <c r="L70" i="48"/>
  <c r="L483" i="48"/>
  <c r="T115" i="48"/>
  <c r="N47" i="40" s="1"/>
  <c r="S48" i="41"/>
  <c r="S50" i="41" s="1"/>
  <c r="F179" i="45"/>
  <c r="F185" i="45" s="1"/>
  <c r="F51" i="45"/>
  <c r="D19" i="47" s="1"/>
  <c r="D20" i="47" s="1"/>
  <c r="E77" i="40"/>
  <c r="K38" i="14"/>
  <c r="K28" i="14"/>
  <c r="K512" i="14"/>
  <c r="K524" i="14"/>
  <c r="L524" i="14"/>
  <c r="L512" i="14"/>
  <c r="N157" i="14"/>
  <c r="F77" i="40"/>
  <c r="L28" i="14"/>
  <c r="L38" i="14"/>
  <c r="V1110" i="11"/>
  <c r="V1113" i="11"/>
  <c r="V1115" i="11" s="1"/>
  <c r="D97" i="40"/>
  <c r="J86" i="48"/>
  <c r="J76" i="48"/>
  <c r="J79" i="48" s="1"/>
  <c r="J81" i="48" s="1"/>
  <c r="I312" i="41"/>
  <c r="J495" i="14"/>
  <c r="J497" i="14" s="1"/>
  <c r="J498" i="14" s="1"/>
  <c r="J503" i="14" s="1"/>
  <c r="D95" i="40"/>
  <c r="J525" i="14"/>
  <c r="J515" i="14"/>
  <c r="J518" i="14" s="1"/>
  <c r="T51" i="48"/>
  <c r="K18" i="24"/>
  <c r="K18" i="25"/>
  <c r="K81" i="19"/>
  <c r="K1240" i="43"/>
  <c r="K1242" i="43" s="1"/>
  <c r="K1453" i="11"/>
  <c r="K1455" i="11" s="1"/>
  <c r="K97" i="15" s="1"/>
  <c r="K71" i="24" s="1"/>
  <c r="K71" i="25" s="1"/>
  <c r="J488" i="48"/>
  <c r="J500" i="48"/>
  <c r="N150" i="14"/>
  <c r="N152" i="14" s="1"/>
  <c r="V138" i="48"/>
  <c r="I138" i="48" s="1"/>
  <c r="U89" i="41"/>
  <c r="U91" i="41" s="1"/>
  <c r="D64" i="40"/>
  <c r="D4" i="49"/>
  <c r="D5" i="49" s="1"/>
  <c r="K85" i="48"/>
  <c r="K73" i="48"/>
  <c r="S21" i="41"/>
  <c r="S22" i="41" s="1"/>
  <c r="S29" i="41" s="1"/>
  <c r="S21" i="42"/>
  <c r="V19" i="42"/>
  <c r="V21" i="42" s="1"/>
  <c r="P512" i="14"/>
  <c r="J95" i="40" s="1"/>
  <c r="J24" i="46" s="1"/>
  <c r="P97" i="14"/>
  <c r="P100" i="14" s="1"/>
  <c r="P103" i="14" s="1"/>
  <c r="O31" i="48"/>
  <c r="O33" i="48" s="1"/>
  <c r="O34" i="48" s="1"/>
  <c r="O40" i="48" s="1"/>
  <c r="L235" i="41"/>
  <c r="M240" i="41" s="1"/>
  <c r="K58" i="40"/>
  <c r="Q30" i="41"/>
  <c r="P85" i="48"/>
  <c r="P73" i="48"/>
  <c r="P37" i="48"/>
  <c r="O143" i="48"/>
  <c r="O146" i="48" s="1"/>
  <c r="O149" i="48" s="1"/>
  <c r="T1102" i="11"/>
  <c r="Q249" i="14"/>
  <c r="Q103" i="14"/>
  <c r="Q105" i="14" s="1"/>
  <c r="Q106" i="14" s="1"/>
  <c r="Q111" i="14" s="1"/>
  <c r="P179" i="14"/>
  <c r="Q22" i="48"/>
  <c r="Q37" i="48" s="1"/>
  <c r="M267" i="48"/>
  <c r="M272" i="48" s="1"/>
  <c r="R92" i="14"/>
  <c r="R94" i="14" s="1"/>
  <c r="R109" i="14" s="1"/>
  <c r="O126" i="14"/>
  <c r="O128" i="14" s="1"/>
  <c r="O129" i="14" s="1"/>
  <c r="O135" i="14" s="1"/>
  <c r="P38" i="48"/>
  <c r="L438" i="48"/>
  <c r="L439" i="48" s="1"/>
  <c r="P357" i="14"/>
  <c r="P359" i="14" s="1"/>
  <c r="P360" i="14" s="1"/>
  <c r="P365" i="14" s="1"/>
  <c r="R22" i="41"/>
  <c r="R29" i="41" s="1"/>
  <c r="Q443" i="14"/>
  <c r="Q446" i="14" s="1"/>
  <c r="Q449" i="14" s="1"/>
  <c r="Q451" i="14" s="1"/>
  <c r="Q452" i="14" s="1"/>
  <c r="Q457" i="14" s="1"/>
  <c r="N31" i="48"/>
  <c r="N33" i="48" s="1"/>
  <c r="N34" i="48" s="1"/>
  <c r="N40" i="48" s="1"/>
  <c r="N39" i="48"/>
  <c r="S52" i="48"/>
  <c r="S55" i="48" s="1"/>
  <c r="Q351" i="14"/>
  <c r="Q354" i="14" s="1"/>
  <c r="Q357" i="14" s="1"/>
  <c r="Q359" i="14" s="1"/>
  <c r="Q360" i="14" s="1"/>
  <c r="Q365" i="14" s="1"/>
  <c r="Q218" i="48"/>
  <c r="Q220" i="48" s="1"/>
  <c r="Q221" i="48" s="1"/>
  <c r="Q226" i="48" s="1"/>
  <c r="Q225" i="48"/>
  <c r="S232" i="11"/>
  <c r="M50" i="45" s="1"/>
  <c r="M58" i="45" s="1"/>
  <c r="M191" i="45" s="1"/>
  <c r="S233" i="11"/>
  <c r="S234" i="11" s="1"/>
  <c r="T85" i="14"/>
  <c r="P120" i="48"/>
  <c r="P123" i="48" s="1"/>
  <c r="P126" i="48" s="1"/>
  <c r="I21" i="49"/>
  <c r="T49" i="48"/>
  <c r="R212" i="48"/>
  <c r="R215" i="48" s="1"/>
  <c r="Q201" i="48"/>
  <c r="P120" i="14"/>
  <c r="P133" i="14" s="1"/>
  <c r="K96" i="40"/>
  <c r="Q431" i="48"/>
  <c r="P231" i="48"/>
  <c r="M267" i="41"/>
  <c r="M268" i="41" s="1"/>
  <c r="M275" i="41" s="1"/>
  <c r="T232" i="11"/>
  <c r="N50" i="45" s="1"/>
  <c r="N58" i="45" s="1"/>
  <c r="T233" i="11"/>
  <c r="T234" i="11" s="1"/>
  <c r="T92" i="14" s="1"/>
  <c r="M343" i="41"/>
  <c r="P96" i="48"/>
  <c r="P99" i="48" s="1"/>
  <c r="N173" i="14"/>
  <c r="N175" i="14" s="1"/>
  <c r="T236" i="11"/>
  <c r="O18" i="50"/>
  <c r="M494" i="48"/>
  <c r="M501" i="48"/>
  <c r="T864" i="11"/>
  <c r="T393" i="14" s="1"/>
  <c r="T369" i="48" s="1"/>
  <c r="T370" i="48" s="1"/>
  <c r="P217" i="41"/>
  <c r="P219" i="41" s="1"/>
  <c r="M112" i="41"/>
  <c r="N260" i="41"/>
  <c r="N267" i="41" s="1"/>
  <c r="O133" i="48"/>
  <c r="M79" i="48"/>
  <c r="M86" i="48"/>
  <c r="O294" i="14"/>
  <c r="P328" i="14"/>
  <c r="J79" i="40" s="1"/>
  <c r="J25" i="46" s="1"/>
  <c r="O488" i="48"/>
  <c r="O491" i="48" s="1"/>
  <c r="E36" i="45"/>
  <c r="D46" i="47" s="1"/>
  <c r="Q325" i="14"/>
  <c r="Q340" i="14" s="1"/>
  <c r="O222" i="41"/>
  <c r="O224" i="41" s="1"/>
  <c r="O226" i="41" s="1"/>
  <c r="Q117" i="14"/>
  <c r="Q120" i="14" s="1"/>
  <c r="O331" i="14"/>
  <c r="N230" i="41" s="1"/>
  <c r="N231" i="41" s="1"/>
  <c r="G20" i="47"/>
  <c r="I36" i="47"/>
  <c r="G3" i="49"/>
  <c r="R20" i="48"/>
  <c r="L39" i="40" s="1"/>
  <c r="U122" i="48"/>
  <c r="N462" i="48"/>
  <c r="N477" i="48" s="1"/>
  <c r="H15" i="49"/>
  <c r="M57" i="40"/>
  <c r="S209" i="48"/>
  <c r="S224" i="48" s="1"/>
  <c r="R348" i="14"/>
  <c r="R363" i="14" s="1"/>
  <c r="R322" i="48"/>
  <c r="J164" i="45"/>
  <c r="H18" i="47"/>
  <c r="H20" i="47" s="1"/>
  <c r="L165" i="45"/>
  <c r="J34" i="47"/>
  <c r="R280" i="48"/>
  <c r="S562" i="11"/>
  <c r="S567" i="11" s="1"/>
  <c r="S304" i="14" s="1"/>
  <c r="J83" i="45"/>
  <c r="J84" i="45" s="1"/>
  <c r="H38" i="47"/>
  <c r="H39" i="47" s="1"/>
  <c r="U514" i="14"/>
  <c r="U214" i="48"/>
  <c r="U490" i="48" s="1"/>
  <c r="P53" i="41"/>
  <c r="P55" i="41" s="1"/>
  <c r="Q116" i="48"/>
  <c r="Q117" i="48" s="1"/>
  <c r="U191" i="48"/>
  <c r="Q176" i="41"/>
  <c r="R185" i="48"/>
  <c r="R186" i="48" s="1"/>
  <c r="R189" i="48" s="1"/>
  <c r="Q164" i="14"/>
  <c r="Q179" i="14" s="1"/>
  <c r="Q139" i="48"/>
  <c r="Q511" i="14"/>
  <c r="Q512" i="14" s="1"/>
  <c r="K95" i="40" s="1"/>
  <c r="K24" i="46" s="1"/>
  <c r="Q326" i="48"/>
  <c r="Q487" i="48" s="1"/>
  <c r="H72" i="40"/>
  <c r="H17" i="49" s="1"/>
  <c r="H43" i="40"/>
  <c r="P327" i="48"/>
  <c r="P339" i="48"/>
  <c r="Q73" i="48"/>
  <c r="Q85" i="48"/>
  <c r="Q317" i="14"/>
  <c r="Q305" i="14"/>
  <c r="Q278" i="48"/>
  <c r="K59" i="40"/>
  <c r="K68" i="40" s="1"/>
  <c r="K13" i="49" s="1"/>
  <c r="Q483" i="48"/>
  <c r="O330" i="48"/>
  <c r="I99" i="40"/>
  <c r="N333" i="48"/>
  <c r="N340" i="48"/>
  <c r="O86" i="48"/>
  <c r="O79" i="48"/>
  <c r="O81" i="48" s="1"/>
  <c r="I98" i="40"/>
  <c r="O284" i="48"/>
  <c r="N501" i="48"/>
  <c r="N494" i="48"/>
  <c r="N287" i="48"/>
  <c r="N294" i="48"/>
  <c r="P311" i="14"/>
  <c r="P313" i="14" s="1"/>
  <c r="P314" i="14" s="1"/>
  <c r="P319" i="14" s="1"/>
  <c r="P318" i="14"/>
  <c r="J98" i="40"/>
  <c r="P284" i="48"/>
  <c r="O58" i="41"/>
  <c r="O60" i="41" s="1"/>
  <c r="O55" i="41"/>
  <c r="P488" i="48"/>
  <c r="P491" i="48" s="1"/>
  <c r="R317" i="14"/>
  <c r="R305" i="14"/>
  <c r="R308" i="14" s="1"/>
  <c r="R278" i="48"/>
  <c r="L59" i="40"/>
  <c r="L68" i="40" s="1"/>
  <c r="L13" i="49" s="1"/>
  <c r="K60" i="40"/>
  <c r="Q324" i="48"/>
  <c r="T237" i="48"/>
  <c r="H107" i="40"/>
  <c r="H20" i="49" s="1"/>
  <c r="I17" i="46"/>
  <c r="M301" i="41"/>
  <c r="M304" i="41"/>
  <c r="M306" i="41" s="1"/>
  <c r="P443" i="14"/>
  <c r="P446" i="14" s="1"/>
  <c r="T24" i="48"/>
  <c r="O261" i="48"/>
  <c r="O264" i="48" s="1"/>
  <c r="I93" i="40"/>
  <c r="M489" i="14"/>
  <c r="M464" i="48"/>
  <c r="M465" i="48" s="1"/>
  <c r="M468" i="48" s="1"/>
  <c r="M478" i="48" s="1"/>
  <c r="S394" i="14"/>
  <c r="S409" i="14" s="1"/>
  <c r="S369" i="48"/>
  <c r="S370" i="48" s="1"/>
  <c r="S373" i="48" s="1"/>
  <c r="S376" i="48" s="1"/>
  <c r="Q432" i="14"/>
  <c r="Q420" i="14"/>
  <c r="Q423" i="14" s="1"/>
  <c r="R417" i="14"/>
  <c r="R392" i="48"/>
  <c r="R393" i="48" s="1"/>
  <c r="R396" i="48" s="1"/>
  <c r="R399" i="48" s="1"/>
  <c r="D80" i="40"/>
  <c r="D81" i="40" s="1"/>
  <c r="D6" i="49" s="1"/>
  <c r="J479" i="14"/>
  <c r="J469" i="14"/>
  <c r="J472" i="14" s="1"/>
  <c r="J474" i="14" s="1"/>
  <c r="K478" i="14"/>
  <c r="K466" i="14"/>
  <c r="T441" i="48"/>
  <c r="S417" i="14"/>
  <c r="S432" i="14" s="1"/>
  <c r="K1463" i="11"/>
  <c r="K1465" i="11" s="1"/>
  <c r="K19" i="24"/>
  <c r="K46" i="15"/>
  <c r="K1250" i="43"/>
  <c r="K1252" i="43" s="1"/>
  <c r="K19" i="25"/>
  <c r="R440" i="14"/>
  <c r="R455" i="14" s="1"/>
  <c r="R415" i="48"/>
  <c r="R416" i="48" s="1"/>
  <c r="O461" i="14"/>
  <c r="O345" i="48"/>
  <c r="O437" i="48" s="1"/>
  <c r="I42" i="40" s="1"/>
  <c r="L463" i="14"/>
  <c r="I376" i="14"/>
  <c r="V352" i="48"/>
  <c r="K350" i="48"/>
  <c r="K353" i="48" s="1"/>
  <c r="K356" i="48" s="1"/>
  <c r="J63" i="15"/>
  <c r="J49" i="15"/>
  <c r="I422" i="14"/>
  <c r="V398" i="48"/>
  <c r="I398" i="48" s="1"/>
  <c r="J103" i="15"/>
  <c r="J1467" i="11"/>
  <c r="J1468" i="11" s="1"/>
  <c r="J72" i="15" s="1"/>
  <c r="M462" i="14"/>
  <c r="M346" i="48"/>
  <c r="M347" i="48" s="1"/>
  <c r="O427" i="48"/>
  <c r="O428" i="48" s="1"/>
  <c r="O433" i="48" s="1"/>
  <c r="M371" i="14"/>
  <c r="M374" i="14" s="1"/>
  <c r="M377" i="14" s="1"/>
  <c r="M387" i="14" s="1"/>
  <c r="R394" i="14"/>
  <c r="R369" i="48"/>
  <c r="R370" i="48" s="1"/>
  <c r="T260" i="48"/>
  <c r="T253" i="48"/>
  <c r="N54" i="40" s="1"/>
  <c r="T306" i="48"/>
  <c r="R212" i="41"/>
  <c r="R214" i="41" s="1"/>
  <c r="S299" i="48"/>
  <c r="M41" i="40" s="1"/>
  <c r="U45" i="48"/>
  <c r="U46" i="48" s="1"/>
  <c r="N226" i="48"/>
  <c r="M387" i="48"/>
  <c r="S408" i="48"/>
  <c r="S396" i="48"/>
  <c r="S399" i="48" s="1"/>
  <c r="M341" i="48"/>
  <c r="U535" i="11"/>
  <c r="U541" i="11" s="1"/>
  <c r="R140" i="14"/>
  <c r="P31" i="48"/>
  <c r="P39" i="48"/>
  <c r="R1148" i="11"/>
  <c r="R57" i="48"/>
  <c r="R58" i="48" s="1"/>
  <c r="O402" i="48"/>
  <c r="O409" i="48"/>
  <c r="Q304" i="48"/>
  <c r="Q307" i="48" s="1"/>
  <c r="Q316" i="48"/>
  <c r="N133" i="48"/>
  <c r="N126" i="48"/>
  <c r="N156" i="48"/>
  <c r="N149" i="48"/>
  <c r="Q278" i="14"/>
  <c r="Q254" i="48" s="1"/>
  <c r="Q255" i="48" s="1"/>
  <c r="V69" i="14"/>
  <c r="N180" i="14"/>
  <c r="Q195" i="48"/>
  <c r="Q202" i="48"/>
  <c r="P94" i="41"/>
  <c r="P99" i="41" s="1"/>
  <c r="P101" i="41" s="1"/>
  <c r="R350" i="14"/>
  <c r="J356" i="48"/>
  <c r="N310" i="48"/>
  <c r="N317" i="48"/>
  <c r="L433" i="48"/>
  <c r="S20" i="14"/>
  <c r="P431" i="48"/>
  <c r="P419" i="48"/>
  <c r="Q408" i="48"/>
  <c r="Q396" i="48"/>
  <c r="U139" i="14"/>
  <c r="T48" i="41" s="1"/>
  <c r="T50" i="41" s="1"/>
  <c r="P279" i="14"/>
  <c r="O258" i="41"/>
  <c r="Q141" i="14"/>
  <c r="Q156" i="14" s="1"/>
  <c r="L203" i="48"/>
  <c r="J479" i="48"/>
  <c r="P143" i="48"/>
  <c r="P155" i="48"/>
  <c r="R324" i="14"/>
  <c r="R300" i="48" s="1"/>
  <c r="R301" i="48" s="1"/>
  <c r="U192" i="11"/>
  <c r="T457" i="11"/>
  <c r="O109" i="48"/>
  <c r="O99" i="48"/>
  <c r="L266" i="48"/>
  <c r="L267" i="48" s="1"/>
  <c r="U871" i="11"/>
  <c r="U873" i="11" s="1"/>
  <c r="V238" i="14"/>
  <c r="V214" i="48" s="1"/>
  <c r="Q255" i="14"/>
  <c r="Q108" i="48"/>
  <c r="Q96" i="48"/>
  <c r="O379" i="48"/>
  <c r="O386" i="48"/>
  <c r="U415" i="14"/>
  <c r="U391" i="48" s="1"/>
  <c r="S235" i="14"/>
  <c r="S211" i="48" s="1"/>
  <c r="K455" i="48"/>
  <c r="K448" i="48"/>
  <c r="P304" i="48"/>
  <c r="P316" i="48"/>
  <c r="Q381" i="48"/>
  <c r="Q382" i="48" s="1"/>
  <c r="Q387" i="48" s="1"/>
  <c r="U284" i="14"/>
  <c r="T273" i="41" s="1"/>
  <c r="V215" i="14"/>
  <c r="U191" i="41" s="1"/>
  <c r="O96" i="41"/>
  <c r="O103" i="41" s="1"/>
  <c r="O104" i="41" s="1"/>
  <c r="O111" i="41" s="1"/>
  <c r="Q425" i="48"/>
  <c r="Q432" i="48"/>
  <c r="O128" i="48"/>
  <c r="O129" i="48" s="1"/>
  <c r="O134" i="48" s="1"/>
  <c r="L350" i="48"/>
  <c r="L362" i="48"/>
  <c r="S281" i="14"/>
  <c r="S257" i="48" s="1"/>
  <c r="N425" i="48"/>
  <c r="N432" i="48"/>
  <c r="P195" i="48"/>
  <c r="P202" i="48"/>
  <c r="M405" i="48"/>
  <c r="S212" i="14"/>
  <c r="S188" i="48" s="1"/>
  <c r="L111" i="48"/>
  <c r="N488" i="14"/>
  <c r="N464" i="48" s="1"/>
  <c r="U438" i="14"/>
  <c r="U414" i="48" s="1"/>
  <c r="L157" i="48"/>
  <c r="J455" i="48"/>
  <c r="J445" i="48"/>
  <c r="S209" i="14"/>
  <c r="O312" i="48"/>
  <c r="O313" i="48" s="1"/>
  <c r="O318" i="48" s="1"/>
  <c r="P225" i="48"/>
  <c r="P218" i="48"/>
  <c r="T115" i="14"/>
  <c r="T91" i="48" s="1"/>
  <c r="N40" i="40" s="1"/>
  <c r="N370" i="14"/>
  <c r="N371" i="14" s="1"/>
  <c r="N386" i="14" s="1"/>
  <c r="R163" i="14"/>
  <c r="Q94" i="41" s="1"/>
  <c r="Q99" i="41" s="1"/>
  <c r="Q101" i="41" s="1"/>
  <c r="U330" i="14"/>
  <c r="T232" i="41" s="1"/>
  <c r="N261" i="48"/>
  <c r="L478" i="48"/>
  <c r="L471" i="48"/>
  <c r="M152" i="48"/>
  <c r="M157" i="48" s="1"/>
  <c r="P255" i="48"/>
  <c r="G14" i="47"/>
  <c r="U16" i="47" s="1"/>
  <c r="H186" i="45"/>
  <c r="F13" i="47"/>
  <c r="F16" i="47" s="1"/>
  <c r="T14" i="47" s="1"/>
  <c r="T15" i="47" s="1"/>
  <c r="G13" i="47"/>
  <c r="H176" i="45"/>
  <c r="F14" i="47"/>
  <c r="T16" i="47" s="1"/>
  <c r="K51" i="45"/>
  <c r="I19" i="47" s="1"/>
  <c r="K179" i="45"/>
  <c r="K185" i="45" s="1"/>
  <c r="V149" i="43"/>
  <c r="V718" i="11"/>
  <c r="I726" i="11"/>
  <c r="I244" i="11"/>
  <c r="I721" i="11"/>
  <c r="V353" i="14"/>
  <c r="L74" i="45"/>
  <c r="J35" i="47" s="1"/>
  <c r="L180" i="45"/>
  <c r="V569" i="11"/>
  <c r="V307" i="14" s="1"/>
  <c r="I577" i="11"/>
  <c r="V241" i="11"/>
  <c r="I249" i="11"/>
  <c r="Q1418" i="11"/>
  <c r="K21" i="46"/>
  <c r="K82" i="45"/>
  <c r="K189" i="45"/>
  <c r="L78" i="45"/>
  <c r="J37" i="47" s="1"/>
  <c r="L172" i="45"/>
  <c r="M103" i="45"/>
  <c r="K27" i="47" s="1"/>
  <c r="K28" i="47" s="1"/>
  <c r="M111" i="45"/>
  <c r="K30" i="47" s="1"/>
  <c r="K31" i="47" s="1"/>
  <c r="U560" i="11"/>
  <c r="U561" i="11"/>
  <c r="U300" i="14" s="1"/>
  <c r="T560" i="11"/>
  <c r="N102" i="45" s="1"/>
  <c r="N110" i="45" s="1"/>
  <c r="T561" i="11"/>
  <c r="T300" i="14" s="1"/>
  <c r="N10" i="45"/>
  <c r="N9" i="45" s="1"/>
  <c r="T1327" i="11"/>
  <c r="T1331" i="11" s="1"/>
  <c r="D101" i="45"/>
  <c r="N109" i="45"/>
  <c r="N190" i="45" s="1"/>
  <c r="T1400" i="11"/>
  <c r="T1402" i="11" s="1"/>
  <c r="Q1359" i="11"/>
  <c r="V1394" i="11"/>
  <c r="V1396" i="11" s="1"/>
  <c r="U1398" i="11"/>
  <c r="V335" i="43"/>
  <c r="R1420" i="11"/>
  <c r="L92" i="40" s="1"/>
  <c r="T709" i="11"/>
  <c r="N73" i="45" s="1"/>
  <c r="N81" i="45" s="1"/>
  <c r="T710" i="11"/>
  <c r="T711" i="11" s="1"/>
  <c r="S1355" i="11"/>
  <c r="M66" i="45" s="1"/>
  <c r="M65" i="45"/>
  <c r="T1366" i="11"/>
  <c r="T1369" i="11"/>
  <c r="T1374" i="11"/>
  <c r="N70" i="45"/>
  <c r="N69" i="45" s="1"/>
  <c r="T1368" i="11"/>
  <c r="T1370" i="11"/>
  <c r="T1353" i="11"/>
  <c r="N64" i="45"/>
  <c r="R1358" i="11"/>
  <c r="L80" i="45"/>
  <c r="R1375" i="11"/>
  <c r="M72" i="45"/>
  <c r="M180" i="45" s="1"/>
  <c r="S1372" i="11"/>
  <c r="T1357" i="11"/>
  <c r="T1351" i="11"/>
  <c r="T1352" i="11"/>
  <c r="T1349" i="11"/>
  <c r="U1346" i="11"/>
  <c r="U1353" i="11" s="1"/>
  <c r="U1363" i="11"/>
  <c r="U1435" i="11" s="1"/>
  <c r="V1346" i="11"/>
  <c r="V1353" i="11" s="1"/>
  <c r="V1363" i="11"/>
  <c r="V1435" i="11" s="1"/>
  <c r="S1101" i="43"/>
  <c r="T1038" i="43"/>
  <c r="T1028" i="43" s="1"/>
  <c r="T1035" i="43" s="1"/>
  <c r="V1209" i="43"/>
  <c r="U861" i="43"/>
  <c r="S1028" i="43"/>
  <c r="S1035" i="43" s="1"/>
  <c r="U780" i="43"/>
  <c r="U782" i="43" s="1"/>
  <c r="U773" i="43" s="1"/>
  <c r="U1034" i="43"/>
  <c r="V39" i="43"/>
  <c r="V979" i="43" s="1"/>
  <c r="V980" i="43" s="1"/>
  <c r="V1083" i="43"/>
  <c r="T1095" i="43"/>
  <c r="T1100" i="43" s="1"/>
  <c r="V1081" i="43"/>
  <c r="U1026" i="43"/>
  <c r="T1036" i="43"/>
  <c r="T1103" i="43" s="1"/>
  <c r="J64" i="42" s="1"/>
  <c r="V1026" i="43"/>
  <c r="V1034" i="43"/>
  <c r="U1081" i="43"/>
  <c r="U1083" i="43"/>
  <c r="U456" i="43"/>
  <c r="V933" i="43"/>
  <c r="V935" i="43" s="1"/>
  <c r="V939" i="43"/>
  <c r="V940" i="43" s="1"/>
  <c r="V942" i="43" s="1"/>
  <c r="U933" i="43"/>
  <c r="U935" i="43" s="1"/>
  <c r="U939" i="43"/>
  <c r="U940" i="43" s="1"/>
  <c r="U942" i="43" s="1"/>
  <c r="U39" i="43"/>
  <c r="U979" i="43" s="1"/>
  <c r="U980" i="43" s="1"/>
  <c r="U1209" i="43"/>
  <c r="V694" i="11"/>
  <c r="V686" i="11" s="1"/>
  <c r="V327" i="14" s="1"/>
  <c r="V303" i="48" s="1"/>
  <c r="T458" i="11"/>
  <c r="S1417" i="11"/>
  <c r="M53" i="40" s="1"/>
  <c r="L387" i="14"/>
  <c r="Q1269" i="11"/>
  <c r="K42" i="45"/>
  <c r="S1406" i="11"/>
  <c r="P1270" i="11"/>
  <c r="J43" i="45"/>
  <c r="J44" i="45"/>
  <c r="T1408" i="11"/>
  <c r="T1410" i="11" s="1"/>
  <c r="N47" i="45"/>
  <c r="N46" i="45" s="1"/>
  <c r="N41" i="45"/>
  <c r="N39" i="45" s="1"/>
  <c r="U486" i="11"/>
  <c r="U487" i="11"/>
  <c r="U488" i="11" s="1"/>
  <c r="U453" i="11"/>
  <c r="T171" i="41" s="1"/>
  <c r="T173" i="41" s="1"/>
  <c r="U451" i="11"/>
  <c r="T238" i="11"/>
  <c r="T566" i="11"/>
  <c r="T715" i="11"/>
  <c r="T208" i="14"/>
  <c r="T184" i="48" s="1"/>
  <c r="N49" i="40" s="1"/>
  <c r="T492" i="11"/>
  <c r="V453" i="11"/>
  <c r="U171" i="41" s="1"/>
  <c r="U173" i="41" s="1"/>
  <c r="I449" i="11"/>
  <c r="L308" i="41"/>
  <c r="R137" i="41"/>
  <c r="Q592" i="43"/>
  <c r="Q629" i="43"/>
  <c r="Q631" i="43" s="1"/>
  <c r="Q607" i="43" s="1"/>
  <c r="S586" i="43"/>
  <c r="T585" i="43"/>
  <c r="T750" i="11"/>
  <c r="T752" i="11" s="1"/>
  <c r="T793" i="11" s="1"/>
  <c r="T795" i="11" s="1"/>
  <c r="U749" i="11"/>
  <c r="V791" i="43"/>
  <c r="V793" i="43" s="1"/>
  <c r="V780" i="43"/>
  <c r="V782" i="43" s="1"/>
  <c r="P647" i="43"/>
  <c r="P603" i="43"/>
  <c r="P605" i="43" s="1"/>
  <c r="P600" i="43" s="1"/>
  <c r="P594" i="43" s="1"/>
  <c r="R757" i="11"/>
  <c r="R760" i="11"/>
  <c r="L20" i="40" s="1"/>
  <c r="U576" i="43"/>
  <c r="U578" i="43" s="1"/>
  <c r="U619" i="43" s="1"/>
  <c r="U621" i="43" s="1"/>
  <c r="V575" i="43"/>
  <c r="V576" i="43" s="1"/>
  <c r="V578" i="43" s="1"/>
  <c r="I573" i="43"/>
  <c r="V614" i="43"/>
  <c r="V616" i="43" s="1"/>
  <c r="I616" i="43" s="1"/>
  <c r="S755" i="11"/>
  <c r="T754" i="11"/>
  <c r="O600" i="43"/>
  <c r="O594" i="43" s="1"/>
  <c r="V456" i="43"/>
  <c r="I611" i="43"/>
  <c r="T1425" i="11"/>
  <c r="Q798" i="11"/>
  <c r="Q800" i="11" s="1"/>
  <c r="Q776" i="11" s="1"/>
  <c r="Q761" i="11"/>
  <c r="T1292" i="11"/>
  <c r="P772" i="11"/>
  <c r="P774" i="11" s="1"/>
  <c r="P769" i="11" s="1"/>
  <c r="P369" i="14"/>
  <c r="P345" i="48" s="1"/>
  <c r="P437" i="48" s="1"/>
  <c r="J42" i="40" s="1"/>
  <c r="P816" i="11"/>
  <c r="V702" i="43"/>
  <c r="V704" i="43" s="1"/>
  <c r="V713" i="43"/>
  <c r="V715" i="43" s="1"/>
  <c r="T1290" i="11"/>
  <c r="U695" i="43"/>
  <c r="O763" i="11"/>
  <c r="R591" i="43"/>
  <c r="R588" i="43"/>
  <c r="V868" i="43"/>
  <c r="V870" i="43" s="1"/>
  <c r="V879" i="43"/>
  <c r="V881" i="43" s="1"/>
  <c r="T581" i="43"/>
  <c r="T583" i="43" s="1"/>
  <c r="T624" i="43" s="1"/>
  <c r="T626" i="43" s="1"/>
  <c r="U580" i="43"/>
  <c r="V704" i="11"/>
  <c r="V1178" i="43"/>
  <c r="V1180" i="43" s="1"/>
  <c r="V1186" i="43" s="1"/>
  <c r="V591" i="11"/>
  <c r="V643" i="11" s="1"/>
  <c r="V589" i="11"/>
  <c r="T1284" i="11"/>
  <c r="U440" i="11"/>
  <c r="U1302" i="11"/>
  <c r="U1278" i="11"/>
  <c r="U704" i="11"/>
  <c r="U591" i="11"/>
  <c r="U631" i="11" s="1"/>
  <c r="U1178" i="43"/>
  <c r="U1180" i="43" s="1"/>
  <c r="U1186" i="43" s="1"/>
  <c r="U589" i="11"/>
  <c r="T1291" i="11"/>
  <c r="T1286" i="11"/>
  <c r="T1283" i="11"/>
  <c r="T1285" i="11"/>
  <c r="T1282" i="11"/>
  <c r="T1182" i="43"/>
  <c r="T1184" i="43" s="1"/>
  <c r="T1187" i="43" s="1"/>
  <c r="T1188" i="43" s="1"/>
  <c r="V518" i="11"/>
  <c r="V555" i="11"/>
  <c r="V558" i="11" s="1"/>
  <c r="U564" i="11"/>
  <c r="U222" i="11"/>
  <c r="U227" i="11" s="1"/>
  <c r="T1124" i="43"/>
  <c r="I162" i="14"/>
  <c r="U1068" i="43"/>
  <c r="V222" i="11"/>
  <c r="V227" i="11" s="1"/>
  <c r="V230" i="11" s="1"/>
  <c r="N111" i="14"/>
  <c r="T713" i="11"/>
  <c r="S716" i="11"/>
  <c r="S346" i="14"/>
  <c r="Q245" i="14"/>
  <c r="Q250" i="14" s="1"/>
  <c r="N245" i="14"/>
  <c r="N250" i="14" s="1"/>
  <c r="N520" i="14"/>
  <c r="N521" i="14" s="1"/>
  <c r="N526" i="14" s="1"/>
  <c r="O515" i="14"/>
  <c r="Q524" i="14"/>
  <c r="M360" i="14"/>
  <c r="M520" i="14"/>
  <c r="U261" i="14"/>
  <c r="S233" i="14"/>
  <c r="O357" i="14"/>
  <c r="O364" i="14"/>
  <c r="N299" i="41"/>
  <c r="N341" i="41" s="1"/>
  <c r="N346" i="41" s="1"/>
  <c r="N348" i="41" s="1"/>
  <c r="M294" i="41"/>
  <c r="M296" i="41" s="1"/>
  <c r="R248" i="14"/>
  <c r="R236" i="14"/>
  <c r="R239" i="14" s="1"/>
  <c r="T493" i="11"/>
  <c r="T231" i="14"/>
  <c r="T207" i="48" s="1"/>
  <c r="P242" i="14"/>
  <c r="P249" i="14"/>
  <c r="U252" i="11"/>
  <c r="U251" i="11" s="1"/>
  <c r="V480" i="11"/>
  <c r="V481" i="11" s="1"/>
  <c r="V484" i="11" s="1"/>
  <c r="U490" i="11"/>
  <c r="V495" i="11"/>
  <c r="I498" i="11"/>
  <c r="U1013" i="43"/>
  <c r="U1004" i="43" s="1"/>
  <c r="U1011" i="43" s="1"/>
  <c r="T1004" i="43"/>
  <c r="T1011" i="43" s="1"/>
  <c r="V189" i="43"/>
  <c r="V433" i="43" s="1"/>
  <c r="V435" i="43" s="1"/>
  <c r="V421" i="43" s="1"/>
  <c r="V1148" i="43"/>
  <c r="U1170" i="43"/>
  <c r="U1133" i="43"/>
  <c r="U1171" i="43" s="1"/>
  <c r="N16" i="40"/>
  <c r="U1166" i="43"/>
  <c r="V1130" i="43"/>
  <c r="V1122" i="43"/>
  <c r="V1068" i="43"/>
  <c r="V1013" i="43"/>
  <c r="V1004" i="43" s="1"/>
  <c r="V1011" i="43" s="1"/>
  <c r="U260" i="11"/>
  <c r="N210" i="14"/>
  <c r="L225" i="14"/>
  <c r="L213" i="14"/>
  <c r="F88" i="40" s="1"/>
  <c r="N12" i="40"/>
  <c r="N5" i="40" s="1"/>
  <c r="T1415" i="11"/>
  <c r="N31" i="14"/>
  <c r="N39" i="14"/>
  <c r="T1307" i="11"/>
  <c r="T1314" i="11"/>
  <c r="T1306" i="11"/>
  <c r="T1316" i="11"/>
  <c r="T1308" i="11"/>
  <c r="T1310" i="11"/>
  <c r="T1309" i="11"/>
  <c r="T1315" i="11"/>
  <c r="R1205" i="11"/>
  <c r="T1191" i="11"/>
  <c r="T1181" i="11"/>
  <c r="S1204" i="11"/>
  <c r="Q1210" i="11"/>
  <c r="R1206" i="11"/>
  <c r="R1261" i="11"/>
  <c r="T1264" i="11"/>
  <c r="R1265" i="11"/>
  <c r="L49" i="45" s="1"/>
  <c r="T1200" i="11"/>
  <c r="S1248" i="11"/>
  <c r="T1203" i="11"/>
  <c r="S1250" i="11"/>
  <c r="S1197" i="11"/>
  <c r="S1208" i="11" s="1"/>
  <c r="S1199" i="11" s="1"/>
  <c r="R1185" i="11"/>
  <c r="R1177" i="11" s="1"/>
  <c r="R1183" i="11" s="1"/>
  <c r="U1188" i="11"/>
  <c r="U1239" i="11"/>
  <c r="U1413" i="11" s="1"/>
  <c r="T1201" i="11"/>
  <c r="V1188" i="11"/>
  <c r="V1239" i="11"/>
  <c r="V1413" i="11" s="1"/>
  <c r="T1202" i="11"/>
  <c r="T1194" i="11"/>
  <c r="T1195" i="11"/>
  <c r="T1196" i="11"/>
  <c r="T1192" i="11"/>
  <c r="T1242" i="11"/>
  <c r="T1251" i="11"/>
  <c r="T1254" i="11"/>
  <c r="T1247" i="11"/>
  <c r="T1246" i="11"/>
  <c r="T1245" i="11"/>
  <c r="T1244" i="11"/>
  <c r="T1243" i="11"/>
  <c r="T1253" i="11"/>
  <c r="T1252" i="11"/>
  <c r="T1193" i="11"/>
  <c r="S1182" i="11"/>
  <c r="T1171" i="11"/>
  <c r="T1172" i="11"/>
  <c r="T1178" i="11"/>
  <c r="S1175" i="11"/>
  <c r="T1180" i="11"/>
  <c r="T1174" i="11"/>
  <c r="T1169" i="11"/>
  <c r="T1227" i="11"/>
  <c r="T1228" i="11"/>
  <c r="T1229" i="11"/>
  <c r="T1173" i="11"/>
  <c r="T1170" i="11"/>
  <c r="T1179" i="11"/>
  <c r="S1224" i="11"/>
  <c r="T1218" i="11"/>
  <c r="T1223" i="11"/>
  <c r="T1222" i="11"/>
  <c r="T1219" i="11"/>
  <c r="T1221" i="11"/>
  <c r="T1220" i="11"/>
  <c r="V58" i="11"/>
  <c r="U29" i="11"/>
  <c r="U1166" i="11"/>
  <c r="V29" i="11"/>
  <c r="V1166" i="11"/>
  <c r="U75" i="14"/>
  <c r="T27" i="41" s="1"/>
  <c r="V37" i="11"/>
  <c r="V71" i="11" s="1"/>
  <c r="T38" i="11"/>
  <c r="U37" i="11"/>
  <c r="U60" i="11" s="1"/>
  <c r="I34" i="11"/>
  <c r="M153" i="14"/>
  <c r="M158" i="14" s="1"/>
  <c r="S190" i="11"/>
  <c r="L276" i="41"/>
  <c r="S86" i="14"/>
  <c r="O153" i="14"/>
  <c r="O158" i="14" s="1"/>
  <c r="L74" i="41"/>
  <c r="L76" i="41"/>
  <c r="P170" i="14"/>
  <c r="O107" i="41" s="1"/>
  <c r="O108" i="41" s="1"/>
  <c r="J87" i="40"/>
  <c r="J17" i="46" s="1"/>
  <c r="V455" i="11"/>
  <c r="I68" i="14"/>
  <c r="N271" i="41"/>
  <c r="O288" i="14"/>
  <c r="O290" i="14" s="1"/>
  <c r="O291" i="14" s="1"/>
  <c r="O296" i="14" s="1"/>
  <c r="O295" i="14"/>
  <c r="M272" i="41"/>
  <c r="V460" i="11"/>
  <c r="I463" i="11"/>
  <c r="V191" i="11"/>
  <c r="I194" i="11"/>
  <c r="N112" i="41"/>
  <c r="L33" i="40"/>
  <c r="P1119" i="11"/>
  <c r="P1142" i="11"/>
  <c r="P1144" i="11" s="1"/>
  <c r="P1140" i="11" s="1"/>
  <c r="N486" i="14"/>
  <c r="O484" i="14"/>
  <c r="O460" i="48" s="1"/>
  <c r="O1157" i="11"/>
  <c r="O1159" i="11" s="1"/>
  <c r="L34" i="40"/>
  <c r="V363" i="11"/>
  <c r="T202" i="11"/>
  <c r="T205" i="11" s="1"/>
  <c r="S436" i="11"/>
  <c r="S410" i="11" s="1"/>
  <c r="Y134" i="39"/>
  <c r="Y135" i="39"/>
  <c r="V59" i="19"/>
  <c r="V54" i="19"/>
  <c r="I54" i="19" s="1"/>
  <c r="V34" i="35"/>
  <c r="V69" i="35"/>
  <c r="U58" i="35"/>
  <c r="U61" i="35"/>
  <c r="V70" i="24"/>
  <c r="V70" i="25" s="1"/>
  <c r="U90" i="23"/>
  <c r="T79" i="24"/>
  <c r="T79" i="25" s="1"/>
  <c r="U84" i="23"/>
  <c r="T73" i="24"/>
  <c r="T73" i="25" s="1"/>
  <c r="V778" i="11"/>
  <c r="V780" i="11" s="1"/>
  <c r="I780" i="11" s="1"/>
  <c r="V365" i="11"/>
  <c r="N91" i="23"/>
  <c r="V516" i="11"/>
  <c r="U277" i="14"/>
  <c r="T253" i="41" s="1"/>
  <c r="T255" i="41" s="1"/>
  <c r="I742" i="11"/>
  <c r="V861" i="11"/>
  <c r="V788" i="11"/>
  <c r="V790" i="11" s="1"/>
  <c r="I790" i="11" s="1"/>
  <c r="V854" i="11"/>
  <c r="I854" i="11" s="1"/>
  <c r="U882" i="11"/>
  <c r="U884" i="11" s="1"/>
  <c r="U392" i="14"/>
  <c r="U368" i="48" s="1"/>
  <c r="V939" i="11"/>
  <c r="U960" i="11"/>
  <c r="U962" i="11" s="1"/>
  <c r="U949" i="11"/>
  <c r="U951" i="11" s="1"/>
  <c r="T942" i="11"/>
  <c r="T71" i="11"/>
  <c r="V1027" i="11"/>
  <c r="R21" i="14"/>
  <c r="R21" i="48" s="1"/>
  <c r="T465" i="14"/>
  <c r="T60" i="11"/>
  <c r="S593" i="11"/>
  <c r="U686" i="11"/>
  <c r="U327" i="14" s="1"/>
  <c r="U303" i="48" s="1"/>
  <c r="S264" i="11"/>
  <c r="L135" i="14"/>
  <c r="V520" i="11"/>
  <c r="I526" i="11"/>
  <c r="N288" i="14"/>
  <c r="N295" i="14"/>
  <c r="U818" i="11"/>
  <c r="U373" i="14" s="1"/>
  <c r="U349" i="48" s="1"/>
  <c r="L296" i="14"/>
  <c r="Q22" i="14"/>
  <c r="V384" i="11"/>
  <c r="V146" i="14"/>
  <c r="U68" i="41" s="1"/>
  <c r="I371" i="11"/>
  <c r="T95" i="11"/>
  <c r="T77" i="11"/>
  <c r="T54" i="11"/>
  <c r="L342" i="14"/>
  <c r="V468" i="14"/>
  <c r="I468" i="14" s="1"/>
  <c r="I399" i="14"/>
  <c r="T313" i="11"/>
  <c r="T319" i="11"/>
  <c r="T307" i="11"/>
  <c r="V818" i="11"/>
  <c r="V373" i="14" s="1"/>
  <c r="V349" i="48" s="1"/>
  <c r="S1030" i="11"/>
  <c r="S1111" i="11"/>
  <c r="T631" i="11"/>
  <c r="O406" i="14"/>
  <c r="L457" i="14"/>
  <c r="U1037" i="11"/>
  <c r="U1039" i="11" s="1"/>
  <c r="U1048" i="11"/>
  <c r="U1050" i="11" s="1"/>
  <c r="T672" i="11"/>
  <c r="N126" i="14"/>
  <c r="T323" i="14"/>
  <c r="S212" i="41" s="1"/>
  <c r="S214" i="41" s="1"/>
  <c r="T635" i="11"/>
  <c r="T637" i="11" s="1"/>
  <c r="U394" i="11"/>
  <c r="T643" i="11"/>
  <c r="O38" i="14"/>
  <c r="O28" i="14"/>
  <c r="O39" i="14" s="1"/>
  <c r="S367" i="11"/>
  <c r="T655" i="11"/>
  <c r="U24" i="11"/>
  <c r="U891" i="11"/>
  <c r="U396" i="14" s="1"/>
  <c r="U372" i="48" s="1"/>
  <c r="P147" i="14"/>
  <c r="O66" i="41" s="1"/>
  <c r="O67" i="41" s="1"/>
  <c r="T422" i="11"/>
  <c r="T425" i="11" s="1"/>
  <c r="T381" i="11"/>
  <c r="U262" i="11"/>
  <c r="U290" i="11" s="1"/>
  <c r="V394" i="11"/>
  <c r="U340" i="11"/>
  <c r="U353" i="11"/>
  <c r="U122" i="14" s="1"/>
  <c r="U98" i="48" s="1"/>
  <c r="T1030" i="11"/>
  <c r="V24" i="11"/>
  <c r="V891" i="11"/>
  <c r="V396" i="14" s="1"/>
  <c r="V372" i="48" s="1"/>
  <c r="P25" i="14"/>
  <c r="J77" i="40" s="1"/>
  <c r="P37" i="14"/>
  <c r="V340" i="11"/>
  <c r="V353" i="11"/>
  <c r="V122" i="14" s="1"/>
  <c r="V98" i="48" s="1"/>
  <c r="T119" i="14"/>
  <c r="T95" i="48" s="1"/>
  <c r="T540" i="11"/>
  <c r="T542" i="11" s="1"/>
  <c r="V940" i="11"/>
  <c r="I932" i="11"/>
  <c r="U125" i="11"/>
  <c r="U27" i="14" s="1"/>
  <c r="U27" i="48" s="1"/>
  <c r="U111" i="11"/>
  <c r="U24" i="14" s="1"/>
  <c r="U379" i="11"/>
  <c r="U161" i="11" s="1"/>
  <c r="U164" i="11" s="1"/>
  <c r="N451" i="14"/>
  <c r="U1057" i="11"/>
  <c r="U442" i="14" s="1"/>
  <c r="U418" i="48" s="1"/>
  <c r="T290" i="11"/>
  <c r="V169" i="14"/>
  <c r="U109" i="41" s="1"/>
  <c r="I414" i="11"/>
  <c r="S39" i="11"/>
  <c r="V81" i="11"/>
  <c r="V83" i="11" s="1"/>
  <c r="I43" i="11"/>
  <c r="U969" i="11"/>
  <c r="U419" i="14" s="1"/>
  <c r="U395" i="48" s="1"/>
  <c r="T649" i="11"/>
  <c r="V609" i="11"/>
  <c r="I607" i="11"/>
  <c r="V1028" i="11"/>
  <c r="I1009" i="11"/>
  <c r="V111" i="11"/>
  <c r="V24" i="14" s="1"/>
  <c r="V125" i="11"/>
  <c r="V27" i="14" s="1"/>
  <c r="V27" i="48" s="1"/>
  <c r="V379" i="11"/>
  <c r="V161" i="11" s="1"/>
  <c r="V164" i="11" s="1"/>
  <c r="M33" i="14"/>
  <c r="V1057" i="11"/>
  <c r="V442" i="14" s="1"/>
  <c r="V418" i="48" s="1"/>
  <c r="T433" i="11"/>
  <c r="T396" i="11"/>
  <c r="V969" i="11"/>
  <c r="V419" i="14" s="1"/>
  <c r="V395" i="48" s="1"/>
  <c r="O173" i="14"/>
  <c r="O180" i="14"/>
  <c r="N434" i="14"/>
  <c r="U384" i="11"/>
  <c r="U386" i="11" s="1"/>
  <c r="T301" i="11"/>
  <c r="R116" i="14"/>
  <c r="R534" i="11"/>
  <c r="R536" i="11" s="1"/>
  <c r="R522" i="11" s="1"/>
  <c r="I62" i="19"/>
  <c r="J69" i="23"/>
  <c r="J71" i="23" s="1"/>
  <c r="E73" i="40" l="1"/>
  <c r="M463" i="14"/>
  <c r="M45" i="15"/>
  <c r="D101" i="40"/>
  <c r="D7" i="49" s="1"/>
  <c r="K69" i="40"/>
  <c r="K14" i="49" s="1"/>
  <c r="N84" i="40"/>
  <c r="N85" i="40"/>
  <c r="F69" i="40"/>
  <c r="F14" i="49" s="1"/>
  <c r="J108" i="40"/>
  <c r="T76" i="14"/>
  <c r="S25" i="41" s="1"/>
  <c r="S26" i="41" s="1"/>
  <c r="D21" i="49"/>
  <c r="V24" i="48"/>
  <c r="U24" i="48"/>
  <c r="I24" i="48" s="1"/>
  <c r="N33" i="14"/>
  <c r="N34" i="14" s="1"/>
  <c r="N1546" i="11" s="1"/>
  <c r="N1547" i="11" s="1"/>
  <c r="N60" i="14"/>
  <c r="Q35" i="41"/>
  <c r="M76" i="41"/>
  <c r="P35" i="41"/>
  <c r="I186" i="45"/>
  <c r="I176" i="45"/>
  <c r="J168" i="45"/>
  <c r="H12" i="47" s="1"/>
  <c r="V13" i="47" s="1"/>
  <c r="G16" i="47"/>
  <c r="U14" i="47" s="1"/>
  <c r="U15" i="47" s="1"/>
  <c r="AA15" i="47" s="1"/>
  <c r="S82" i="14"/>
  <c r="S87" i="14" s="1"/>
  <c r="N76" i="41"/>
  <c r="O5" i="40"/>
  <c r="J37" i="25"/>
  <c r="R1149" i="11"/>
  <c r="M35" i="40"/>
  <c r="S1116" i="11"/>
  <c r="S1147" i="11" s="1"/>
  <c r="K308" i="41"/>
  <c r="K309" i="41" s="1"/>
  <c r="K316" i="41" s="1"/>
  <c r="T1112" i="11"/>
  <c r="T1114" i="11"/>
  <c r="T1116" i="11" s="1"/>
  <c r="P110" i="14"/>
  <c r="J23" i="24"/>
  <c r="L240" i="41"/>
  <c r="V1219" i="11"/>
  <c r="V1223" i="11"/>
  <c r="V1222" i="11"/>
  <c r="K346" i="41"/>
  <c r="K348" i="41" s="1"/>
  <c r="K343" i="41"/>
  <c r="V1220" i="11"/>
  <c r="V1218" i="11"/>
  <c r="L492" i="14"/>
  <c r="J350" i="41"/>
  <c r="J351" i="41" s="1"/>
  <c r="J358" i="41" s="1"/>
  <c r="K20" i="24"/>
  <c r="K23" i="24" s="1"/>
  <c r="K20" i="25"/>
  <c r="K37" i="25" s="1"/>
  <c r="T52" i="48"/>
  <c r="T55" i="48" s="1"/>
  <c r="T57" i="48" s="1"/>
  <c r="T58" i="48" s="1"/>
  <c r="T63" i="48" s="1"/>
  <c r="J521" i="14"/>
  <c r="J526" i="14" s="1"/>
  <c r="F95" i="40"/>
  <c r="F24" i="46" s="1"/>
  <c r="L515" i="14"/>
  <c r="J39" i="48"/>
  <c r="J31" i="48"/>
  <c r="J33" i="48" s="1"/>
  <c r="J34" i="48" s="1"/>
  <c r="J40" i="48" s="1"/>
  <c r="I40" i="48" s="1"/>
  <c r="J33" i="14"/>
  <c r="J34" i="14" s="1"/>
  <c r="V145" i="48"/>
  <c r="V122" i="48"/>
  <c r="I122" i="48" s="1"/>
  <c r="I313" i="41"/>
  <c r="I317" i="41" s="1"/>
  <c r="V1221" i="11"/>
  <c r="P515" i="14"/>
  <c r="P518" i="14" s="1"/>
  <c r="K1254" i="43"/>
  <c r="K1255" i="43" s="1"/>
  <c r="M115" i="41"/>
  <c r="J82" i="48"/>
  <c r="J87" i="48" s="1"/>
  <c r="J496" i="48"/>
  <c r="E95" i="40"/>
  <c r="E101" i="40" s="1"/>
  <c r="K515" i="14"/>
  <c r="T14" i="41"/>
  <c r="T19" i="41"/>
  <c r="E22" i="49"/>
  <c r="E28" i="46"/>
  <c r="J312" i="41"/>
  <c r="K495" i="14"/>
  <c r="K502" i="14"/>
  <c r="U1221" i="11"/>
  <c r="F186" i="45"/>
  <c r="D13" i="47"/>
  <c r="D16" i="47" s="1"/>
  <c r="R14" i="47" s="1"/>
  <c r="R15" i="47" s="1"/>
  <c r="K500" i="48"/>
  <c r="K488" i="48"/>
  <c r="K491" i="48" s="1"/>
  <c r="J491" i="48"/>
  <c r="J494" i="48" s="1"/>
  <c r="J501" i="48"/>
  <c r="V45" i="48"/>
  <c r="I45" i="48" s="1"/>
  <c r="U12" i="41"/>
  <c r="E5" i="49"/>
  <c r="E64" i="40"/>
  <c r="U1222" i="11"/>
  <c r="U73" i="14"/>
  <c r="U76" i="14" s="1"/>
  <c r="T25" i="41" s="1"/>
  <c r="T26" i="41" s="1"/>
  <c r="L31" i="14"/>
  <c r="L60" i="14" s="1"/>
  <c r="L39" i="14"/>
  <c r="L485" i="48"/>
  <c r="F56" i="40"/>
  <c r="K31" i="48"/>
  <c r="K33" i="48" s="1"/>
  <c r="K34" i="48" s="1"/>
  <c r="K40" i="48" s="1"/>
  <c r="K39" i="48"/>
  <c r="U1223" i="11"/>
  <c r="L73" i="48"/>
  <c r="L85" i="48"/>
  <c r="L110" i="14"/>
  <c r="L103" i="14"/>
  <c r="L105" i="14" s="1"/>
  <c r="K39" i="14"/>
  <c r="K31" i="14"/>
  <c r="K60" i="14" s="1"/>
  <c r="K106" i="14"/>
  <c r="K111" i="14" s="1"/>
  <c r="K520" i="14"/>
  <c r="U1219" i="11"/>
  <c r="L39" i="48"/>
  <c r="L31" i="48"/>
  <c r="K76" i="48"/>
  <c r="E97" i="40"/>
  <c r="E108" i="40" s="1"/>
  <c r="U1220" i="11"/>
  <c r="L279" i="41"/>
  <c r="U1218" i="11"/>
  <c r="Q33" i="41"/>
  <c r="L238" i="41"/>
  <c r="V191" i="48"/>
  <c r="I191" i="48" s="1"/>
  <c r="T1104" i="11"/>
  <c r="U1102" i="11"/>
  <c r="O156" i="48"/>
  <c r="J97" i="40"/>
  <c r="P76" i="48"/>
  <c r="R97" i="14"/>
  <c r="R100" i="14" s="1"/>
  <c r="R110" i="14" s="1"/>
  <c r="Q25" i="48"/>
  <c r="Q38" i="48" s="1"/>
  <c r="R68" i="48"/>
  <c r="L58" i="40" s="1"/>
  <c r="N235" i="41"/>
  <c r="N238" i="41" s="1"/>
  <c r="Q364" i="14"/>
  <c r="Q231" i="48"/>
  <c r="Q456" i="14"/>
  <c r="M276" i="41"/>
  <c r="M281" i="41" s="1"/>
  <c r="R507" i="14"/>
  <c r="R509" i="14" s="1"/>
  <c r="R524" i="14" s="1"/>
  <c r="R30" i="41"/>
  <c r="R33" i="41" s="1"/>
  <c r="R164" i="14"/>
  <c r="R179" i="14" s="1"/>
  <c r="S62" i="48"/>
  <c r="P58" i="41"/>
  <c r="P60" i="41" s="1"/>
  <c r="P62" i="41" s="1"/>
  <c r="S212" i="48"/>
  <c r="M96" i="40" s="1"/>
  <c r="I214" i="48"/>
  <c r="O82" i="48"/>
  <c r="O87" i="48" s="1"/>
  <c r="P109" i="48"/>
  <c r="S236" i="14"/>
  <c r="S239" i="14" s="1"/>
  <c r="S249" i="14" s="1"/>
  <c r="I238" i="14"/>
  <c r="Q132" i="14"/>
  <c r="T239" i="11"/>
  <c r="T96" i="14" s="1"/>
  <c r="P331" i="14"/>
  <c r="O230" i="41" s="1"/>
  <c r="O231" i="41" s="1"/>
  <c r="R443" i="14"/>
  <c r="R446" i="14" s="1"/>
  <c r="R456" i="14" s="1"/>
  <c r="M182" i="45"/>
  <c r="R218" i="48"/>
  <c r="R220" i="48" s="1"/>
  <c r="R221" i="48" s="1"/>
  <c r="R226" i="48" s="1"/>
  <c r="R225" i="48"/>
  <c r="L96" i="40"/>
  <c r="R22" i="48"/>
  <c r="R25" i="48" s="1"/>
  <c r="S92" i="14"/>
  <c r="S507" i="14" s="1"/>
  <c r="S509" i="14" s="1"/>
  <c r="S239" i="11"/>
  <c r="S96" i="14" s="1"/>
  <c r="S72" i="48" s="1"/>
  <c r="M492" i="14"/>
  <c r="L312" i="41" s="1"/>
  <c r="L313" i="41" s="1"/>
  <c r="J78" i="40"/>
  <c r="I395" i="48"/>
  <c r="P123" i="14"/>
  <c r="P134" i="14" s="1"/>
  <c r="P133" i="48"/>
  <c r="O341" i="14"/>
  <c r="O334" i="14"/>
  <c r="O336" i="14" s="1"/>
  <c r="O337" i="14" s="1"/>
  <c r="O342" i="14" s="1"/>
  <c r="P96" i="41"/>
  <c r="P103" i="41" s="1"/>
  <c r="P104" i="41" s="1"/>
  <c r="P111" i="41" s="1"/>
  <c r="K363" i="48"/>
  <c r="P222" i="41"/>
  <c r="P224" i="41" s="1"/>
  <c r="P226" i="41" s="1"/>
  <c r="P227" i="41" s="1"/>
  <c r="P234" i="41" s="1"/>
  <c r="I69" i="14"/>
  <c r="U237" i="48"/>
  <c r="O494" i="48"/>
  <c r="O501" i="48"/>
  <c r="J36" i="47"/>
  <c r="N176" i="14"/>
  <c r="N181" i="14" s="1"/>
  <c r="O271" i="48"/>
  <c r="Q140" i="48"/>
  <c r="Q143" i="48" s="1"/>
  <c r="Q146" i="48" s="1"/>
  <c r="R201" i="48"/>
  <c r="N22" i="40"/>
  <c r="N6" i="40" s="1"/>
  <c r="O6" i="40" s="1"/>
  <c r="O16" i="40"/>
  <c r="N465" i="48"/>
  <c r="N468" i="48" s="1"/>
  <c r="D3" i="42"/>
  <c r="M308" i="41"/>
  <c r="M309" i="41" s="1"/>
  <c r="M316" i="41" s="1"/>
  <c r="M81" i="48"/>
  <c r="M496" i="48" s="1"/>
  <c r="M497" i="48" s="1"/>
  <c r="Q217" i="41"/>
  <c r="Q219" i="41" s="1"/>
  <c r="Q167" i="14"/>
  <c r="Q170" i="14" s="1"/>
  <c r="P107" i="41" s="1"/>
  <c r="P108" i="41" s="1"/>
  <c r="Q144" i="14"/>
  <c r="K86" i="40" s="1"/>
  <c r="R325" i="14"/>
  <c r="R340" i="14" s="1"/>
  <c r="V70" i="14"/>
  <c r="I70" i="14" s="1"/>
  <c r="M117" i="41"/>
  <c r="I215" i="14"/>
  <c r="Q328" i="14"/>
  <c r="K79" i="40" s="1"/>
  <c r="M438" i="48"/>
  <c r="M439" i="48" s="1"/>
  <c r="M442" i="48" s="1"/>
  <c r="M445" i="48" s="1"/>
  <c r="E3" i="46"/>
  <c r="F3" i="46" s="1"/>
  <c r="O12" i="40"/>
  <c r="H3" i="49"/>
  <c r="S20" i="48"/>
  <c r="M39" i="40" s="1"/>
  <c r="R117" i="14"/>
  <c r="R120" i="14" s="1"/>
  <c r="R133" i="14" s="1"/>
  <c r="R92" i="48"/>
  <c r="R93" i="48" s="1"/>
  <c r="I98" i="48"/>
  <c r="I15" i="49"/>
  <c r="O462" i="48"/>
  <c r="O477" i="48" s="1"/>
  <c r="N57" i="40"/>
  <c r="T209" i="48"/>
  <c r="T224" i="48" s="1"/>
  <c r="S348" i="14"/>
  <c r="S363" i="14" s="1"/>
  <c r="S322" i="48"/>
  <c r="T94" i="14"/>
  <c r="T109" i="14" s="1"/>
  <c r="T68" i="48"/>
  <c r="J72" i="40"/>
  <c r="J17" i="49" s="1"/>
  <c r="J43" i="40"/>
  <c r="K164" i="45"/>
  <c r="I18" i="47"/>
  <c r="I20" i="47" s="1"/>
  <c r="I303" i="48"/>
  <c r="M165" i="45"/>
  <c r="K34" i="47"/>
  <c r="T562" i="11"/>
  <c r="T567" i="11" s="1"/>
  <c r="U562" i="11"/>
  <c r="U567" i="11" s="1"/>
  <c r="K83" i="45"/>
  <c r="K84" i="45" s="1"/>
  <c r="I38" i="47"/>
  <c r="I39" i="47" s="1"/>
  <c r="I353" i="14"/>
  <c r="V329" i="48"/>
  <c r="I329" i="48" s="1"/>
  <c r="I99" i="14"/>
  <c r="V75" i="48"/>
  <c r="I75" i="48" s="1"/>
  <c r="R255" i="14"/>
  <c r="R139" i="48"/>
  <c r="R176" i="41"/>
  <c r="S185" i="48"/>
  <c r="S186" i="48" s="1"/>
  <c r="S201" i="48" s="1"/>
  <c r="U115" i="48"/>
  <c r="R511" i="14"/>
  <c r="R326" i="48"/>
  <c r="R487" i="48" s="1"/>
  <c r="Q53" i="41"/>
  <c r="R116" i="48"/>
  <c r="R117" i="48" s="1"/>
  <c r="R120" i="48" s="1"/>
  <c r="R123" i="48" s="1"/>
  <c r="I72" i="40"/>
  <c r="I17" i="49" s="1"/>
  <c r="I43" i="40"/>
  <c r="Q339" i="48"/>
  <c r="Q327" i="48"/>
  <c r="R293" i="48"/>
  <c r="R281" i="48"/>
  <c r="R311" i="14"/>
  <c r="R313" i="14" s="1"/>
  <c r="R314" i="14" s="1"/>
  <c r="R319" i="14" s="1"/>
  <c r="R318" i="14"/>
  <c r="P494" i="48"/>
  <c r="P501" i="48"/>
  <c r="O62" i="41"/>
  <c r="O63" i="41" s="1"/>
  <c r="P287" i="48"/>
  <c r="P294" i="48"/>
  <c r="N289" i="48"/>
  <c r="N290" i="48" s="1"/>
  <c r="N295" i="48" s="1"/>
  <c r="O294" i="48"/>
  <c r="O287" i="48"/>
  <c r="O289" i="48" s="1"/>
  <c r="N335" i="48"/>
  <c r="N336" i="48" s="1"/>
  <c r="N341" i="48" s="1"/>
  <c r="O340" i="48"/>
  <c r="O333" i="48"/>
  <c r="K56" i="40"/>
  <c r="Q485" i="48"/>
  <c r="Q293" i="48"/>
  <c r="Q281" i="48"/>
  <c r="Q308" i="14"/>
  <c r="Q76" i="48"/>
  <c r="K97" i="40"/>
  <c r="J99" i="40"/>
  <c r="P330" i="48"/>
  <c r="S276" i="48"/>
  <c r="S302" i="14"/>
  <c r="S280" i="48"/>
  <c r="L60" i="40"/>
  <c r="R324" i="48"/>
  <c r="D16" i="46"/>
  <c r="D29" i="46" s="1"/>
  <c r="D111" i="40"/>
  <c r="D24" i="49" s="1"/>
  <c r="G28" i="46"/>
  <c r="G22" i="49"/>
  <c r="I107" i="40"/>
  <c r="I20" i="49" s="1"/>
  <c r="F19" i="46"/>
  <c r="M471" i="48"/>
  <c r="M473" i="48" s="1"/>
  <c r="M474" i="48" s="1"/>
  <c r="M479" i="48" s="1"/>
  <c r="S385" i="48"/>
  <c r="M1250" i="43"/>
  <c r="M1252" i="43" s="1"/>
  <c r="S397" i="14"/>
  <c r="S400" i="14" s="1"/>
  <c r="I372" i="48"/>
  <c r="I418" i="48"/>
  <c r="N462" i="14"/>
  <c r="N45" i="15" s="1"/>
  <c r="N346" i="48"/>
  <c r="N347" i="48" s="1"/>
  <c r="K103" i="15"/>
  <c r="K1467" i="11"/>
  <c r="K1468" i="11" s="1"/>
  <c r="K72" i="15" s="1"/>
  <c r="J38" i="25"/>
  <c r="M380" i="14"/>
  <c r="M382" i="14" s="1"/>
  <c r="M383" i="14" s="1"/>
  <c r="M388" i="14" s="1"/>
  <c r="L478" i="14"/>
  <c r="L466" i="14"/>
  <c r="L1250" i="43"/>
  <c r="L1252" i="43" s="1"/>
  <c r="L19" i="25"/>
  <c r="L19" i="24"/>
  <c r="L1463" i="11"/>
  <c r="L1465" i="11" s="1"/>
  <c r="L103" i="15" s="1"/>
  <c r="K469" i="14"/>
  <c r="E80" i="40"/>
  <c r="E111" i="40" s="1"/>
  <c r="E24" i="49" s="1"/>
  <c r="M478" i="14"/>
  <c r="M466" i="14"/>
  <c r="V441" i="48"/>
  <c r="I349" i="48"/>
  <c r="J124" i="15"/>
  <c r="J46" i="25"/>
  <c r="J100" i="25" s="1"/>
  <c r="J46" i="24"/>
  <c r="J100" i="24" s="1"/>
  <c r="J475" i="14"/>
  <c r="J480" i="14" s="1"/>
  <c r="J77" i="24"/>
  <c r="J106" i="15"/>
  <c r="M386" i="14"/>
  <c r="R419" i="48"/>
  <c r="R422" i="48" s="1"/>
  <c r="R431" i="48"/>
  <c r="R408" i="48"/>
  <c r="J82" i="19"/>
  <c r="J27" i="15"/>
  <c r="J50" i="15"/>
  <c r="J64" i="15"/>
  <c r="R432" i="14"/>
  <c r="R420" i="14"/>
  <c r="R423" i="14" s="1"/>
  <c r="U441" i="48"/>
  <c r="S420" i="14"/>
  <c r="S423" i="14" s="1"/>
  <c r="S433" i="14" s="1"/>
  <c r="Q433" i="14"/>
  <c r="Q426" i="14"/>
  <c r="Q428" i="14" s="1"/>
  <c r="Q429" i="14" s="1"/>
  <c r="Q434" i="14" s="1"/>
  <c r="T394" i="14"/>
  <c r="T409" i="14" s="1"/>
  <c r="V444" i="48"/>
  <c r="I444" i="48" s="1"/>
  <c r="I352" i="48"/>
  <c r="K49" i="15"/>
  <c r="K63" i="15"/>
  <c r="R409" i="14"/>
  <c r="R397" i="14"/>
  <c r="R400" i="14" s="1"/>
  <c r="Q279" i="14"/>
  <c r="Q282" i="14" s="1"/>
  <c r="K27" i="46" s="1"/>
  <c r="U253" i="48"/>
  <c r="U260" i="48"/>
  <c r="P258" i="41"/>
  <c r="P263" i="41" s="1"/>
  <c r="P265" i="41" s="1"/>
  <c r="T299" i="48"/>
  <c r="N41" i="40" s="1"/>
  <c r="U306" i="48"/>
  <c r="I27" i="48"/>
  <c r="U49" i="48"/>
  <c r="U61" i="48"/>
  <c r="U51" i="48"/>
  <c r="V283" i="48"/>
  <c r="I307" i="14"/>
  <c r="R63" i="48"/>
  <c r="T281" i="14"/>
  <c r="T257" i="48" s="1"/>
  <c r="N271" i="48"/>
  <c r="N264" i="48"/>
  <c r="N151" i="48"/>
  <c r="N152" i="48" s="1"/>
  <c r="N157" i="48" s="1"/>
  <c r="N427" i="48"/>
  <c r="N428" i="48" s="1"/>
  <c r="R278" i="14"/>
  <c r="U715" i="11"/>
  <c r="P220" i="48"/>
  <c r="P221" i="48" s="1"/>
  <c r="O102" i="48"/>
  <c r="O110" i="48"/>
  <c r="P33" i="48"/>
  <c r="P34" i="48" s="1"/>
  <c r="V438" i="14"/>
  <c r="V414" i="48" s="1"/>
  <c r="T20" i="14"/>
  <c r="U115" i="14"/>
  <c r="U91" i="48" s="1"/>
  <c r="Q120" i="48"/>
  <c r="Q123" i="48" s="1"/>
  <c r="Q132" i="48"/>
  <c r="O151" i="48"/>
  <c r="O152" i="48" s="1"/>
  <c r="O157" i="48" s="1"/>
  <c r="R409" i="48"/>
  <c r="R402" i="48"/>
  <c r="S402" i="48"/>
  <c r="S409" i="48"/>
  <c r="S324" i="14"/>
  <c r="O381" i="48"/>
  <c r="P102" i="48"/>
  <c r="P110" i="48"/>
  <c r="T1040" i="43"/>
  <c r="T1104" i="43" s="1"/>
  <c r="J70" i="42" s="1"/>
  <c r="L353" i="48"/>
  <c r="T209" i="14"/>
  <c r="S176" i="41" s="1"/>
  <c r="J358" i="48"/>
  <c r="J359" i="48" s="1"/>
  <c r="S57" i="48"/>
  <c r="S58" i="48" s="1"/>
  <c r="S63" i="48" s="1"/>
  <c r="T385" i="48"/>
  <c r="T373" i="48"/>
  <c r="T376" i="48" s="1"/>
  <c r="N128" i="48"/>
  <c r="N129" i="48" s="1"/>
  <c r="O488" i="14"/>
  <c r="O464" i="48" s="1"/>
  <c r="R351" i="14"/>
  <c r="R354" i="14" s="1"/>
  <c r="L442" i="48"/>
  <c r="L454" i="48"/>
  <c r="S350" i="14"/>
  <c r="S386" i="48"/>
  <c r="S379" i="48"/>
  <c r="P146" i="48"/>
  <c r="M362" i="48"/>
  <c r="M350" i="48"/>
  <c r="M353" i="48" s="1"/>
  <c r="L272" i="48"/>
  <c r="V535" i="11"/>
  <c r="V541" i="11" s="1"/>
  <c r="Q99" i="48"/>
  <c r="Q109" i="48"/>
  <c r="Q427" i="48"/>
  <c r="Q428" i="48" s="1"/>
  <c r="Q433" i="48" s="1"/>
  <c r="K358" i="48"/>
  <c r="K359" i="48" s="1"/>
  <c r="K364" i="48" s="1"/>
  <c r="T212" i="14"/>
  <c r="T188" i="48" s="1"/>
  <c r="U864" i="11"/>
  <c r="P485" i="14"/>
  <c r="P128" i="48"/>
  <c r="P129" i="48" s="1"/>
  <c r="P134" i="48" s="1"/>
  <c r="Q399" i="48"/>
  <c r="N312" i="48"/>
  <c r="V284" i="14"/>
  <c r="U273" i="41" s="1"/>
  <c r="L473" i="48"/>
  <c r="L474" i="48" s="1"/>
  <c r="M410" i="48"/>
  <c r="T439" i="14"/>
  <c r="T415" i="48" s="1"/>
  <c r="T416" i="48" s="1"/>
  <c r="S163" i="14"/>
  <c r="S164" i="14" s="1"/>
  <c r="V139" i="14"/>
  <c r="U48" i="41" s="1"/>
  <c r="U50" i="41" s="1"/>
  <c r="O404" i="48"/>
  <c r="O405" i="48" s="1"/>
  <c r="O410" i="48" s="1"/>
  <c r="T235" i="14"/>
  <c r="T211" i="48" s="1"/>
  <c r="P270" i="48"/>
  <c r="P258" i="48"/>
  <c r="J93" i="40" s="1"/>
  <c r="V566" i="11"/>
  <c r="P307" i="48"/>
  <c r="S140" i="14"/>
  <c r="S141" i="14" s="1"/>
  <c r="S156" i="14" s="1"/>
  <c r="O266" i="48"/>
  <c r="O267" i="48" s="1"/>
  <c r="O272" i="48" s="1"/>
  <c r="K450" i="48"/>
  <c r="K451" i="48" s="1"/>
  <c r="K456" i="48" s="1"/>
  <c r="V330" i="14"/>
  <c r="P422" i="48"/>
  <c r="R373" i="48"/>
  <c r="R385" i="48"/>
  <c r="Q270" i="48"/>
  <c r="Q258" i="48"/>
  <c r="O370" i="14"/>
  <c r="O346" i="48" s="1"/>
  <c r="S439" i="14"/>
  <c r="S415" i="48" s="1"/>
  <c r="S116" i="14"/>
  <c r="T416" i="14"/>
  <c r="P197" i="48"/>
  <c r="P198" i="48" s="1"/>
  <c r="O263" i="41"/>
  <c r="O265" i="41" s="1"/>
  <c r="O260" i="41"/>
  <c r="R192" i="48"/>
  <c r="Q197" i="48"/>
  <c r="Q198" i="48" s="1"/>
  <c r="Q203" i="48" s="1"/>
  <c r="R316" i="48"/>
  <c r="R304" i="48"/>
  <c r="R307" i="48" s="1"/>
  <c r="Q310" i="48"/>
  <c r="Q317" i="48"/>
  <c r="R141" i="14"/>
  <c r="R156" i="14" s="1"/>
  <c r="J448" i="48"/>
  <c r="P294" i="14"/>
  <c r="P282" i="14"/>
  <c r="V514" i="14"/>
  <c r="I514" i="14" s="1"/>
  <c r="L51" i="45"/>
  <c r="J19" i="47" s="1"/>
  <c r="L179" i="45"/>
  <c r="L185" i="45" s="1"/>
  <c r="R1418" i="11"/>
  <c r="L21" i="46"/>
  <c r="N182" i="45"/>
  <c r="O182" i="45" s="1"/>
  <c r="N191" i="45"/>
  <c r="O190" i="45" s="1"/>
  <c r="L82" i="45"/>
  <c r="L189" i="45"/>
  <c r="J55" i="45"/>
  <c r="H21" i="47" s="1"/>
  <c r="J171" i="45"/>
  <c r="J175" i="45" s="1"/>
  <c r="N103" i="45"/>
  <c r="M78" i="45"/>
  <c r="K37" i="47" s="1"/>
  <c r="M172" i="45"/>
  <c r="N111" i="45"/>
  <c r="L30" i="47" s="1"/>
  <c r="L31" i="47" s="1"/>
  <c r="U1425" i="11"/>
  <c r="U1327" i="11"/>
  <c r="U1331" i="11" s="1"/>
  <c r="I558" i="11"/>
  <c r="V560" i="11"/>
  <c r="I560" i="11" s="1"/>
  <c r="V561" i="11"/>
  <c r="V300" i="14" s="1"/>
  <c r="U1400" i="11"/>
  <c r="U1402" i="11" s="1"/>
  <c r="V1398" i="11"/>
  <c r="M80" i="45"/>
  <c r="U1038" i="43"/>
  <c r="U1028" i="43" s="1"/>
  <c r="U1035" i="43" s="1"/>
  <c r="S1358" i="11"/>
  <c r="S1359" i="11" s="1"/>
  <c r="S1420" i="11"/>
  <c r="M92" i="40" s="1"/>
  <c r="S1375" i="11"/>
  <c r="V713" i="11"/>
  <c r="V707" i="11"/>
  <c r="U713" i="11"/>
  <c r="U707" i="11"/>
  <c r="M74" i="45"/>
  <c r="K35" i="47" s="1"/>
  <c r="R1359" i="11"/>
  <c r="L67" i="45"/>
  <c r="V1366" i="11"/>
  <c r="V1368" i="11"/>
  <c r="V1369" i="11"/>
  <c r="V1374" i="11"/>
  <c r="V1370" i="11"/>
  <c r="N72" i="45"/>
  <c r="T1372" i="11"/>
  <c r="U1366" i="11"/>
  <c r="U1368" i="11"/>
  <c r="U1369" i="11"/>
  <c r="U1374" i="11"/>
  <c r="U1370" i="11"/>
  <c r="T1355" i="11"/>
  <c r="N66" i="45" s="1"/>
  <c r="N65" i="45"/>
  <c r="L34" i="47" s="1"/>
  <c r="V1351" i="11"/>
  <c r="V1352" i="11"/>
  <c r="U1357" i="11"/>
  <c r="U1351" i="11"/>
  <c r="U1352" i="11"/>
  <c r="V1349" i="11"/>
  <c r="V1357" i="11"/>
  <c r="U1349" i="11"/>
  <c r="I942" i="43"/>
  <c r="U1036" i="43"/>
  <c r="U1103" i="43" s="1"/>
  <c r="V1095" i="43"/>
  <c r="V1100" i="43" s="1"/>
  <c r="J82" i="42"/>
  <c r="V1099" i="43"/>
  <c r="I935" i="43"/>
  <c r="U950" i="43"/>
  <c r="U983" i="43" s="1"/>
  <c r="U985" i="43" s="1"/>
  <c r="U973" i="43"/>
  <c r="U975" i="43" s="1"/>
  <c r="U971" i="43" s="1"/>
  <c r="V973" i="43"/>
  <c r="V975" i="43" s="1"/>
  <c r="V971" i="43" s="1"/>
  <c r="V950" i="43"/>
  <c r="V983" i="43" s="1"/>
  <c r="V985" i="43" s="1"/>
  <c r="U566" i="11"/>
  <c r="U1095" i="43"/>
  <c r="U1100" i="43" s="1"/>
  <c r="V1038" i="43"/>
  <c r="V1028" i="43" s="1"/>
  <c r="V1035" i="43" s="1"/>
  <c r="U1099" i="43"/>
  <c r="V1036" i="43"/>
  <c r="V1103" i="43" s="1"/>
  <c r="U458" i="11"/>
  <c r="V233" i="11"/>
  <c r="V234" i="11" s="1"/>
  <c r="V232" i="11"/>
  <c r="U457" i="11"/>
  <c r="U236" i="11"/>
  <c r="U230" i="11"/>
  <c r="U492" i="11"/>
  <c r="T1406" i="11"/>
  <c r="T1417" i="11"/>
  <c r="N53" i="40" s="1"/>
  <c r="Q1270" i="11"/>
  <c r="K43" i="45"/>
  <c r="K44" i="45"/>
  <c r="R1269" i="11"/>
  <c r="L42" i="45"/>
  <c r="N374" i="14"/>
  <c r="N377" i="14" s="1"/>
  <c r="N380" i="14" s="1"/>
  <c r="N382" i="14" s="1"/>
  <c r="N383" i="14" s="1"/>
  <c r="N388" i="14" s="1"/>
  <c r="I484" i="11"/>
  <c r="V486" i="11"/>
  <c r="V487" i="11"/>
  <c r="V488" i="11" s="1"/>
  <c r="V208" i="14"/>
  <c r="V184" i="48" s="1"/>
  <c r="V715" i="11"/>
  <c r="V238" i="11"/>
  <c r="U238" i="11"/>
  <c r="U208" i="14"/>
  <c r="U184" i="48" s="1"/>
  <c r="V492" i="11"/>
  <c r="V695" i="43"/>
  <c r="I704" i="43"/>
  <c r="V773" i="43"/>
  <c r="I782" i="43"/>
  <c r="T586" i="43"/>
  <c r="U585" i="43"/>
  <c r="V861" i="43"/>
  <c r="I870" i="43"/>
  <c r="Q369" i="14"/>
  <c r="Q345" i="48" s="1"/>
  <c r="Q437" i="48" s="1"/>
  <c r="K42" i="40" s="1"/>
  <c r="Q816" i="11"/>
  <c r="Q772" i="11"/>
  <c r="Q774" i="11" s="1"/>
  <c r="Q769" i="11" s="1"/>
  <c r="V619" i="43"/>
  <c r="V621" i="43" s="1"/>
  <c r="I578" i="43"/>
  <c r="S588" i="43"/>
  <c r="S591" i="43"/>
  <c r="P763" i="11"/>
  <c r="U581" i="43"/>
  <c r="U583" i="43" s="1"/>
  <c r="U624" i="43" s="1"/>
  <c r="U626" i="43" s="1"/>
  <c r="V580" i="43"/>
  <c r="V581" i="43" s="1"/>
  <c r="V583" i="43" s="1"/>
  <c r="P461" i="14"/>
  <c r="R592" i="43"/>
  <c r="R629" i="43"/>
  <c r="R631" i="43" s="1"/>
  <c r="R607" i="43" s="1"/>
  <c r="T755" i="11"/>
  <c r="U754" i="11"/>
  <c r="R798" i="11"/>
  <c r="R800" i="11" s="1"/>
  <c r="R776" i="11" s="1"/>
  <c r="R761" i="11"/>
  <c r="S757" i="11"/>
  <c r="S760" i="11"/>
  <c r="M20" i="40" s="1"/>
  <c r="U750" i="11"/>
  <c r="U752" i="11" s="1"/>
  <c r="U793" i="11" s="1"/>
  <c r="U795" i="11" s="1"/>
  <c r="V749" i="11"/>
  <c r="V750" i="11" s="1"/>
  <c r="V752" i="11" s="1"/>
  <c r="Q647" i="43"/>
  <c r="Q603" i="43"/>
  <c r="Q605" i="43" s="1"/>
  <c r="I256" i="11"/>
  <c r="V1278" i="11"/>
  <c r="V1302" i="11"/>
  <c r="V1182" i="43"/>
  <c r="V1184" i="43" s="1"/>
  <c r="V1187" i="43" s="1"/>
  <c r="U1182" i="43"/>
  <c r="U1184" i="43" s="1"/>
  <c r="U1187" i="43" s="1"/>
  <c r="V564" i="11"/>
  <c r="S248" i="14"/>
  <c r="P105" i="14"/>
  <c r="P106" i="14" s="1"/>
  <c r="U1282" i="11"/>
  <c r="N301" i="41"/>
  <c r="N304" i="41"/>
  <c r="N306" i="41" s="1"/>
  <c r="V236" i="11"/>
  <c r="Q515" i="14"/>
  <c r="Q518" i="14" s="1"/>
  <c r="U1283" i="11"/>
  <c r="U1292" i="11"/>
  <c r="O525" i="14"/>
  <c r="O518" i="14"/>
  <c r="N343" i="41"/>
  <c r="U1291" i="11"/>
  <c r="M521" i="14"/>
  <c r="U1284" i="11"/>
  <c r="M365" i="14"/>
  <c r="T233" i="14"/>
  <c r="O359" i="14"/>
  <c r="U1285" i="11"/>
  <c r="T716" i="11"/>
  <c r="T346" i="14"/>
  <c r="U1290" i="11"/>
  <c r="V261" i="14"/>
  <c r="R22" i="14"/>
  <c r="R25" i="14" s="1"/>
  <c r="L77" i="40" s="1"/>
  <c r="U1286" i="11"/>
  <c r="U493" i="11"/>
  <c r="U231" i="14"/>
  <c r="U207" i="48" s="1"/>
  <c r="U209" i="48" s="1"/>
  <c r="U224" i="48" s="1"/>
  <c r="P244" i="14"/>
  <c r="V260" i="11"/>
  <c r="R242" i="14"/>
  <c r="R249" i="14"/>
  <c r="Q96" i="41"/>
  <c r="Q103" i="41" s="1"/>
  <c r="V490" i="11"/>
  <c r="U1308" i="11"/>
  <c r="V1166" i="43"/>
  <c r="U1124" i="43"/>
  <c r="V1170" i="43"/>
  <c r="V1133" i="43"/>
  <c r="V1171" i="43" s="1"/>
  <c r="U1306" i="11"/>
  <c r="V440" i="11"/>
  <c r="U1314" i="11"/>
  <c r="U1307" i="11"/>
  <c r="U1309" i="11"/>
  <c r="U1310" i="11"/>
  <c r="U1316" i="11"/>
  <c r="U1315" i="11"/>
  <c r="L216" i="14"/>
  <c r="K189" i="41" s="1"/>
  <c r="K190" i="41" s="1"/>
  <c r="M210" i="14"/>
  <c r="N213" i="14"/>
  <c r="N225" i="14"/>
  <c r="V1415" i="11"/>
  <c r="V1417" i="11" s="1"/>
  <c r="V1406" i="11"/>
  <c r="U1415" i="11"/>
  <c r="U1417" i="11" s="1"/>
  <c r="U1406" i="11"/>
  <c r="K78" i="40"/>
  <c r="Q133" i="14"/>
  <c r="V252" i="11"/>
  <c r="V251" i="11" s="1"/>
  <c r="S1205" i="11"/>
  <c r="U1196" i="11"/>
  <c r="V1264" i="11"/>
  <c r="V1203" i="11"/>
  <c r="U1264" i="11"/>
  <c r="R1210" i="11"/>
  <c r="S1265" i="11"/>
  <c r="M49" i="45" s="1"/>
  <c r="U1200" i="11"/>
  <c r="S1206" i="11"/>
  <c r="T1204" i="11"/>
  <c r="U1195" i="11"/>
  <c r="U1192" i="11"/>
  <c r="U1193" i="11"/>
  <c r="S1261" i="11"/>
  <c r="U1202" i="11"/>
  <c r="U1201" i="11"/>
  <c r="S1185" i="11"/>
  <c r="S1210" i="11" s="1"/>
  <c r="T1197" i="11"/>
  <c r="T1208" i="11" s="1"/>
  <c r="T1199" i="11" s="1"/>
  <c r="U1191" i="11"/>
  <c r="V1194" i="11"/>
  <c r="V1193" i="11"/>
  <c r="V1196" i="11"/>
  <c r="T1250" i="11"/>
  <c r="V1195" i="11"/>
  <c r="T1248" i="11"/>
  <c r="V1191" i="11"/>
  <c r="V1192" i="11"/>
  <c r="U1203" i="11"/>
  <c r="V1246" i="11"/>
  <c r="V1245" i="11"/>
  <c r="V1243" i="11"/>
  <c r="V1254" i="11"/>
  <c r="V1253" i="11"/>
  <c r="V1242" i="11"/>
  <c r="V1247" i="11"/>
  <c r="V1244" i="11"/>
  <c r="V1251" i="11"/>
  <c r="V1252" i="11"/>
  <c r="U1247" i="11"/>
  <c r="U1253" i="11"/>
  <c r="U1242" i="11"/>
  <c r="U1246" i="11"/>
  <c r="U1245" i="11"/>
  <c r="U1244" i="11"/>
  <c r="U1251" i="11"/>
  <c r="U1243" i="11"/>
  <c r="U1254" i="11"/>
  <c r="U1252" i="11"/>
  <c r="U1194" i="11"/>
  <c r="V1202" i="11"/>
  <c r="V1200" i="11"/>
  <c r="V1201" i="11"/>
  <c r="T1175" i="11"/>
  <c r="T1185" i="11" s="1"/>
  <c r="T1182" i="11"/>
  <c r="V1227" i="11"/>
  <c r="V1228" i="11"/>
  <c r="V1229" i="11"/>
  <c r="T1224" i="11"/>
  <c r="U1227" i="11"/>
  <c r="U1228" i="11"/>
  <c r="U1229" i="11"/>
  <c r="U1180" i="11"/>
  <c r="U1178" i="11"/>
  <c r="U1181" i="11"/>
  <c r="U1179" i="11"/>
  <c r="V1180" i="11"/>
  <c r="V1178" i="11"/>
  <c r="V1179" i="11"/>
  <c r="V1181" i="11"/>
  <c r="V38" i="11"/>
  <c r="I29" i="11"/>
  <c r="U1169" i="11"/>
  <c r="U1174" i="11"/>
  <c r="U1173" i="11"/>
  <c r="U1172" i="11"/>
  <c r="U1171" i="11"/>
  <c r="U1170" i="11"/>
  <c r="V1169" i="11"/>
  <c r="V1174" i="11"/>
  <c r="V1173" i="11"/>
  <c r="V1172" i="11"/>
  <c r="V1171" i="11"/>
  <c r="V1170" i="11"/>
  <c r="U38" i="11"/>
  <c r="L281" i="41"/>
  <c r="P173" i="14"/>
  <c r="P175" i="14" s="1"/>
  <c r="P180" i="14"/>
  <c r="I146" i="14"/>
  <c r="N272" i="41"/>
  <c r="I192" i="14"/>
  <c r="N268" i="41"/>
  <c r="N275" i="41" s="1"/>
  <c r="O112" i="41"/>
  <c r="O115" i="41" s="1"/>
  <c r="V457" i="11"/>
  <c r="V458" i="11"/>
  <c r="I453" i="11"/>
  <c r="O227" i="41"/>
  <c r="O234" i="41" s="1"/>
  <c r="N294" i="41"/>
  <c r="N115" i="41"/>
  <c r="N117" i="41"/>
  <c r="V75" i="14"/>
  <c r="U27" i="41" s="1"/>
  <c r="V192" i="11"/>
  <c r="I363" i="11"/>
  <c r="Q1119" i="11"/>
  <c r="Q1142" i="11"/>
  <c r="Q1144" i="11" s="1"/>
  <c r="Q1140" i="11" s="1"/>
  <c r="N501" i="14"/>
  <c r="N489" i="14"/>
  <c r="M34" i="40"/>
  <c r="T190" i="11"/>
  <c r="M33" i="40"/>
  <c r="O486" i="14"/>
  <c r="O501" i="14" s="1"/>
  <c r="P484" i="14"/>
  <c r="P460" i="48" s="1"/>
  <c r="P1157" i="11"/>
  <c r="P1159" i="11" s="1"/>
  <c r="U202" i="11"/>
  <c r="U205" i="11" s="1"/>
  <c r="V202" i="11"/>
  <c r="V205" i="11" s="1"/>
  <c r="T436" i="11"/>
  <c r="T410" i="11" s="1"/>
  <c r="V262" i="11"/>
  <c r="V301" i="11" s="1"/>
  <c r="V57" i="35"/>
  <c r="I69" i="35"/>
  <c r="V90" i="23"/>
  <c r="U79" i="24"/>
  <c r="U79" i="25" s="1"/>
  <c r="V84" i="23"/>
  <c r="U73" i="24"/>
  <c r="U73" i="25" s="1"/>
  <c r="V386" i="11"/>
  <c r="J73" i="23"/>
  <c r="J80" i="23" s="1"/>
  <c r="I516" i="11"/>
  <c r="V277" i="14"/>
  <c r="O91" i="23"/>
  <c r="V862" i="11"/>
  <c r="U942" i="11"/>
  <c r="U625" i="11"/>
  <c r="S534" i="11"/>
  <c r="S536" i="11" s="1"/>
  <c r="S522" i="11" s="1"/>
  <c r="U672" i="11"/>
  <c r="I327" i="14"/>
  <c r="I442" i="14"/>
  <c r="U279" i="11"/>
  <c r="U301" i="11"/>
  <c r="I419" i="14"/>
  <c r="T264" i="11"/>
  <c r="T367" i="11"/>
  <c r="T39" i="11"/>
  <c r="I122" i="14"/>
  <c r="T593" i="11"/>
  <c r="U381" i="11"/>
  <c r="U422" i="11"/>
  <c r="U425" i="11" s="1"/>
  <c r="V649" i="11"/>
  <c r="O411" i="14"/>
  <c r="V631" i="11"/>
  <c r="U655" i="11"/>
  <c r="U465" i="14"/>
  <c r="Q123" i="14"/>
  <c r="Q134" i="14" s="1"/>
  <c r="I169" i="14"/>
  <c r="I396" i="14"/>
  <c r="P157" i="14"/>
  <c r="P150" i="14"/>
  <c r="N128" i="14"/>
  <c r="V655" i="11"/>
  <c r="T1111" i="11"/>
  <c r="N290" i="14"/>
  <c r="V625" i="11"/>
  <c r="V1048" i="11"/>
  <c r="V1050" i="11" s="1"/>
  <c r="V1037" i="11"/>
  <c r="V1039" i="11" s="1"/>
  <c r="V54" i="11"/>
  <c r="V77" i="11"/>
  <c r="V95" i="11"/>
  <c r="U319" i="11"/>
  <c r="U307" i="11"/>
  <c r="U313" i="11"/>
  <c r="U396" i="11"/>
  <c r="U433" i="11"/>
  <c r="U643" i="11"/>
  <c r="U540" i="11"/>
  <c r="U542" i="11" s="1"/>
  <c r="U119" i="14"/>
  <c r="U95" i="48" s="1"/>
  <c r="P38" i="14"/>
  <c r="P28" i="14"/>
  <c r="I27" i="14"/>
  <c r="I24" i="11"/>
  <c r="V396" i="11"/>
  <c r="V433" i="11"/>
  <c r="U54" i="11"/>
  <c r="U95" i="11"/>
  <c r="U77" i="11"/>
  <c r="O31" i="14"/>
  <c r="O60" i="14" s="1"/>
  <c r="V465" i="14"/>
  <c r="I373" i="14"/>
  <c r="I24" i="14"/>
  <c r="U323" i="14"/>
  <c r="T212" i="41" s="1"/>
  <c r="T214" i="41" s="1"/>
  <c r="U635" i="11"/>
  <c r="U637" i="11" s="1"/>
  <c r="O175" i="14"/>
  <c r="V672" i="11"/>
  <c r="S1148" i="11"/>
  <c r="S21" i="14"/>
  <c r="S21" i="48" s="1"/>
  <c r="N452" i="14"/>
  <c r="V960" i="11"/>
  <c r="V962" i="11" s="1"/>
  <c r="V949" i="11"/>
  <c r="V951" i="11" s="1"/>
  <c r="V415" i="14"/>
  <c r="V391" i="48" s="1"/>
  <c r="I391" i="48" s="1"/>
  <c r="V119" i="14"/>
  <c r="V95" i="48" s="1"/>
  <c r="V323" i="14"/>
  <c r="U212" i="41" s="1"/>
  <c r="U214" i="41" s="1"/>
  <c r="V635" i="11"/>
  <c r="V637" i="11" s="1"/>
  <c r="I589" i="11"/>
  <c r="U649" i="11"/>
  <c r="U89" i="11"/>
  <c r="N153" i="14"/>
  <c r="Q37" i="14"/>
  <c r="Q25" i="14"/>
  <c r="K77" i="40" s="1"/>
  <c r="K108" i="40" s="1"/>
  <c r="P456" i="14"/>
  <c r="P449" i="14"/>
  <c r="M34" i="14"/>
  <c r="M1546" i="11" s="1"/>
  <c r="M1547" i="11" s="1"/>
  <c r="V422" i="11"/>
  <c r="V425" i="11" s="1"/>
  <c r="V381" i="11"/>
  <c r="V60" i="11"/>
  <c r="U71" i="11"/>
  <c r="V89" i="11"/>
  <c r="U1030" i="11"/>
  <c r="S30" i="41" l="1"/>
  <c r="S33" i="41" s="1"/>
  <c r="T79" i="14"/>
  <c r="T86" i="14"/>
  <c r="D25" i="49"/>
  <c r="D4" i="42"/>
  <c r="D103" i="40"/>
  <c r="D119" i="40" s="1"/>
  <c r="N109" i="40"/>
  <c r="E21" i="49"/>
  <c r="E25" i="49" s="1"/>
  <c r="J21" i="49"/>
  <c r="L69" i="40"/>
  <c r="L14" i="49" s="1"/>
  <c r="P461" i="48"/>
  <c r="P462" i="48" s="1"/>
  <c r="O70" i="41"/>
  <c r="O71" i="41" s="1"/>
  <c r="K168" i="45"/>
  <c r="I12" i="47" s="1"/>
  <c r="W13" i="47" s="1"/>
  <c r="J38" i="24"/>
  <c r="N10" i="40"/>
  <c r="S1149" i="11"/>
  <c r="L309" i="41"/>
  <c r="L316" i="41" s="1"/>
  <c r="L317" i="41" s="1"/>
  <c r="L320" i="41" s="1"/>
  <c r="J497" i="48"/>
  <c r="J502" i="48" s="1"/>
  <c r="V237" i="48"/>
  <c r="I237" i="48" s="1"/>
  <c r="U304" i="14"/>
  <c r="U280" i="48" s="1"/>
  <c r="T304" i="14"/>
  <c r="T280" i="48" s="1"/>
  <c r="V1102" i="11"/>
  <c r="V1104" i="11" s="1"/>
  <c r="U1114" i="11"/>
  <c r="U1116" i="11" s="1"/>
  <c r="U1112" i="11"/>
  <c r="D8" i="49"/>
  <c r="K37" i="24"/>
  <c r="K23" i="25"/>
  <c r="K38" i="25" s="1"/>
  <c r="F22" i="49"/>
  <c r="F28" i="46"/>
  <c r="T62" i="48"/>
  <c r="J40" i="14"/>
  <c r="I40" i="14" s="1"/>
  <c r="J1546" i="11"/>
  <c r="J1547" i="11" s="1"/>
  <c r="K312" i="41"/>
  <c r="L495" i="14"/>
  <c r="L497" i="14" s="1"/>
  <c r="L498" i="14" s="1"/>
  <c r="L503" i="14" s="1"/>
  <c r="L502" i="14"/>
  <c r="N40" i="14"/>
  <c r="V46" i="48"/>
  <c r="V61" i="48" s="1"/>
  <c r="P525" i="14"/>
  <c r="U1224" i="11"/>
  <c r="T21" i="41"/>
  <c r="T22" i="41" s="1"/>
  <c r="I145" i="48"/>
  <c r="L33" i="48"/>
  <c r="L34" i="48" s="1"/>
  <c r="L40" i="48" s="1"/>
  <c r="E20" i="46"/>
  <c r="K494" i="48"/>
  <c r="K501" i="48"/>
  <c r="L500" i="48"/>
  <c r="L488" i="48"/>
  <c r="L491" i="48" s="1"/>
  <c r="K86" i="48"/>
  <c r="K79" i="48"/>
  <c r="V253" i="48"/>
  <c r="I253" i="48" s="1"/>
  <c r="U253" i="41"/>
  <c r="U255" i="41" s="1"/>
  <c r="K33" i="14"/>
  <c r="K34" i="14" s="1"/>
  <c r="K497" i="14"/>
  <c r="K498" i="14" s="1"/>
  <c r="K503" i="14" s="1"/>
  <c r="J313" i="41"/>
  <c r="J317" i="41" s="1"/>
  <c r="U19" i="41"/>
  <c r="U14" i="41"/>
  <c r="L76" i="48"/>
  <c r="F97" i="40"/>
  <c r="I322" i="41"/>
  <c r="I320" i="41"/>
  <c r="K518" i="14"/>
  <c r="K521" i="14" s="1"/>
  <c r="K526" i="14" s="1"/>
  <c r="K525" i="14"/>
  <c r="L33" i="14"/>
  <c r="L34" i="14" s="1"/>
  <c r="L106" i="14"/>
  <c r="L111" i="14" s="1"/>
  <c r="L520" i="14"/>
  <c r="L518" i="14"/>
  <c r="L525" i="14"/>
  <c r="S215" i="48"/>
  <c r="S218" i="48" s="1"/>
  <c r="S220" i="48" s="1"/>
  <c r="S221" i="48" s="1"/>
  <c r="S226" i="48" s="1"/>
  <c r="V306" i="48"/>
  <c r="I306" i="48" s="1"/>
  <c r="U232" i="41"/>
  <c r="S181" i="41"/>
  <c r="S183" i="41" s="1"/>
  <c r="S178" i="41"/>
  <c r="R103" i="14"/>
  <c r="R105" i="14" s="1"/>
  <c r="R106" i="14" s="1"/>
  <c r="R111" i="14" s="1"/>
  <c r="U1040" i="43"/>
  <c r="U1104" i="43" s="1"/>
  <c r="N240" i="41"/>
  <c r="R483" i="48"/>
  <c r="L56" i="40" s="1"/>
  <c r="R70" i="48"/>
  <c r="R73" i="48" s="1"/>
  <c r="L97" i="40" s="1"/>
  <c r="L108" i="40" s="1"/>
  <c r="P86" i="48"/>
  <c r="P79" i="48"/>
  <c r="P81" i="48" s="1"/>
  <c r="P82" i="48" s="1"/>
  <c r="P87" i="48" s="1"/>
  <c r="Q28" i="48"/>
  <c r="Q39" i="48" s="1"/>
  <c r="R512" i="14"/>
  <c r="L95" i="40" s="1"/>
  <c r="L24" i="46" s="1"/>
  <c r="P334" i="14"/>
  <c r="P336" i="14" s="1"/>
  <c r="R37" i="48"/>
  <c r="R167" i="14"/>
  <c r="R170" i="14" s="1"/>
  <c r="Q107" i="41" s="1"/>
  <c r="Q108" i="41" s="1"/>
  <c r="S440" i="14"/>
  <c r="S455" i="14" s="1"/>
  <c r="S242" i="14"/>
  <c r="S244" i="14" s="1"/>
  <c r="T1101" i="43"/>
  <c r="J86" i="42"/>
  <c r="M279" i="41"/>
  <c r="R231" i="48"/>
  <c r="R35" i="41"/>
  <c r="Q331" i="14"/>
  <c r="P230" i="41" s="1"/>
  <c r="P231" i="41" s="1"/>
  <c r="P341" i="14"/>
  <c r="R449" i="14"/>
  <c r="R451" i="14" s="1"/>
  <c r="R452" i="14" s="1"/>
  <c r="R457" i="14" s="1"/>
  <c r="O465" i="48"/>
  <c r="O468" i="48" s="1"/>
  <c r="O471" i="48" s="1"/>
  <c r="S189" i="48"/>
  <c r="S192" i="48" s="1"/>
  <c r="S202" i="48" s="1"/>
  <c r="Q104" i="41"/>
  <c r="Q111" i="41" s="1"/>
  <c r="P63" i="41"/>
  <c r="P70" i="41" s="1"/>
  <c r="O235" i="41"/>
  <c r="M19" i="25"/>
  <c r="I330" i="14"/>
  <c r="S351" i="14"/>
  <c r="S354" i="14" s="1"/>
  <c r="S364" i="14" s="1"/>
  <c r="S94" i="14"/>
  <c r="S68" i="48"/>
  <c r="S483" i="48" s="1"/>
  <c r="Q147" i="14"/>
  <c r="M502" i="14"/>
  <c r="R132" i="48"/>
  <c r="P126" i="14"/>
  <c r="P128" i="14" s="1"/>
  <c r="P129" i="14" s="1"/>
  <c r="P135" i="14" s="1"/>
  <c r="M495" i="14"/>
  <c r="M497" i="14" s="1"/>
  <c r="M498" i="14" s="1"/>
  <c r="M503" i="14" s="1"/>
  <c r="S22" i="48"/>
  <c r="S25" i="48" s="1"/>
  <c r="S38" i="48" s="1"/>
  <c r="Q155" i="48"/>
  <c r="M1463" i="11"/>
  <c r="M1465" i="11" s="1"/>
  <c r="M103" i="15" s="1"/>
  <c r="M106" i="15" s="1"/>
  <c r="K21" i="49"/>
  <c r="R144" i="14"/>
  <c r="R147" i="14" s="1"/>
  <c r="T212" i="48"/>
  <c r="N96" i="40" s="1"/>
  <c r="M454" i="48"/>
  <c r="R328" i="14"/>
  <c r="R331" i="14" s="1"/>
  <c r="R341" i="14" s="1"/>
  <c r="V85" i="14"/>
  <c r="Q222" i="41"/>
  <c r="Q224" i="41" s="1"/>
  <c r="Q226" i="41" s="1"/>
  <c r="V73" i="14"/>
  <c r="I73" i="14" s="1"/>
  <c r="M82" i="48"/>
  <c r="M87" i="48" s="1"/>
  <c r="R132" i="14"/>
  <c r="R140" i="48"/>
  <c r="R143" i="48" s="1"/>
  <c r="E4" i="46"/>
  <c r="F4" i="46" s="1"/>
  <c r="O22" i="40"/>
  <c r="K36" i="47"/>
  <c r="D34" i="46"/>
  <c r="D38" i="46" s="1"/>
  <c r="T397" i="14"/>
  <c r="T400" i="14" s="1"/>
  <c r="T403" i="14" s="1"/>
  <c r="T405" i="14" s="1"/>
  <c r="T406" i="14" s="1"/>
  <c r="T411" i="14" s="1"/>
  <c r="K87" i="40"/>
  <c r="K17" i="46" s="1"/>
  <c r="E112" i="40"/>
  <c r="I438" i="14"/>
  <c r="O299" i="41"/>
  <c r="O341" i="41" s="1"/>
  <c r="O346" i="41" s="1"/>
  <c r="O348" i="41" s="1"/>
  <c r="Q294" i="14"/>
  <c r="M19" i="24"/>
  <c r="I3" i="49"/>
  <c r="J3" i="49"/>
  <c r="T20" i="48"/>
  <c r="N39" i="40" s="1"/>
  <c r="I95" i="48"/>
  <c r="J15" i="49"/>
  <c r="T348" i="14"/>
  <c r="T363" i="14" s="1"/>
  <c r="T322" i="48"/>
  <c r="K72" i="40"/>
  <c r="K17" i="49" s="1"/>
  <c r="K43" i="40"/>
  <c r="L164" i="45"/>
  <c r="J18" i="47"/>
  <c r="J20" i="47" s="1"/>
  <c r="V276" i="48"/>
  <c r="V278" i="48" s="1"/>
  <c r="V302" i="14"/>
  <c r="I300" i="14"/>
  <c r="D103" i="45"/>
  <c r="L27" i="47"/>
  <c r="L28" i="47" s="1"/>
  <c r="L83" i="45"/>
  <c r="L84" i="45" s="1"/>
  <c r="J38" i="47"/>
  <c r="J39" i="47" s="1"/>
  <c r="S117" i="14"/>
  <c r="S92" i="48"/>
  <c r="S93" i="48" s="1"/>
  <c r="S96" i="48" s="1"/>
  <c r="R53" i="41"/>
  <c r="S116" i="48"/>
  <c r="S117" i="48" s="1"/>
  <c r="S132" i="48" s="1"/>
  <c r="I139" i="14"/>
  <c r="V115" i="48"/>
  <c r="I115" i="48" s="1"/>
  <c r="R94" i="41"/>
  <c r="R99" i="41" s="1"/>
  <c r="R101" i="41" s="1"/>
  <c r="S139" i="48"/>
  <c r="T97" i="14"/>
  <c r="T100" i="14" s="1"/>
  <c r="T110" i="14" s="1"/>
  <c r="T72" i="48"/>
  <c r="S511" i="14"/>
  <c r="S512" i="14" s="1"/>
  <c r="M95" i="40" s="1"/>
  <c r="M24" i="46" s="1"/>
  <c r="S326" i="48"/>
  <c r="S487" i="48" s="1"/>
  <c r="T185" i="48"/>
  <c r="T186" i="48" s="1"/>
  <c r="T201" i="48" s="1"/>
  <c r="R339" i="48"/>
  <c r="R327" i="48"/>
  <c r="S317" i="14"/>
  <c r="S305" i="14"/>
  <c r="S278" i="48"/>
  <c r="M59" i="40"/>
  <c r="M68" i="40" s="1"/>
  <c r="M13" i="49" s="1"/>
  <c r="P333" i="48"/>
  <c r="P340" i="48"/>
  <c r="Q86" i="48"/>
  <c r="Q79" i="48"/>
  <c r="Q81" i="48" s="1"/>
  <c r="Q82" i="48" s="1"/>
  <c r="Q87" i="48" s="1"/>
  <c r="Q311" i="14"/>
  <c r="Q318" i="14"/>
  <c r="K98" i="40"/>
  <c r="Q284" i="48"/>
  <c r="Q488" i="48"/>
  <c r="Q491" i="48" s="1"/>
  <c r="Q494" i="48" s="1"/>
  <c r="Q500" i="48"/>
  <c r="O335" i="48"/>
  <c r="O496" i="48" s="1"/>
  <c r="O497" i="48" s="1"/>
  <c r="O502" i="48" s="1"/>
  <c r="O290" i="48"/>
  <c r="O295" i="48" s="1"/>
  <c r="N496" i="48"/>
  <c r="N497" i="48" s="1"/>
  <c r="N502" i="48" s="1"/>
  <c r="P289" i="48"/>
  <c r="P290" i="48" s="1"/>
  <c r="P295" i="48" s="1"/>
  <c r="L98" i="40"/>
  <c r="R284" i="48"/>
  <c r="Q330" i="48"/>
  <c r="K99" i="40"/>
  <c r="Q58" i="41"/>
  <c r="Q60" i="41" s="1"/>
  <c r="Q55" i="41"/>
  <c r="U276" i="48"/>
  <c r="U278" i="48" s="1"/>
  <c r="U302" i="14"/>
  <c r="T276" i="48"/>
  <c r="T302" i="14"/>
  <c r="N58" i="40"/>
  <c r="T70" i="48"/>
  <c r="M60" i="40"/>
  <c r="S324" i="48"/>
  <c r="R108" i="48"/>
  <c r="R96" i="48"/>
  <c r="K25" i="46"/>
  <c r="J107" i="40"/>
  <c r="J20" i="49" s="1"/>
  <c r="N438" i="48"/>
  <c r="N439" i="48" s="1"/>
  <c r="N442" i="48" s="1"/>
  <c r="N445" i="48" s="1"/>
  <c r="S426" i="14"/>
  <c r="S428" i="14" s="1"/>
  <c r="S429" i="14" s="1"/>
  <c r="S434" i="14" s="1"/>
  <c r="T440" i="14"/>
  <c r="T443" i="14" s="1"/>
  <c r="T446" i="14" s="1"/>
  <c r="T449" i="14" s="1"/>
  <c r="Q261" i="48"/>
  <c r="Q271" i="48" s="1"/>
  <c r="K93" i="40"/>
  <c r="Q285" i="14"/>
  <c r="P271" i="41" s="1"/>
  <c r="P272" i="41" s="1"/>
  <c r="K479" i="14"/>
  <c r="K472" i="14"/>
  <c r="K38" i="24"/>
  <c r="R426" i="14"/>
  <c r="R428" i="14" s="1"/>
  <c r="R433" i="14"/>
  <c r="L77" i="24"/>
  <c r="L106" i="15"/>
  <c r="R410" i="14"/>
  <c r="R403" i="14"/>
  <c r="R405" i="14" s="1"/>
  <c r="R406" i="14" s="1"/>
  <c r="R411" i="14" s="1"/>
  <c r="K50" i="15"/>
  <c r="K64" i="15"/>
  <c r="K27" i="15"/>
  <c r="K82" i="19"/>
  <c r="O462" i="14"/>
  <c r="R432" i="48"/>
  <c r="R425" i="48"/>
  <c r="K46" i="24"/>
  <c r="K100" i="24" s="1"/>
  <c r="K124" i="15"/>
  <c r="K46" i="25"/>
  <c r="K100" i="25" s="1"/>
  <c r="K77" i="24"/>
  <c r="K106" i="15"/>
  <c r="J80" i="24"/>
  <c r="J77" i="25"/>
  <c r="J80" i="25" s="1"/>
  <c r="L469" i="14"/>
  <c r="F80" i="40"/>
  <c r="F111" i="40" s="1"/>
  <c r="F24" i="49" s="1"/>
  <c r="I441" i="48"/>
  <c r="O371" i="14"/>
  <c r="O374" i="14" s="1"/>
  <c r="O377" i="14" s="1"/>
  <c r="T417" i="14"/>
  <c r="T420" i="14" s="1"/>
  <c r="T423" i="14" s="1"/>
  <c r="T433" i="14" s="1"/>
  <c r="T392" i="48"/>
  <c r="T393" i="48" s="1"/>
  <c r="T396" i="48" s="1"/>
  <c r="G80" i="40"/>
  <c r="G111" i="40" s="1"/>
  <c r="G24" i="49" s="1"/>
  <c r="M469" i="14"/>
  <c r="E81" i="40"/>
  <c r="E6" i="49" s="1"/>
  <c r="E16" i="46"/>
  <c r="N463" i="14"/>
  <c r="I284" i="14"/>
  <c r="V260" i="48"/>
  <c r="I260" i="48" s="1"/>
  <c r="O267" i="41"/>
  <c r="O268" i="41" s="1"/>
  <c r="O275" i="41" s="1"/>
  <c r="P260" i="41"/>
  <c r="P267" i="41" s="1"/>
  <c r="R279" i="14"/>
  <c r="R294" i="14" s="1"/>
  <c r="R254" i="48"/>
  <c r="R255" i="48" s="1"/>
  <c r="S325" i="14"/>
  <c r="S340" i="14" s="1"/>
  <c r="S300" i="48"/>
  <c r="S301" i="48" s="1"/>
  <c r="S304" i="48" s="1"/>
  <c r="V299" i="48"/>
  <c r="U299" i="48"/>
  <c r="V51" i="48"/>
  <c r="I51" i="48" s="1"/>
  <c r="U52" i="48"/>
  <c r="U55" i="48" s="1"/>
  <c r="I283" i="48"/>
  <c r="V490" i="48"/>
  <c r="I490" i="48" s="1"/>
  <c r="N134" i="48"/>
  <c r="P40" i="48"/>
  <c r="J27" i="46"/>
  <c r="P285" i="14"/>
  <c r="M502" i="48"/>
  <c r="Q126" i="48"/>
  <c r="Q133" i="48"/>
  <c r="O104" i="48"/>
  <c r="O105" i="48" s="1"/>
  <c r="Q485" i="14"/>
  <c r="T350" i="14"/>
  <c r="P432" i="48"/>
  <c r="P425" i="48"/>
  <c r="N313" i="48"/>
  <c r="Q258" i="41"/>
  <c r="Q263" i="41" s="1"/>
  <c r="Q265" i="41" s="1"/>
  <c r="R195" i="48"/>
  <c r="R202" i="48"/>
  <c r="I414" i="48"/>
  <c r="R28" i="48"/>
  <c r="R38" i="48"/>
  <c r="N471" i="48"/>
  <c r="N478" i="48"/>
  <c r="U416" i="14"/>
  <c r="S416" i="48"/>
  <c r="Q149" i="48"/>
  <c r="Q156" i="48"/>
  <c r="Q402" i="48"/>
  <c r="Q409" i="48"/>
  <c r="P149" i="48"/>
  <c r="P156" i="48"/>
  <c r="R404" i="48"/>
  <c r="R405" i="48" s="1"/>
  <c r="R410" i="48" s="1"/>
  <c r="T534" i="11"/>
  <c r="T536" i="11" s="1"/>
  <c r="T522" i="11" s="1"/>
  <c r="U212" i="14"/>
  <c r="U188" i="48" s="1"/>
  <c r="P261" i="48"/>
  <c r="M363" i="48"/>
  <c r="M356" i="48"/>
  <c r="V115" i="14"/>
  <c r="S381" i="48"/>
  <c r="S382" i="48" s="1"/>
  <c r="S387" i="48" s="1"/>
  <c r="J364" i="48"/>
  <c r="P226" i="48"/>
  <c r="T324" i="14"/>
  <c r="S217" i="41" s="1"/>
  <c r="T379" i="48"/>
  <c r="T386" i="48"/>
  <c r="T140" i="14"/>
  <c r="S53" i="41" s="1"/>
  <c r="U209" i="14"/>
  <c r="T176" i="41" s="1"/>
  <c r="N362" i="48"/>
  <c r="N350" i="48"/>
  <c r="L445" i="48"/>
  <c r="T163" i="14"/>
  <c r="U393" i="14"/>
  <c r="V212" i="14"/>
  <c r="V188" i="48" s="1"/>
  <c r="L356" i="48"/>
  <c r="L363" i="48"/>
  <c r="V20" i="14"/>
  <c r="J450" i="48"/>
  <c r="S278" i="14"/>
  <c r="S254" i="48" s="1"/>
  <c r="S255" i="48" s="1"/>
  <c r="P488" i="14"/>
  <c r="P464" i="48" s="1"/>
  <c r="U235" i="14"/>
  <c r="U211" i="48" s="1"/>
  <c r="U212" i="48" s="1"/>
  <c r="U215" i="48" s="1"/>
  <c r="P370" i="14"/>
  <c r="T236" i="14"/>
  <c r="T239" i="14" s="1"/>
  <c r="T249" i="14" s="1"/>
  <c r="R217" i="41"/>
  <c r="R219" i="41" s="1"/>
  <c r="S255" i="14"/>
  <c r="O438" i="48"/>
  <c r="O439" i="48" s="1"/>
  <c r="O347" i="48"/>
  <c r="P317" i="48"/>
  <c r="P310" i="48"/>
  <c r="Q110" i="48"/>
  <c r="Q102" i="48"/>
  <c r="O382" i="48"/>
  <c r="N266" i="48"/>
  <c r="N267" i="48" s="1"/>
  <c r="I184" i="48"/>
  <c r="R126" i="48"/>
  <c r="R133" i="48"/>
  <c r="U20" i="14"/>
  <c r="R376" i="48"/>
  <c r="U281" i="14"/>
  <c r="U257" i="48" s="1"/>
  <c r="V209" i="14"/>
  <c r="U176" i="41" s="1"/>
  <c r="T419" i="48"/>
  <c r="T422" i="48" s="1"/>
  <c r="T431" i="48"/>
  <c r="S404" i="48"/>
  <c r="S405" i="48" s="1"/>
  <c r="S410" i="48" s="1"/>
  <c r="N433" i="48"/>
  <c r="P104" i="48"/>
  <c r="P105" i="48" s="1"/>
  <c r="P111" i="48" s="1"/>
  <c r="Q312" i="48"/>
  <c r="Q313" i="48" s="1"/>
  <c r="Q318" i="48" s="1"/>
  <c r="U439" i="14"/>
  <c r="U415" i="48" s="1"/>
  <c r="U416" i="48" s="1"/>
  <c r="T21" i="14"/>
  <c r="T21" i="48" s="1"/>
  <c r="V882" i="11"/>
  <c r="V884" i="11" s="1"/>
  <c r="R317" i="48"/>
  <c r="R310" i="48"/>
  <c r="P203" i="48"/>
  <c r="L479" i="48"/>
  <c r="M448" i="48"/>
  <c r="M455" i="48"/>
  <c r="J176" i="45"/>
  <c r="H14" i="47"/>
  <c r="V16" i="47" s="1"/>
  <c r="J186" i="45"/>
  <c r="H13" i="47"/>
  <c r="H16" i="47" s="1"/>
  <c r="V14" i="47" s="1"/>
  <c r="V15" i="47" s="1"/>
  <c r="N74" i="45"/>
  <c r="N180" i="45"/>
  <c r="O180" i="45" s="1"/>
  <c r="M51" i="45"/>
  <c r="K19" i="47" s="1"/>
  <c r="M179" i="45"/>
  <c r="M185" i="45" s="1"/>
  <c r="S1418" i="11"/>
  <c r="M21" i="46"/>
  <c r="M82" i="45"/>
  <c r="M189" i="45"/>
  <c r="N78" i="45"/>
  <c r="N172" i="45"/>
  <c r="D65" i="45"/>
  <c r="N165" i="45"/>
  <c r="K55" i="45"/>
  <c r="I21" i="47" s="1"/>
  <c r="K171" i="45"/>
  <c r="K175" i="45" s="1"/>
  <c r="V562" i="11"/>
  <c r="V567" i="11" s="1"/>
  <c r="V304" i="14" s="1"/>
  <c r="I561" i="11"/>
  <c r="V1425" i="11"/>
  <c r="V1327" i="11"/>
  <c r="V1331" i="11" s="1"/>
  <c r="V1400" i="11"/>
  <c r="V1402" i="11" s="1"/>
  <c r="M67" i="45"/>
  <c r="N80" i="45"/>
  <c r="D90" i="45"/>
  <c r="J49" i="42"/>
  <c r="N387" i="14"/>
  <c r="U709" i="11"/>
  <c r="U710" i="11"/>
  <c r="U711" i="11" s="1"/>
  <c r="V709" i="11"/>
  <c r="V710" i="11"/>
  <c r="V711" i="11" s="1"/>
  <c r="U1372" i="11"/>
  <c r="U1375" i="11" s="1"/>
  <c r="V1355" i="11"/>
  <c r="V1358" i="11" s="1"/>
  <c r="V1359" i="11" s="1"/>
  <c r="T1375" i="11"/>
  <c r="V1372" i="11"/>
  <c r="V1375" i="11" s="1"/>
  <c r="T1358" i="11"/>
  <c r="D72" i="45"/>
  <c r="U1355" i="11"/>
  <c r="U1358" i="11" s="1"/>
  <c r="U1359" i="11" s="1"/>
  <c r="V1040" i="43"/>
  <c r="V1104" i="43" s="1"/>
  <c r="T1420" i="11"/>
  <c r="N92" i="40" s="1"/>
  <c r="I230" i="11"/>
  <c r="U232" i="11"/>
  <c r="U233" i="11"/>
  <c r="U234" i="11" s="1"/>
  <c r="S1269" i="11"/>
  <c r="M42" i="45"/>
  <c r="R1270" i="11"/>
  <c r="L43" i="45"/>
  <c r="L44" i="45"/>
  <c r="S1270" i="11"/>
  <c r="M43" i="45"/>
  <c r="M44" i="45"/>
  <c r="Q763" i="11"/>
  <c r="T591" i="43"/>
  <c r="T588" i="43"/>
  <c r="I621" i="43"/>
  <c r="Q461" i="14"/>
  <c r="Q600" i="43"/>
  <c r="Q594" i="43" s="1"/>
  <c r="T757" i="11"/>
  <c r="T760" i="11"/>
  <c r="N20" i="40" s="1"/>
  <c r="I752" i="11"/>
  <c r="V793" i="11"/>
  <c r="V795" i="11" s="1"/>
  <c r="V624" i="43"/>
  <c r="V626" i="43" s="1"/>
  <c r="I626" i="43" s="1"/>
  <c r="I583" i="43"/>
  <c r="R369" i="14"/>
  <c r="R345" i="48" s="1"/>
  <c r="R437" i="48" s="1"/>
  <c r="L42" i="40" s="1"/>
  <c r="R816" i="11"/>
  <c r="R772" i="11"/>
  <c r="R774" i="11" s="1"/>
  <c r="R769" i="11" s="1"/>
  <c r="R603" i="43"/>
  <c r="R605" i="43" s="1"/>
  <c r="R600" i="43" s="1"/>
  <c r="R647" i="43"/>
  <c r="U755" i="11"/>
  <c r="V754" i="11"/>
  <c r="V755" i="11" s="1"/>
  <c r="U586" i="43"/>
  <c r="V585" i="43"/>
  <c r="V586" i="43" s="1"/>
  <c r="S629" i="43"/>
  <c r="S631" i="43" s="1"/>
  <c r="S607" i="43" s="1"/>
  <c r="S592" i="43"/>
  <c r="S798" i="11"/>
  <c r="S800" i="11" s="1"/>
  <c r="S776" i="11" s="1"/>
  <c r="S761" i="11"/>
  <c r="T248" i="14"/>
  <c r="R37" i="14"/>
  <c r="P111" i="14"/>
  <c r="Q525" i="14"/>
  <c r="V239" i="11"/>
  <c r="V92" i="14"/>
  <c r="V68" i="48" s="1"/>
  <c r="V70" i="48" s="1"/>
  <c r="M526" i="14"/>
  <c r="T507" i="14"/>
  <c r="T509" i="14" s="1"/>
  <c r="U233" i="14"/>
  <c r="U248" i="14" s="1"/>
  <c r="O360" i="14"/>
  <c r="O520" i="14"/>
  <c r="O521" i="14" s="1"/>
  <c r="U1420" i="11"/>
  <c r="U1418" i="11" s="1"/>
  <c r="V1420" i="11"/>
  <c r="V1418" i="11" s="1"/>
  <c r="S524" i="14"/>
  <c r="P245" i="14"/>
  <c r="P250" i="14" s="1"/>
  <c r="P520" i="14"/>
  <c r="P521" i="14" s="1"/>
  <c r="P526" i="14" s="1"/>
  <c r="R357" i="14"/>
  <c r="R364" i="14"/>
  <c r="R244" i="14"/>
  <c r="V493" i="11"/>
  <c r="V231" i="14"/>
  <c r="V207" i="48" s="1"/>
  <c r="I488" i="11"/>
  <c r="P176" i="14"/>
  <c r="P181" i="14" s="1"/>
  <c r="N216" i="14"/>
  <c r="M189" i="41" s="1"/>
  <c r="M190" i="41" s="1"/>
  <c r="H88" i="40"/>
  <c r="V1124" i="43"/>
  <c r="M225" i="14"/>
  <c r="M213" i="14"/>
  <c r="G88" i="40" s="1"/>
  <c r="L219" i="14"/>
  <c r="L226" i="14"/>
  <c r="T1265" i="11"/>
  <c r="P31" i="14"/>
  <c r="P39" i="14"/>
  <c r="V1310" i="11"/>
  <c r="V1307" i="11"/>
  <c r="V1308" i="11"/>
  <c r="V1309" i="11"/>
  <c r="V1316" i="11"/>
  <c r="V1315" i="11"/>
  <c r="V1314" i="11"/>
  <c r="V1306" i="11"/>
  <c r="V1290" i="11"/>
  <c r="V1292" i="11"/>
  <c r="V1283" i="11"/>
  <c r="V1291" i="11"/>
  <c r="V1286" i="11"/>
  <c r="V1285" i="11"/>
  <c r="V1284" i="11"/>
  <c r="V1282" i="11"/>
  <c r="T1205" i="11"/>
  <c r="V1197" i="11"/>
  <c r="V1208" i="11" s="1"/>
  <c r="V1199" i="11" s="1"/>
  <c r="U1197" i="11"/>
  <c r="U1208" i="11" s="1"/>
  <c r="U1199" i="11" s="1"/>
  <c r="T1261" i="11"/>
  <c r="S1177" i="11"/>
  <c r="S1183" i="11" s="1"/>
  <c r="V1248" i="11"/>
  <c r="T1206" i="11"/>
  <c r="U1250" i="11"/>
  <c r="V1250" i="11"/>
  <c r="U1248" i="11"/>
  <c r="V1204" i="11"/>
  <c r="U1204" i="11"/>
  <c r="U1182" i="11"/>
  <c r="V1182" i="11"/>
  <c r="V1224" i="11"/>
  <c r="U86" i="14"/>
  <c r="U79" i="14"/>
  <c r="U81" i="14" s="1"/>
  <c r="T1177" i="11"/>
  <c r="T1183" i="11" s="1"/>
  <c r="T1210" i="11"/>
  <c r="V1175" i="11"/>
  <c r="U1175" i="11"/>
  <c r="P112" i="41"/>
  <c r="O117" i="41"/>
  <c r="N276" i="41"/>
  <c r="I75" i="14"/>
  <c r="Q180" i="14"/>
  <c r="I277" i="14"/>
  <c r="Q173" i="14"/>
  <c r="Q175" i="14" s="1"/>
  <c r="N33" i="40"/>
  <c r="R123" i="14"/>
  <c r="L78" i="40"/>
  <c r="V540" i="11"/>
  <c r="V542" i="11" s="1"/>
  <c r="N492" i="14"/>
  <c r="M312" i="41" s="1"/>
  <c r="N296" i="41"/>
  <c r="N308" i="41" s="1"/>
  <c r="N309" i="41" s="1"/>
  <c r="N316" i="41" s="1"/>
  <c r="O294" i="41"/>
  <c r="T81" i="14"/>
  <c r="T82" i="14" s="1"/>
  <c r="T87" i="14" s="1"/>
  <c r="P486" i="14"/>
  <c r="P501" i="14" s="1"/>
  <c r="I261" i="14"/>
  <c r="S144" i="14"/>
  <c r="I260" i="11"/>
  <c r="V190" i="11"/>
  <c r="S1142" i="11"/>
  <c r="S1144" i="11" s="1"/>
  <c r="U190" i="11"/>
  <c r="R1142" i="11"/>
  <c r="R1144" i="11" s="1"/>
  <c r="R1140" i="11" s="1"/>
  <c r="R1119" i="11"/>
  <c r="O489" i="14"/>
  <c r="Q484" i="14"/>
  <c r="Q460" i="48" s="1"/>
  <c r="K15" i="49" s="1"/>
  <c r="Q1157" i="11"/>
  <c r="Q1159" i="11" s="1"/>
  <c r="O176" i="14"/>
  <c r="O181" i="14" s="1"/>
  <c r="U436" i="11"/>
  <c r="U410" i="11" s="1"/>
  <c r="V307" i="11"/>
  <c r="V319" i="11"/>
  <c r="V313" i="11"/>
  <c r="V436" i="11"/>
  <c r="V410" i="11" s="1"/>
  <c r="V290" i="11"/>
  <c r="V279" i="11"/>
  <c r="V58" i="35"/>
  <c r="V61" i="35"/>
  <c r="V79" i="24"/>
  <c r="V79" i="25" s="1"/>
  <c r="V73" i="24"/>
  <c r="V73" i="25" s="1"/>
  <c r="J100" i="23"/>
  <c r="J75" i="23"/>
  <c r="K72" i="23"/>
  <c r="J85" i="23"/>
  <c r="P91" i="23"/>
  <c r="V392" i="14"/>
  <c r="V871" i="11"/>
  <c r="V873" i="11" s="1"/>
  <c r="V367" i="11"/>
  <c r="T116" i="14"/>
  <c r="I465" i="14"/>
  <c r="T1148" i="11"/>
  <c r="U264" i="11"/>
  <c r="U593" i="11"/>
  <c r="V39" i="11"/>
  <c r="I119" i="14"/>
  <c r="N158" i="14"/>
  <c r="I415" i="14"/>
  <c r="N457" i="14"/>
  <c r="V1030" i="11"/>
  <c r="I1039" i="11"/>
  <c r="P451" i="14"/>
  <c r="V593" i="11"/>
  <c r="V942" i="11"/>
  <c r="I951" i="11"/>
  <c r="S22" i="14"/>
  <c r="U39" i="11"/>
  <c r="U367" i="11"/>
  <c r="I323" i="14"/>
  <c r="U1104" i="11"/>
  <c r="U1111" i="11"/>
  <c r="M40" i="14"/>
  <c r="Q38" i="14"/>
  <c r="Q28" i="14"/>
  <c r="Q39" i="14" s="1"/>
  <c r="O33" i="14"/>
  <c r="V1111" i="11"/>
  <c r="P152" i="14"/>
  <c r="S410" i="14"/>
  <c r="S403" i="14"/>
  <c r="R28" i="14"/>
  <c r="R38" i="14"/>
  <c r="S167" i="14"/>
  <c r="S179" i="14"/>
  <c r="N291" i="14"/>
  <c r="Q126" i="14"/>
  <c r="N129" i="14"/>
  <c r="S35" i="41" l="1"/>
  <c r="S36" i="41" s="1"/>
  <c r="N69" i="40"/>
  <c r="N14" i="49" s="1"/>
  <c r="P14" i="49" s="1"/>
  <c r="F108" i="40"/>
  <c r="F21" i="49" s="1"/>
  <c r="O463" i="14"/>
  <c r="O478" i="14" s="1"/>
  <c r="O45" i="15"/>
  <c r="O19" i="25" s="1"/>
  <c r="L21" i="49"/>
  <c r="V20" i="48"/>
  <c r="P33" i="14"/>
  <c r="P34" i="14" s="1"/>
  <c r="P1546" i="11" s="1"/>
  <c r="P1547" i="11" s="1"/>
  <c r="P60" i="14"/>
  <c r="O76" i="41"/>
  <c r="O74" i="41"/>
  <c r="S1140" i="11"/>
  <c r="S485" i="14" s="1"/>
  <c r="S461" i="48" s="1"/>
  <c r="R150" i="14"/>
  <c r="R152" i="14" s="1"/>
  <c r="R153" i="14" s="1"/>
  <c r="R158" i="14" s="1"/>
  <c r="Q66" i="41"/>
  <c r="Q67" i="41" s="1"/>
  <c r="Q150" i="14"/>
  <c r="Q152" i="14" s="1"/>
  <c r="P66" i="41"/>
  <c r="P67" i="41" s="1"/>
  <c r="T29" i="41"/>
  <c r="T30" i="41" s="1"/>
  <c r="L168" i="45"/>
  <c r="J12" i="47" s="1"/>
  <c r="X13" i="47" s="1"/>
  <c r="O11" i="40"/>
  <c r="O10" i="40"/>
  <c r="O4" i="40"/>
  <c r="V1114" i="11"/>
  <c r="V1116" i="11" s="1"/>
  <c r="V1147" i="11" s="1"/>
  <c r="V1112" i="11"/>
  <c r="I46" i="48"/>
  <c r="K313" i="41"/>
  <c r="K317" i="41" s="1"/>
  <c r="K320" i="41" s="1"/>
  <c r="V49" i="48"/>
  <c r="I49" i="48" s="1"/>
  <c r="L1546" i="11"/>
  <c r="L1547" i="11" s="1"/>
  <c r="K40" i="14"/>
  <c r="K1546" i="11"/>
  <c r="K1547" i="11" s="1"/>
  <c r="L40" i="14"/>
  <c r="J322" i="41"/>
  <c r="S225" i="48"/>
  <c r="K81" i="48"/>
  <c r="K496" i="48" s="1"/>
  <c r="K497" i="48" s="1"/>
  <c r="K502" i="48" s="1"/>
  <c r="P115" i="41"/>
  <c r="J320" i="41"/>
  <c r="L501" i="48"/>
  <c r="L494" i="48"/>
  <c r="E8" i="49"/>
  <c r="E9" i="49" s="1"/>
  <c r="E4" i="42"/>
  <c r="E18" i="46"/>
  <c r="E29" i="46" s="1"/>
  <c r="P18" i="46"/>
  <c r="T164" i="14"/>
  <c r="T167" i="14" s="1"/>
  <c r="S94" i="41"/>
  <c r="L79" i="48"/>
  <c r="L86" i="48"/>
  <c r="N279" i="41"/>
  <c r="S55" i="41"/>
  <c r="S58" i="41"/>
  <c r="S60" i="41" s="1"/>
  <c r="R76" i="48"/>
  <c r="R86" i="48" s="1"/>
  <c r="L521" i="14"/>
  <c r="L526" i="14" s="1"/>
  <c r="U21" i="41"/>
  <c r="U22" i="41" s="1"/>
  <c r="U29" i="41" s="1"/>
  <c r="S222" i="41"/>
  <c r="S224" i="41" s="1"/>
  <c r="S219" i="41"/>
  <c r="O238" i="41"/>
  <c r="T181" i="41"/>
  <c r="T183" i="41" s="1"/>
  <c r="T178" i="41"/>
  <c r="U181" i="41"/>
  <c r="U183" i="41" s="1"/>
  <c r="U178" i="41"/>
  <c r="S185" i="41"/>
  <c r="R485" i="48"/>
  <c r="R500" i="48" s="1"/>
  <c r="R515" i="14"/>
  <c r="R525" i="14" s="1"/>
  <c r="Q31" i="48"/>
  <c r="Q33" i="48" s="1"/>
  <c r="Q34" i="48" s="1"/>
  <c r="Q40" i="48" s="1"/>
  <c r="L87" i="40"/>
  <c r="S37" i="48"/>
  <c r="R85" i="48"/>
  <c r="P337" i="14"/>
  <c r="P342" i="14" s="1"/>
  <c r="O336" i="48"/>
  <c r="O341" i="48" s="1"/>
  <c r="S195" i="48"/>
  <c r="S197" i="48" s="1"/>
  <c r="S198" i="48" s="1"/>
  <c r="S203" i="48" s="1"/>
  <c r="P465" i="48"/>
  <c r="P468" i="48" s="1"/>
  <c r="P478" i="48" s="1"/>
  <c r="S245" i="14"/>
  <c r="S250" i="14" s="1"/>
  <c r="Q334" i="14"/>
  <c r="Q336" i="14" s="1"/>
  <c r="Q337" i="14" s="1"/>
  <c r="Q342" i="14" s="1"/>
  <c r="S357" i="14"/>
  <c r="S359" i="14" s="1"/>
  <c r="S360" i="14" s="1"/>
  <c r="S365" i="14" s="1"/>
  <c r="Q295" i="14"/>
  <c r="S443" i="14"/>
  <c r="S446" i="14" s="1"/>
  <c r="S456" i="14" s="1"/>
  <c r="Q341" i="14"/>
  <c r="O478" i="48"/>
  <c r="P235" i="41"/>
  <c r="P238" i="41" s="1"/>
  <c r="Q288" i="14"/>
  <c r="Q290" i="14" s="1"/>
  <c r="I188" i="48"/>
  <c r="T351" i="14"/>
  <c r="T354" i="14" s="1"/>
  <c r="T364" i="14" s="1"/>
  <c r="T215" i="48"/>
  <c r="T218" i="48" s="1"/>
  <c r="T220" i="48" s="1"/>
  <c r="T221" i="48" s="1"/>
  <c r="L79" i="40"/>
  <c r="L25" i="46" s="1"/>
  <c r="S231" i="48"/>
  <c r="O240" i="41"/>
  <c r="T189" i="48"/>
  <c r="T192" i="48" s="1"/>
  <c r="T202" i="48" s="1"/>
  <c r="Q157" i="14"/>
  <c r="Q264" i="48"/>
  <c r="Q266" i="48" s="1"/>
  <c r="S140" i="48"/>
  <c r="S155" i="48" s="1"/>
  <c r="S328" i="14"/>
  <c r="M79" i="40" s="1"/>
  <c r="M25" i="46" s="1"/>
  <c r="T22" i="48"/>
  <c r="T25" i="48" s="1"/>
  <c r="M77" i="24"/>
  <c r="M80" i="24" s="1"/>
  <c r="S316" i="48"/>
  <c r="T426" i="14"/>
  <c r="T428" i="14" s="1"/>
  <c r="T408" i="48"/>
  <c r="R429" i="14"/>
  <c r="R434" i="14" s="1"/>
  <c r="O301" i="41"/>
  <c r="R155" i="48"/>
  <c r="S120" i="48"/>
  <c r="S123" i="48" s="1"/>
  <c r="S126" i="48" s="1"/>
  <c r="L86" i="40"/>
  <c r="O304" i="41"/>
  <c r="O306" i="41" s="1"/>
  <c r="S70" i="48"/>
  <c r="M58" i="40"/>
  <c r="O343" i="41"/>
  <c r="S109" i="14"/>
  <c r="S97" i="14"/>
  <c r="S100" i="14" s="1"/>
  <c r="T103" i="14"/>
  <c r="T105" i="14" s="1"/>
  <c r="T106" i="14" s="1"/>
  <c r="T111" i="14" s="1"/>
  <c r="U440" i="14"/>
  <c r="U443" i="14" s="1"/>
  <c r="U446" i="14" s="1"/>
  <c r="U456" i="14" s="1"/>
  <c r="U62" i="48"/>
  <c r="P477" i="48"/>
  <c r="T432" i="14"/>
  <c r="D104" i="45"/>
  <c r="N454" i="48"/>
  <c r="R222" i="41"/>
  <c r="R224" i="41" s="1"/>
  <c r="R226" i="41" s="1"/>
  <c r="T242" i="14"/>
  <c r="T244" i="14" s="1"/>
  <c r="S28" i="48"/>
  <c r="S31" i="48" s="1"/>
  <c r="R258" i="41"/>
  <c r="R263" i="41" s="1"/>
  <c r="R265" i="41" s="1"/>
  <c r="S108" i="48"/>
  <c r="Q501" i="48"/>
  <c r="T22" i="14"/>
  <c r="T37" i="14" s="1"/>
  <c r="R96" i="41"/>
  <c r="R103" i="41" s="1"/>
  <c r="T455" i="14"/>
  <c r="T410" i="14"/>
  <c r="V76" i="14"/>
  <c r="U25" i="41" s="1"/>
  <c r="U26" i="41" s="1"/>
  <c r="S279" i="14"/>
  <c r="S282" i="14" s="1"/>
  <c r="S285" i="14" s="1"/>
  <c r="K3" i="49"/>
  <c r="T117" i="14"/>
  <c r="T132" i="14" s="1"/>
  <c r="T92" i="48"/>
  <c r="T93" i="48" s="1"/>
  <c r="T108" i="48" s="1"/>
  <c r="V209" i="48"/>
  <c r="V224" i="48" s="1"/>
  <c r="I207" i="48"/>
  <c r="L72" i="40"/>
  <c r="L17" i="49" s="1"/>
  <c r="L43" i="40"/>
  <c r="M164" i="45"/>
  <c r="K18" i="47"/>
  <c r="K20" i="47" s="1"/>
  <c r="V280" i="48"/>
  <c r="I280" i="48" s="1"/>
  <c r="I304" i="14"/>
  <c r="D78" i="45"/>
  <c r="L37" i="47"/>
  <c r="M83" i="45"/>
  <c r="M84" i="45" s="1"/>
  <c r="K38" i="47"/>
  <c r="K39" i="47" s="1"/>
  <c r="D74" i="45"/>
  <c r="L35" i="47"/>
  <c r="L36" i="47" s="1"/>
  <c r="V185" i="48"/>
  <c r="V186" i="48" s="1"/>
  <c r="T255" i="14"/>
  <c r="T139" i="48"/>
  <c r="T140" i="48" s="1"/>
  <c r="U185" i="48"/>
  <c r="U186" i="48" s="1"/>
  <c r="U201" i="48" s="1"/>
  <c r="T116" i="48"/>
  <c r="T117" i="48" s="1"/>
  <c r="T120" i="48" s="1"/>
  <c r="T123" i="48" s="1"/>
  <c r="I115" i="14"/>
  <c r="V91" i="48"/>
  <c r="I91" i="48" s="1"/>
  <c r="T511" i="14"/>
  <c r="T512" i="14" s="1"/>
  <c r="N95" i="40" s="1"/>
  <c r="N24" i="46" s="1"/>
  <c r="T326" i="48"/>
  <c r="T487" i="48" s="1"/>
  <c r="R99" i="48"/>
  <c r="R109" i="48"/>
  <c r="S339" i="48"/>
  <c r="S327" i="48"/>
  <c r="T85" i="48"/>
  <c r="T73" i="48"/>
  <c r="T317" i="14"/>
  <c r="T305" i="14"/>
  <c r="T308" i="14" s="1"/>
  <c r="I302" i="14"/>
  <c r="T278" i="48"/>
  <c r="I278" i="48" s="1"/>
  <c r="N59" i="40"/>
  <c r="N68" i="40" s="1"/>
  <c r="N13" i="49" s="1"/>
  <c r="T483" i="48"/>
  <c r="I276" i="48"/>
  <c r="U317" i="14"/>
  <c r="U305" i="14"/>
  <c r="U308" i="14" s="1"/>
  <c r="U293" i="48"/>
  <c r="U281" i="48"/>
  <c r="U284" i="48" s="1"/>
  <c r="Q62" i="41"/>
  <c r="Q63" i="41" s="1"/>
  <c r="Q70" i="41" s="1"/>
  <c r="Q340" i="48"/>
  <c r="Q333" i="48"/>
  <c r="R287" i="48"/>
  <c r="R294" i="48"/>
  <c r="Q294" i="48"/>
  <c r="Q287" i="48"/>
  <c r="Q289" i="48" s="1"/>
  <c r="Q290" i="48" s="1"/>
  <c r="Q295" i="48" s="1"/>
  <c r="Q313" i="14"/>
  <c r="Q520" i="14" s="1"/>
  <c r="Q521" i="14" s="1"/>
  <c r="Q526" i="14" s="1"/>
  <c r="P335" i="48"/>
  <c r="P496" i="48" s="1"/>
  <c r="P497" i="48" s="1"/>
  <c r="M56" i="40"/>
  <c r="S485" i="48"/>
  <c r="S293" i="48"/>
  <c r="S281" i="48"/>
  <c r="S308" i="14"/>
  <c r="R330" i="48"/>
  <c r="L99" i="40"/>
  <c r="R58" i="41"/>
  <c r="R60" i="41" s="1"/>
  <c r="R55" i="41"/>
  <c r="S132" i="14"/>
  <c r="S120" i="14"/>
  <c r="V317" i="14"/>
  <c r="V305" i="14"/>
  <c r="V293" i="48"/>
  <c r="N60" i="40"/>
  <c r="T324" i="48"/>
  <c r="K107" i="40"/>
  <c r="K20" i="49" s="1"/>
  <c r="H28" i="46"/>
  <c r="E37" i="46" s="1"/>
  <c r="H22" i="49"/>
  <c r="G19" i="46"/>
  <c r="H19" i="46"/>
  <c r="P299" i="41"/>
  <c r="P341" i="41" s="1"/>
  <c r="P343" i="41" s="1"/>
  <c r="Q461" i="48"/>
  <c r="Q462" i="48" s="1"/>
  <c r="M479" i="14"/>
  <c r="M472" i="14"/>
  <c r="M474" i="14" s="1"/>
  <c r="M475" i="14" s="1"/>
  <c r="M480" i="14" s="1"/>
  <c r="K80" i="24"/>
  <c r="K77" i="25"/>
  <c r="K80" i="25" s="1"/>
  <c r="P462" i="14"/>
  <c r="P346" i="48"/>
  <c r="P438" i="48" s="1"/>
  <c r="P439" i="48" s="1"/>
  <c r="R427" i="48"/>
  <c r="R428" i="48" s="1"/>
  <c r="R433" i="48" s="1"/>
  <c r="F81" i="40"/>
  <c r="F6" i="49" s="1"/>
  <c r="F16" i="46"/>
  <c r="O386" i="14"/>
  <c r="L472" i="14"/>
  <c r="L474" i="14" s="1"/>
  <c r="L475" i="14" s="1"/>
  <c r="L480" i="14" s="1"/>
  <c r="L479" i="14"/>
  <c r="N19" i="25"/>
  <c r="N1463" i="11"/>
  <c r="N1465" i="11" s="1"/>
  <c r="N103" i="15" s="1"/>
  <c r="N1250" i="43"/>
  <c r="N1252" i="43" s="1"/>
  <c r="N19" i="24"/>
  <c r="P371" i="14"/>
  <c r="P386" i="14" s="1"/>
  <c r="N466" i="14"/>
  <c r="N478" i="14"/>
  <c r="K474" i="14"/>
  <c r="G81" i="40"/>
  <c r="G6" i="49" s="1"/>
  <c r="G16" i="46"/>
  <c r="U394" i="14"/>
  <c r="U409" i="14" s="1"/>
  <c r="U369" i="48"/>
  <c r="U370" i="48" s="1"/>
  <c r="U373" i="48" s="1"/>
  <c r="U417" i="14"/>
  <c r="U420" i="14" s="1"/>
  <c r="U423" i="14" s="1"/>
  <c r="U426" i="14" s="1"/>
  <c r="U428" i="14" s="1"/>
  <c r="U429" i="14" s="1"/>
  <c r="U434" i="14" s="1"/>
  <c r="U392" i="48"/>
  <c r="U393" i="48" s="1"/>
  <c r="U396" i="48" s="1"/>
  <c r="U399" i="48" s="1"/>
  <c r="L77" i="25"/>
  <c r="L80" i="25" s="1"/>
  <c r="L80" i="24"/>
  <c r="I392" i="14"/>
  <c r="V368" i="48"/>
  <c r="I368" i="48" s="1"/>
  <c r="E3" i="42"/>
  <c r="E103" i="40"/>
  <c r="G235" i="39" s="1"/>
  <c r="G236" i="39" s="1"/>
  <c r="R282" i="14"/>
  <c r="R285" i="14" s="1"/>
  <c r="Q271" i="41" s="1"/>
  <c r="Q272" i="41" s="1"/>
  <c r="T325" i="14"/>
  <c r="T328" i="14" s="1"/>
  <c r="N79" i="40" s="1"/>
  <c r="T300" i="48"/>
  <c r="T301" i="48" s="1"/>
  <c r="T316" i="48" s="1"/>
  <c r="I299" i="48"/>
  <c r="I20" i="14"/>
  <c r="U20" i="48"/>
  <c r="O111" i="48"/>
  <c r="R312" i="48"/>
  <c r="R313" i="48" s="1"/>
  <c r="R318" i="48" s="1"/>
  <c r="U57" i="48"/>
  <c r="U58" i="48" s="1"/>
  <c r="U63" i="48" s="1"/>
  <c r="O362" i="48"/>
  <c r="O350" i="48"/>
  <c r="O353" i="48" s="1"/>
  <c r="R146" i="48"/>
  <c r="Q404" i="48"/>
  <c r="Q405" i="48" s="1"/>
  <c r="R39" i="48"/>
  <c r="R31" i="48"/>
  <c r="V281" i="14"/>
  <c r="Q104" i="48"/>
  <c r="Q105" i="48" s="1"/>
  <c r="U218" i="48"/>
  <c r="U225" i="48"/>
  <c r="O473" i="48"/>
  <c r="O474" i="48" s="1"/>
  <c r="O479" i="48" s="1"/>
  <c r="O271" i="41"/>
  <c r="P288" i="14"/>
  <c r="P290" i="14" s="1"/>
  <c r="P291" i="14" s="1"/>
  <c r="P296" i="14" s="1"/>
  <c r="P295" i="14"/>
  <c r="V1148" i="11"/>
  <c r="V163" i="14"/>
  <c r="R485" i="14"/>
  <c r="U431" i="48"/>
  <c r="U419" i="48"/>
  <c r="U422" i="48" s="1"/>
  <c r="R379" i="48"/>
  <c r="R386" i="48"/>
  <c r="N318" i="48"/>
  <c r="T399" i="48"/>
  <c r="Q128" i="48"/>
  <c r="Q129" i="48" s="1"/>
  <c r="M358" i="48"/>
  <c r="M359" i="48" s="1"/>
  <c r="M364" i="48" s="1"/>
  <c r="Q488" i="14"/>
  <c r="Q464" i="48" s="1"/>
  <c r="J451" i="48"/>
  <c r="P271" i="48"/>
  <c r="P264" i="48"/>
  <c r="N448" i="48"/>
  <c r="N455" i="48"/>
  <c r="O387" i="48"/>
  <c r="U324" i="14"/>
  <c r="T432" i="48"/>
  <c r="T425" i="48"/>
  <c r="Q260" i="41"/>
  <c r="Q267" i="41" s="1"/>
  <c r="Q268" i="41" s="1"/>
  <c r="Q275" i="41" s="1"/>
  <c r="S109" i="48"/>
  <c r="S99" i="48"/>
  <c r="S270" i="48"/>
  <c r="S258" i="48"/>
  <c r="L448" i="48"/>
  <c r="L455" i="48"/>
  <c r="T278" i="14"/>
  <c r="S431" i="48"/>
  <c r="S419" i="48"/>
  <c r="V85" i="48"/>
  <c r="V140" i="14"/>
  <c r="I209" i="14"/>
  <c r="M450" i="48"/>
  <c r="M451" i="48" s="1"/>
  <c r="M456" i="48" s="1"/>
  <c r="V439" i="14"/>
  <c r="Q370" i="14"/>
  <c r="N272" i="48"/>
  <c r="P151" i="48"/>
  <c r="P152" i="48" s="1"/>
  <c r="N473" i="48"/>
  <c r="O454" i="48"/>
  <c r="O442" i="48"/>
  <c r="O445" i="48" s="1"/>
  <c r="R197" i="48"/>
  <c r="R198" i="48" s="1"/>
  <c r="U140" i="14"/>
  <c r="R128" i="48"/>
  <c r="R129" i="48" s="1"/>
  <c r="R134" i="48" s="1"/>
  <c r="U534" i="11"/>
  <c r="U536" i="11" s="1"/>
  <c r="U522" i="11" s="1"/>
  <c r="V716" i="11"/>
  <c r="R270" i="48"/>
  <c r="R258" i="48"/>
  <c r="L93" i="40" s="1"/>
  <c r="T381" i="48"/>
  <c r="T382" i="48" s="1"/>
  <c r="T387" i="48" s="1"/>
  <c r="Q151" i="48"/>
  <c r="Q152" i="48" s="1"/>
  <c r="Q157" i="48" s="1"/>
  <c r="P427" i="48"/>
  <c r="P428" i="48" s="1"/>
  <c r="V416" i="14"/>
  <c r="V417" i="14" s="1"/>
  <c r="V324" i="14"/>
  <c r="V864" i="11"/>
  <c r="U163" i="14"/>
  <c r="V235" i="14"/>
  <c r="V211" i="48" s="1"/>
  <c r="I211" i="48" s="1"/>
  <c r="V96" i="14"/>
  <c r="V72" i="48" s="1"/>
  <c r="V73" i="48" s="1"/>
  <c r="U239" i="11"/>
  <c r="U346" i="14"/>
  <c r="S307" i="48"/>
  <c r="P312" i="48"/>
  <c r="P313" i="48" s="1"/>
  <c r="P318" i="48" s="1"/>
  <c r="L358" i="48"/>
  <c r="L359" i="48" s="1"/>
  <c r="N353" i="48"/>
  <c r="T141" i="14"/>
  <c r="T156" i="14" s="1"/>
  <c r="K176" i="45"/>
  <c r="I14" i="47"/>
  <c r="W16" i="47" s="1"/>
  <c r="K186" i="45"/>
  <c r="I13" i="47"/>
  <c r="I16" i="47" s="1"/>
  <c r="W14" i="47" s="1"/>
  <c r="W15" i="47" s="1"/>
  <c r="I562" i="11"/>
  <c r="J53" i="42"/>
  <c r="N21" i="46"/>
  <c r="N82" i="45"/>
  <c r="N189" i="45"/>
  <c r="M55" i="45"/>
  <c r="K21" i="47" s="1"/>
  <c r="M171" i="45"/>
  <c r="M175" i="45" s="1"/>
  <c r="L55" i="45"/>
  <c r="J21" i="47" s="1"/>
  <c r="L171" i="45"/>
  <c r="L175" i="45" s="1"/>
  <c r="U716" i="11"/>
  <c r="T1418" i="11"/>
  <c r="V346" i="14"/>
  <c r="V322" i="48" s="1"/>
  <c r="I711" i="11"/>
  <c r="T1359" i="11"/>
  <c r="N67" i="45"/>
  <c r="R763" i="11"/>
  <c r="I234" i="11"/>
  <c r="R594" i="43"/>
  <c r="U92" i="14"/>
  <c r="J33" i="42"/>
  <c r="N49" i="45"/>
  <c r="N179" i="45" s="1"/>
  <c r="T1269" i="11"/>
  <c r="J32" i="42" s="1"/>
  <c r="N42" i="45"/>
  <c r="L18" i="47" s="1"/>
  <c r="T1270" i="11"/>
  <c r="J35" i="42" s="1"/>
  <c r="N43" i="45"/>
  <c r="N44" i="45"/>
  <c r="N219" i="14"/>
  <c r="N221" i="14" s="1"/>
  <c r="S772" i="11"/>
  <c r="S774" i="11" s="1"/>
  <c r="S769" i="11" s="1"/>
  <c r="S369" i="14"/>
  <c r="S816" i="11"/>
  <c r="V588" i="43"/>
  <c r="V591" i="43"/>
  <c r="U588" i="43"/>
  <c r="U591" i="43"/>
  <c r="T761" i="11"/>
  <c r="T798" i="11"/>
  <c r="T800" i="11" s="1"/>
  <c r="T776" i="11" s="1"/>
  <c r="R461" i="14"/>
  <c r="V757" i="11"/>
  <c r="V760" i="11"/>
  <c r="T592" i="43"/>
  <c r="T629" i="43"/>
  <c r="T631" i="43" s="1"/>
  <c r="T607" i="43" s="1"/>
  <c r="O466" i="14"/>
  <c r="S603" i="43"/>
  <c r="S605" i="43" s="1"/>
  <c r="S600" i="43" s="1"/>
  <c r="S647" i="43"/>
  <c r="I795" i="11"/>
  <c r="U757" i="11"/>
  <c r="U760" i="11"/>
  <c r="O387" i="14"/>
  <c r="O380" i="14"/>
  <c r="O382" i="14" s="1"/>
  <c r="O383" i="14" s="1"/>
  <c r="O388" i="14" s="1"/>
  <c r="V94" i="14"/>
  <c r="S515" i="14"/>
  <c r="S525" i="14" s="1"/>
  <c r="O526" i="14"/>
  <c r="O365" i="14"/>
  <c r="R245" i="14"/>
  <c r="R250" i="14" s="1"/>
  <c r="T524" i="14"/>
  <c r="R359" i="14"/>
  <c r="R520" i="14" s="1"/>
  <c r="U236" i="14"/>
  <c r="U239" i="14" s="1"/>
  <c r="U249" i="14" s="1"/>
  <c r="N226" i="14"/>
  <c r="V233" i="14"/>
  <c r="I231" i="14"/>
  <c r="Q230" i="41"/>
  <c r="Q231" i="41" s="1"/>
  <c r="R334" i="14"/>
  <c r="R336" i="14" s="1"/>
  <c r="R337" i="14" s="1"/>
  <c r="R342" i="14" s="1"/>
  <c r="P210" i="14"/>
  <c r="O210" i="14"/>
  <c r="L221" i="14"/>
  <c r="M216" i="14"/>
  <c r="L189" i="41" s="1"/>
  <c r="L190" i="41" s="1"/>
  <c r="R31" i="14"/>
  <c r="R39" i="14"/>
  <c r="R126" i="14"/>
  <c r="R128" i="14" s="1"/>
  <c r="R129" i="14" s="1"/>
  <c r="R135" i="14" s="1"/>
  <c r="R134" i="14"/>
  <c r="U1206" i="11"/>
  <c r="U1269" i="11" s="1"/>
  <c r="V1206" i="11"/>
  <c r="V1269" i="11" s="1"/>
  <c r="V1265" i="11"/>
  <c r="V1261" i="11"/>
  <c r="U1261" i="11"/>
  <c r="U1265" i="11"/>
  <c r="U1205" i="11"/>
  <c r="V1205" i="11"/>
  <c r="U82" i="14"/>
  <c r="U87" i="14" s="1"/>
  <c r="U1185" i="11"/>
  <c r="V1185" i="11"/>
  <c r="V1210" i="11" s="1"/>
  <c r="V1270" i="11" s="1"/>
  <c r="P117" i="41"/>
  <c r="R180" i="14"/>
  <c r="R173" i="14"/>
  <c r="R175" i="14" s="1"/>
  <c r="N502" i="14"/>
  <c r="N281" i="41"/>
  <c r="P268" i="41"/>
  <c r="P275" i="41" s="1"/>
  <c r="P276" i="41" s="1"/>
  <c r="M27" i="46"/>
  <c r="S147" i="14"/>
  <c r="R66" i="41" s="1"/>
  <c r="R67" i="41" s="1"/>
  <c r="M86" i="40"/>
  <c r="S170" i="14"/>
  <c r="R107" i="41" s="1"/>
  <c r="R108" i="41" s="1"/>
  <c r="M87" i="40"/>
  <c r="R157" i="14"/>
  <c r="N34" i="40"/>
  <c r="Q112" i="41"/>
  <c r="Q115" i="41" s="1"/>
  <c r="O492" i="14"/>
  <c r="N312" i="41" s="1"/>
  <c r="O296" i="41"/>
  <c r="M313" i="41"/>
  <c r="M317" i="41" s="1"/>
  <c r="N495" i="14"/>
  <c r="N497" i="14" s="1"/>
  <c r="N498" i="14" s="1"/>
  <c r="N503" i="14" s="1"/>
  <c r="Q227" i="41"/>
  <c r="Q234" i="41" s="1"/>
  <c r="P489" i="14"/>
  <c r="P294" i="41"/>
  <c r="S1119" i="11"/>
  <c r="Q486" i="14"/>
  <c r="Q501" i="14" s="1"/>
  <c r="R484" i="14"/>
  <c r="R460" i="48" s="1"/>
  <c r="R1157" i="11"/>
  <c r="R1159" i="11" s="1"/>
  <c r="U1147" i="11"/>
  <c r="V264" i="11"/>
  <c r="I186" i="14"/>
  <c r="Q91" i="23"/>
  <c r="R91" i="23"/>
  <c r="J97" i="23"/>
  <c r="J99" i="23" s="1"/>
  <c r="I873" i="11"/>
  <c r="T456" i="14"/>
  <c r="V21" i="14"/>
  <c r="V21" i="48" s="1"/>
  <c r="U116" i="14"/>
  <c r="N296" i="14"/>
  <c r="O34" i="14"/>
  <c r="O1546" i="11" s="1"/>
  <c r="O1547" i="11" s="1"/>
  <c r="Q176" i="14"/>
  <c r="Q31" i="14"/>
  <c r="Q60" i="14" s="1"/>
  <c r="N135" i="14"/>
  <c r="I1104" i="11"/>
  <c r="S25" i="14"/>
  <c r="M77" i="40" s="1"/>
  <c r="S37" i="14"/>
  <c r="S405" i="14"/>
  <c r="T451" i="14"/>
  <c r="T452" i="14" s="1"/>
  <c r="T457" i="14" s="1"/>
  <c r="U1148" i="11"/>
  <c r="U21" i="14"/>
  <c r="U21" i="48" s="1"/>
  <c r="P153" i="14"/>
  <c r="P452" i="14"/>
  <c r="Q128" i="14"/>
  <c r="S62" i="41" l="1"/>
  <c r="P45" i="15"/>
  <c r="P1250" i="43" s="1"/>
  <c r="P1252" i="43" s="1"/>
  <c r="M69" i="40"/>
  <c r="O69" i="40" s="1"/>
  <c r="I20" i="48"/>
  <c r="R461" i="48"/>
  <c r="R462" i="48" s="1"/>
  <c r="R477" i="48" s="1"/>
  <c r="Q153" i="14"/>
  <c r="Q158" i="14" s="1"/>
  <c r="R33" i="14"/>
  <c r="R34" i="14" s="1"/>
  <c r="R1546" i="11" s="1"/>
  <c r="R1547" i="11" s="1"/>
  <c r="R60" i="14"/>
  <c r="T33" i="41"/>
  <c r="T35" i="41"/>
  <c r="T36" i="41" s="1"/>
  <c r="T37" i="41" s="1"/>
  <c r="T38" i="41" s="1"/>
  <c r="M168" i="45"/>
  <c r="K12" i="47" s="1"/>
  <c r="Y13" i="47" s="1"/>
  <c r="V52" i="48"/>
  <c r="V62" i="48" s="1"/>
  <c r="K322" i="41"/>
  <c r="K82" i="48"/>
  <c r="K87" i="48" s="1"/>
  <c r="R488" i="48"/>
  <c r="R491" i="48" s="1"/>
  <c r="R494" i="48" s="1"/>
  <c r="S449" i="14"/>
  <c r="S451" i="14" s="1"/>
  <c r="S452" i="14" s="1"/>
  <c r="L322" i="41"/>
  <c r="U30" i="41"/>
  <c r="U33" i="41" s="1"/>
  <c r="L17" i="46"/>
  <c r="R79" i="48"/>
  <c r="R81" i="48" s="1"/>
  <c r="P40" i="14"/>
  <c r="U185" i="41"/>
  <c r="U141" i="14"/>
  <c r="U156" i="14" s="1"/>
  <c r="T53" i="41"/>
  <c r="V139" i="48"/>
  <c r="V140" i="48" s="1"/>
  <c r="U94" i="41"/>
  <c r="U164" i="14"/>
  <c r="U167" i="14" s="1"/>
  <c r="U170" i="14" s="1"/>
  <c r="T107" i="41" s="1"/>
  <c r="T108" i="41" s="1"/>
  <c r="T94" i="41"/>
  <c r="T254" i="48"/>
  <c r="T255" i="48" s="1"/>
  <c r="T270" i="48" s="1"/>
  <c r="S258" i="41"/>
  <c r="S96" i="41"/>
  <c r="S99" i="41"/>
  <c r="S101" i="41" s="1"/>
  <c r="L81" i="48"/>
  <c r="L496" i="48" s="1"/>
  <c r="L497" i="48" s="1"/>
  <c r="L502" i="48" s="1"/>
  <c r="R104" i="41"/>
  <c r="P71" i="41"/>
  <c r="P74" i="41" s="1"/>
  <c r="T179" i="14"/>
  <c r="V141" i="14"/>
  <c r="V144" i="14" s="1"/>
  <c r="V147" i="14" s="1"/>
  <c r="U66" i="41" s="1"/>
  <c r="U67" i="41" s="1"/>
  <c r="U53" i="41"/>
  <c r="V325" i="14"/>
  <c r="V328" i="14" s="1"/>
  <c r="V331" i="14" s="1"/>
  <c r="U230" i="41" s="1"/>
  <c r="U231" i="41" s="1"/>
  <c r="U217" i="41"/>
  <c r="U300" i="48"/>
  <c r="U301" i="48" s="1"/>
  <c r="U316" i="48" s="1"/>
  <c r="T217" i="41"/>
  <c r="R227" i="41"/>
  <c r="R234" i="41" s="1"/>
  <c r="S226" i="41"/>
  <c r="R518" i="14"/>
  <c r="R521" i="14" s="1"/>
  <c r="R526" i="14" s="1"/>
  <c r="T185" i="41"/>
  <c r="M320" i="41"/>
  <c r="P471" i="48"/>
  <c r="P473" i="48" s="1"/>
  <c r="P474" i="48" s="1"/>
  <c r="P479" i="48" s="1"/>
  <c r="T357" i="14"/>
  <c r="T359" i="14" s="1"/>
  <c r="T360" i="14" s="1"/>
  <c r="T365" i="14" s="1"/>
  <c r="Q314" i="14"/>
  <c r="Q319" i="14" s="1"/>
  <c r="T225" i="48"/>
  <c r="T37" i="48"/>
  <c r="T195" i="48"/>
  <c r="T197" i="48" s="1"/>
  <c r="T198" i="48" s="1"/>
  <c r="P240" i="41"/>
  <c r="I235" i="14"/>
  <c r="O308" i="41"/>
  <c r="O309" i="41" s="1"/>
  <c r="O316" i="41" s="1"/>
  <c r="S331" i="14"/>
  <c r="R230" i="41" s="1"/>
  <c r="R231" i="41" s="1"/>
  <c r="Q267" i="48"/>
  <c r="Q272" i="48" s="1"/>
  <c r="S143" i="48"/>
  <c r="S146" i="48" s="1"/>
  <c r="S156" i="48" s="1"/>
  <c r="T304" i="48"/>
  <c r="T307" i="48" s="1"/>
  <c r="T317" i="48" s="1"/>
  <c r="I209" i="48"/>
  <c r="S133" i="48"/>
  <c r="I76" i="14"/>
  <c r="U455" i="14"/>
  <c r="S85" i="48"/>
  <c r="S73" i="48"/>
  <c r="P304" i="41"/>
  <c r="P306" i="41" s="1"/>
  <c r="I185" i="48"/>
  <c r="M77" i="25"/>
  <c r="M80" i="25" s="1"/>
  <c r="V79" i="14"/>
  <c r="V81" i="14" s="1"/>
  <c r="I81" i="14" s="1"/>
  <c r="T25" i="14"/>
  <c r="N77" i="40" s="1"/>
  <c r="S294" i="14"/>
  <c r="T132" i="48"/>
  <c r="S110" i="14"/>
  <c r="S103" i="14"/>
  <c r="S105" i="14" s="1"/>
  <c r="S106" i="14" s="1"/>
  <c r="S111" i="14" s="1"/>
  <c r="V281" i="48"/>
  <c r="V284" i="48" s="1"/>
  <c r="P301" i="41"/>
  <c r="T144" i="14"/>
  <c r="T147" i="14" s="1"/>
  <c r="S66" i="41" s="1"/>
  <c r="S67" i="41" s="1"/>
  <c r="T96" i="48"/>
  <c r="T99" i="48" s="1"/>
  <c r="I163" i="14"/>
  <c r="S39" i="48"/>
  <c r="R260" i="41"/>
  <c r="R267" i="41" s="1"/>
  <c r="O14" i="49"/>
  <c r="V1149" i="11"/>
  <c r="T245" i="14"/>
  <c r="T250" i="14" s="1"/>
  <c r="T231" i="48"/>
  <c r="P346" i="41"/>
  <c r="P348" i="41" s="1"/>
  <c r="V86" i="14"/>
  <c r="V164" i="14"/>
  <c r="V179" i="14" s="1"/>
  <c r="U189" i="48"/>
  <c r="U192" i="48" s="1"/>
  <c r="U195" i="48" s="1"/>
  <c r="P336" i="48"/>
  <c r="P341" i="48" s="1"/>
  <c r="Q299" i="41"/>
  <c r="Q341" i="41" s="1"/>
  <c r="Q343" i="41" s="1"/>
  <c r="O68" i="40"/>
  <c r="T120" i="14"/>
  <c r="T133" i="14" s="1"/>
  <c r="I21" i="48"/>
  <c r="L3" i="49"/>
  <c r="G3" i="42"/>
  <c r="F3" i="42"/>
  <c r="U117" i="14"/>
  <c r="U132" i="14" s="1"/>
  <c r="U92" i="48"/>
  <c r="U93" i="48" s="1"/>
  <c r="U108" i="48" s="1"/>
  <c r="L15" i="49"/>
  <c r="U94" i="14"/>
  <c r="U109" i="14" s="1"/>
  <c r="U68" i="48"/>
  <c r="N83" i="45"/>
  <c r="N84" i="45" s="1"/>
  <c r="L38" i="47"/>
  <c r="L39" i="47" s="1"/>
  <c r="U348" i="14"/>
  <c r="U363" i="14" s="1"/>
  <c r="U322" i="48"/>
  <c r="U324" i="48" s="1"/>
  <c r="U339" i="48" s="1"/>
  <c r="U139" i="48"/>
  <c r="U116" i="48"/>
  <c r="U117" i="48" s="1"/>
  <c r="U120" i="48" s="1"/>
  <c r="U123" i="48" s="1"/>
  <c r="V116" i="48"/>
  <c r="T339" i="48"/>
  <c r="T327" i="48"/>
  <c r="V308" i="14"/>
  <c r="I308" i="14" s="1"/>
  <c r="I305" i="14"/>
  <c r="S133" i="14"/>
  <c r="S123" i="14"/>
  <c r="M78" i="40"/>
  <c r="R62" i="41"/>
  <c r="R340" i="48"/>
  <c r="R333" i="48"/>
  <c r="S318" i="14"/>
  <c r="S311" i="14"/>
  <c r="M98" i="40"/>
  <c r="S284" i="48"/>
  <c r="S488" i="48"/>
  <c r="S491" i="48" s="1"/>
  <c r="S500" i="48"/>
  <c r="R289" i="48"/>
  <c r="R290" i="48" s="1"/>
  <c r="R295" i="48" s="1"/>
  <c r="Q335" i="48"/>
  <c r="Q496" i="48" s="1"/>
  <c r="Q497" i="48" s="1"/>
  <c r="Q502" i="48" s="1"/>
  <c r="U287" i="48"/>
  <c r="U289" i="48" s="1"/>
  <c r="U290" i="48" s="1"/>
  <c r="U295" i="48" s="1"/>
  <c r="U294" i="48"/>
  <c r="U318" i="14"/>
  <c r="U311" i="14"/>
  <c r="U313" i="14" s="1"/>
  <c r="U314" i="14" s="1"/>
  <c r="U319" i="14" s="1"/>
  <c r="T485" i="48"/>
  <c r="N56" i="40"/>
  <c r="T293" i="48"/>
  <c r="T281" i="48"/>
  <c r="T311" i="14"/>
  <c r="T318" i="14"/>
  <c r="T76" i="48"/>
  <c r="N97" i="40"/>
  <c r="S330" i="48"/>
  <c r="M99" i="40"/>
  <c r="R110" i="48"/>
  <c r="R102" i="48"/>
  <c r="R104" i="48" s="1"/>
  <c r="R105" i="48" s="1"/>
  <c r="R111" i="48" s="1"/>
  <c r="N25" i="46"/>
  <c r="I28" i="46"/>
  <c r="I22" i="49"/>
  <c r="L107" i="40"/>
  <c r="L20" i="49" s="1"/>
  <c r="P19" i="24"/>
  <c r="P1463" i="11"/>
  <c r="P1465" i="11" s="1"/>
  <c r="P103" i="15" s="1"/>
  <c r="P106" i="15" s="1"/>
  <c r="P347" i="48"/>
  <c r="P350" i="48" s="1"/>
  <c r="U385" i="48"/>
  <c r="U397" i="14"/>
  <c r="U400" i="14" s="1"/>
  <c r="U433" i="14"/>
  <c r="P374" i="14"/>
  <c r="P377" i="14" s="1"/>
  <c r="P387" i="14" s="1"/>
  <c r="K475" i="14"/>
  <c r="K480" i="14" s="1"/>
  <c r="T331" i="14"/>
  <c r="S230" i="41" s="1"/>
  <c r="S231" i="41" s="1"/>
  <c r="T340" i="14"/>
  <c r="O1463" i="11"/>
  <c r="O1465" i="11" s="1"/>
  <c r="O103" i="15" s="1"/>
  <c r="O106" i="15" s="1"/>
  <c r="O19" i="24"/>
  <c r="S261" i="48"/>
  <c r="S271" i="48" s="1"/>
  <c r="M93" i="40"/>
  <c r="Q465" i="48"/>
  <c r="Q468" i="48" s="1"/>
  <c r="Q478" i="48" s="1"/>
  <c r="Q477" i="48"/>
  <c r="P19" i="25"/>
  <c r="O1250" i="43"/>
  <c r="O1252" i="43" s="1"/>
  <c r="Q462" i="14"/>
  <c r="Q45" i="15" s="1"/>
  <c r="Q346" i="48"/>
  <c r="Q438" i="48" s="1"/>
  <c r="Q439" i="48" s="1"/>
  <c r="S461" i="14"/>
  <c r="S345" i="48"/>
  <c r="S437" i="48" s="1"/>
  <c r="M42" i="40" s="1"/>
  <c r="U408" i="48"/>
  <c r="I416" i="14"/>
  <c r="V392" i="48"/>
  <c r="V393" i="48" s="1"/>
  <c r="H80" i="40"/>
  <c r="H111" i="40" s="1"/>
  <c r="H24" i="49" s="1"/>
  <c r="N469" i="14"/>
  <c r="U432" i="14"/>
  <c r="V440" i="14"/>
  <c r="V455" i="14" s="1"/>
  <c r="V415" i="48"/>
  <c r="I415" i="48" s="1"/>
  <c r="Q371" i="14"/>
  <c r="Q374" i="14" s="1"/>
  <c r="Q377" i="14" s="1"/>
  <c r="Q387" i="14" s="1"/>
  <c r="N77" i="24"/>
  <c r="N106" i="15"/>
  <c r="P463" i="14"/>
  <c r="I281" i="14"/>
  <c r="V257" i="48"/>
  <c r="I257" i="48" s="1"/>
  <c r="Q276" i="41"/>
  <c r="Q279" i="41" s="1"/>
  <c r="R295" i="14"/>
  <c r="R288" i="14"/>
  <c r="R290" i="14" s="1"/>
  <c r="R291" i="14" s="1"/>
  <c r="R296" i="14" s="1"/>
  <c r="L27" i="46"/>
  <c r="V300" i="48"/>
  <c r="U325" i="14"/>
  <c r="U340" i="14" s="1"/>
  <c r="U22" i="48"/>
  <c r="L364" i="48"/>
  <c r="R203" i="48"/>
  <c r="Q410" i="48"/>
  <c r="Q111" i="48"/>
  <c r="P157" i="48"/>
  <c r="T226" i="48"/>
  <c r="S110" i="48"/>
  <c r="S102" i="48"/>
  <c r="T143" i="48"/>
  <c r="T146" i="48" s="1"/>
  <c r="T155" i="48"/>
  <c r="V534" i="11"/>
  <c r="V536" i="11" s="1"/>
  <c r="V522" i="11" s="1"/>
  <c r="V324" i="48"/>
  <c r="V483" i="48"/>
  <c r="U376" i="48"/>
  <c r="R488" i="14"/>
  <c r="R464" i="48" s="1"/>
  <c r="P433" i="48"/>
  <c r="U278" i="14"/>
  <c r="T279" i="14"/>
  <c r="U425" i="48"/>
  <c r="U432" i="48"/>
  <c r="R149" i="48"/>
  <c r="R156" i="48"/>
  <c r="I439" i="14"/>
  <c r="J456" i="48"/>
  <c r="T402" i="48"/>
  <c r="T409" i="48"/>
  <c r="O363" i="48"/>
  <c r="O356" i="48"/>
  <c r="I346" i="14"/>
  <c r="N363" i="48"/>
  <c r="N356" i="48"/>
  <c r="T427" i="48"/>
  <c r="T428" i="48" s="1"/>
  <c r="T433" i="48" s="1"/>
  <c r="V22" i="48"/>
  <c r="R261" i="48"/>
  <c r="O272" i="41"/>
  <c r="O276" i="41" s="1"/>
  <c r="R33" i="48"/>
  <c r="R34" i="48" s="1"/>
  <c r="R40" i="48" s="1"/>
  <c r="U402" i="48"/>
  <c r="U409" i="48"/>
  <c r="P266" i="48"/>
  <c r="P267" i="48" s="1"/>
  <c r="U96" i="14"/>
  <c r="P502" i="48"/>
  <c r="U350" i="14"/>
  <c r="U220" i="48"/>
  <c r="U221" i="48" s="1"/>
  <c r="T126" i="48"/>
  <c r="T133" i="48"/>
  <c r="I140" i="14"/>
  <c r="S484" i="14"/>
  <c r="S460" i="48" s="1"/>
  <c r="V212" i="48"/>
  <c r="O455" i="48"/>
  <c r="O448" i="48"/>
  <c r="T38" i="48"/>
  <c r="T28" i="48"/>
  <c r="V76" i="48"/>
  <c r="N474" i="48"/>
  <c r="S317" i="48"/>
  <c r="S310" i="48"/>
  <c r="Q134" i="48"/>
  <c r="I324" i="14"/>
  <c r="S422" i="48"/>
  <c r="N450" i="48"/>
  <c r="N451" i="48" s="1"/>
  <c r="N456" i="48" s="1"/>
  <c r="R370" i="14"/>
  <c r="V350" i="14"/>
  <c r="S128" i="48"/>
  <c r="S129" i="48" s="1"/>
  <c r="R381" i="48"/>
  <c r="R382" i="48" s="1"/>
  <c r="V255" i="14"/>
  <c r="U255" i="14"/>
  <c r="O179" i="45"/>
  <c r="N185" i="45"/>
  <c r="L450" i="48"/>
  <c r="L451" i="48" s="1"/>
  <c r="L456" i="48" s="1"/>
  <c r="P454" i="48"/>
  <c r="P442" i="48"/>
  <c r="V393" i="14"/>
  <c r="V369" i="48" s="1"/>
  <c r="S33" i="48"/>
  <c r="S34" i="48" s="1"/>
  <c r="S40" i="48" s="1"/>
  <c r="V201" i="48"/>
  <c r="V189" i="48"/>
  <c r="I186" i="48"/>
  <c r="D82" i="45"/>
  <c r="L176" i="45"/>
  <c r="J14" i="47"/>
  <c r="X16" i="47" s="1"/>
  <c r="L186" i="45"/>
  <c r="J13" i="47"/>
  <c r="J16" i="47" s="1"/>
  <c r="X14" i="47" s="1"/>
  <c r="X15" i="47" s="1"/>
  <c r="K14" i="47"/>
  <c r="Y16" i="47" s="1"/>
  <c r="K13" i="47"/>
  <c r="M17" i="46"/>
  <c r="N55" i="45"/>
  <c r="N171" i="45"/>
  <c r="D42" i="45"/>
  <c r="N164" i="45"/>
  <c r="N168" i="45" s="1"/>
  <c r="V348" i="14"/>
  <c r="V363" i="14" s="1"/>
  <c r="V507" i="14"/>
  <c r="V509" i="14" s="1"/>
  <c r="V524" i="14" s="1"/>
  <c r="I92" i="14"/>
  <c r="U507" i="14"/>
  <c r="U509" i="14" s="1"/>
  <c r="U524" i="14" s="1"/>
  <c r="N51" i="45"/>
  <c r="D49" i="45"/>
  <c r="T369" i="14"/>
  <c r="T345" i="48" s="1"/>
  <c r="T437" i="48" s="1"/>
  <c r="N42" i="40" s="1"/>
  <c r="T816" i="11"/>
  <c r="T772" i="11"/>
  <c r="T774" i="11" s="1"/>
  <c r="V592" i="43"/>
  <c r="V629" i="43"/>
  <c r="V631" i="43" s="1"/>
  <c r="I588" i="43"/>
  <c r="S594" i="43"/>
  <c r="U798" i="11"/>
  <c r="U800" i="11" s="1"/>
  <c r="U776" i="11" s="1"/>
  <c r="U761" i="11"/>
  <c r="I757" i="11"/>
  <c r="V761" i="11"/>
  <c r="V798" i="11"/>
  <c r="V800" i="11" s="1"/>
  <c r="S763" i="11"/>
  <c r="U629" i="43"/>
  <c r="U631" i="43" s="1"/>
  <c r="U607" i="43" s="1"/>
  <c r="U592" i="43"/>
  <c r="T647" i="43"/>
  <c r="T603" i="43"/>
  <c r="T605" i="43" s="1"/>
  <c r="T600" i="43" s="1"/>
  <c r="I80" i="40"/>
  <c r="I111" i="40" s="1"/>
  <c r="I24" i="49" s="1"/>
  <c r="O469" i="14"/>
  <c r="U242" i="14"/>
  <c r="U244" i="14" s="1"/>
  <c r="V109" i="14"/>
  <c r="V97" i="14"/>
  <c r="S518" i="14"/>
  <c r="T515" i="14"/>
  <c r="T525" i="14" s="1"/>
  <c r="R360" i="14"/>
  <c r="Q294" i="41"/>
  <c r="Q296" i="41" s="1"/>
  <c r="R299" i="41"/>
  <c r="R341" i="41" s="1"/>
  <c r="R346" i="41" s="1"/>
  <c r="R348" i="41" s="1"/>
  <c r="N222" i="14"/>
  <c r="N227" i="14" s="1"/>
  <c r="L222" i="14"/>
  <c r="L227" i="14" s="1"/>
  <c r="V22" i="14"/>
  <c r="V37" i="14" s="1"/>
  <c r="V248" i="14"/>
  <c r="V236" i="14"/>
  <c r="I233" i="14"/>
  <c r="M219" i="14"/>
  <c r="M226" i="14"/>
  <c r="O225" i="14"/>
  <c r="O213" i="14"/>
  <c r="I88" i="40" s="1"/>
  <c r="P213" i="14"/>
  <c r="P225" i="14"/>
  <c r="V1177" i="11"/>
  <c r="V1183" i="11" s="1"/>
  <c r="U1177" i="11"/>
  <c r="U1183" i="11" s="1"/>
  <c r="U1210" i="11"/>
  <c r="U1270" i="11" s="1"/>
  <c r="O495" i="14"/>
  <c r="O497" i="14" s="1"/>
  <c r="S180" i="14"/>
  <c r="S173" i="14"/>
  <c r="S175" i="14" s="1"/>
  <c r="P279" i="41"/>
  <c r="O502" i="14"/>
  <c r="T170" i="14"/>
  <c r="S107" i="41" s="1"/>
  <c r="S108" i="41" s="1"/>
  <c r="N87" i="40"/>
  <c r="Q71" i="41"/>
  <c r="S150" i="14"/>
  <c r="S152" i="14" s="1"/>
  <c r="Q117" i="41"/>
  <c r="R271" i="41"/>
  <c r="R272" i="41" s="1"/>
  <c r="S288" i="14"/>
  <c r="S290" i="14" s="1"/>
  <c r="S291" i="14" s="1"/>
  <c r="S296" i="14" s="1"/>
  <c r="S295" i="14"/>
  <c r="S157" i="14"/>
  <c r="T1147" i="11"/>
  <c r="T1149" i="11" s="1"/>
  <c r="N35" i="40"/>
  <c r="O13" i="40" s="1"/>
  <c r="M322" i="41"/>
  <c r="P296" i="41"/>
  <c r="N313" i="41"/>
  <c r="N317" i="41" s="1"/>
  <c r="N322" i="41" s="1"/>
  <c r="P492" i="14"/>
  <c r="Q235" i="41"/>
  <c r="S1157" i="11"/>
  <c r="S1159" i="11" s="1"/>
  <c r="Q489" i="14"/>
  <c r="T1142" i="11"/>
  <c r="T1144" i="11" s="1"/>
  <c r="U1149" i="11"/>
  <c r="R486" i="14"/>
  <c r="V116" i="14"/>
  <c r="S91" i="23"/>
  <c r="J98" i="23"/>
  <c r="U449" i="14"/>
  <c r="U451" i="14" s="1"/>
  <c r="U452" i="14" s="1"/>
  <c r="U457" i="14" s="1"/>
  <c r="V432" i="14"/>
  <c r="V420" i="14"/>
  <c r="I417" i="14"/>
  <c r="Q291" i="14"/>
  <c r="T429" i="14"/>
  <c r="Q129" i="14"/>
  <c r="P158" i="14"/>
  <c r="U22" i="14"/>
  <c r="S38" i="14"/>
  <c r="S28" i="14"/>
  <c r="Q181" i="14"/>
  <c r="P457" i="14"/>
  <c r="I21" i="14"/>
  <c r="Q33" i="14"/>
  <c r="O40" i="14"/>
  <c r="S406" i="14"/>
  <c r="R176" i="14"/>
  <c r="R181" i="14" s="1"/>
  <c r="K69" i="23"/>
  <c r="K71" i="23" s="1"/>
  <c r="H42" i="41" l="1"/>
  <c r="D149" i="40" s="1"/>
  <c r="N108" i="40"/>
  <c r="N21" i="49" s="1"/>
  <c r="O21" i="49" s="1"/>
  <c r="M14" i="49"/>
  <c r="M186" i="45"/>
  <c r="M176" i="45"/>
  <c r="R111" i="41"/>
  <c r="R112" i="41" s="1"/>
  <c r="N175" i="45"/>
  <c r="L14" i="47" s="1"/>
  <c r="Z16" i="47" s="1"/>
  <c r="K16" i="47"/>
  <c r="Y14" i="47" s="1"/>
  <c r="Y15" i="47" s="1"/>
  <c r="U35" i="41"/>
  <c r="U36" i="41" s="1"/>
  <c r="U37" i="41" s="1"/>
  <c r="U38" i="41" s="1"/>
  <c r="I52" i="48"/>
  <c r="V55" i="48"/>
  <c r="V57" i="48" s="1"/>
  <c r="I57" i="48" s="1"/>
  <c r="I141" i="14"/>
  <c r="S103" i="41"/>
  <c r="S104" i="41" s="1"/>
  <c r="U179" i="14"/>
  <c r="U144" i="14"/>
  <c r="U147" i="14" s="1"/>
  <c r="T66" i="41" s="1"/>
  <c r="T67" i="41" s="1"/>
  <c r="R501" i="48"/>
  <c r="U186" i="41"/>
  <c r="U193" i="41" s="1"/>
  <c r="L82" i="48"/>
  <c r="L87" i="48" s="1"/>
  <c r="R82" i="48"/>
  <c r="R87" i="48" s="1"/>
  <c r="U304" i="48"/>
  <c r="U307" i="48" s="1"/>
  <c r="U317" i="48" s="1"/>
  <c r="R40" i="14"/>
  <c r="V340" i="14"/>
  <c r="I300" i="48"/>
  <c r="T258" i="48"/>
  <c r="T261" i="48" s="1"/>
  <c r="T264" i="48" s="1"/>
  <c r="P76" i="41"/>
  <c r="V231" i="48"/>
  <c r="R63" i="41"/>
  <c r="S63" i="41"/>
  <c r="S70" i="41" s="1"/>
  <c r="T150" i="14"/>
  <c r="T152" i="14" s="1"/>
  <c r="S260" i="41"/>
  <c r="S263" i="41"/>
  <c r="S265" i="41" s="1"/>
  <c r="U254" i="48"/>
  <c r="U255" i="48" s="1"/>
  <c r="U270" i="48" s="1"/>
  <c r="T258" i="41"/>
  <c r="T99" i="41"/>
  <c r="T101" i="41" s="1"/>
  <c r="T96" i="41"/>
  <c r="U58" i="41"/>
  <c r="U60" i="41" s="1"/>
  <c r="U55" i="41"/>
  <c r="U99" i="41"/>
  <c r="U101" i="41" s="1"/>
  <c r="U96" i="41"/>
  <c r="I139" i="48"/>
  <c r="T58" i="41"/>
  <c r="T60" i="41" s="1"/>
  <c r="T55" i="41"/>
  <c r="V156" i="14"/>
  <c r="S227" i="41"/>
  <c r="S234" i="41" s="1"/>
  <c r="S235" i="41" s="1"/>
  <c r="T222" i="41"/>
  <c r="T224" i="41" s="1"/>
  <c r="T219" i="41"/>
  <c r="U219" i="41"/>
  <c r="U222" i="41"/>
  <c r="U224" i="41" s="1"/>
  <c r="T186" i="41"/>
  <c r="T193" i="41" s="1"/>
  <c r="Q336" i="48"/>
  <c r="Q341" i="48" s="1"/>
  <c r="S341" i="14"/>
  <c r="S334" i="14"/>
  <c r="S336" i="14" s="1"/>
  <c r="V82" i="14"/>
  <c r="I82" i="14" s="1"/>
  <c r="I255" i="14"/>
  <c r="T310" i="48"/>
  <c r="T312" i="48" s="1"/>
  <c r="T313" i="48" s="1"/>
  <c r="T318" i="48" s="1"/>
  <c r="S149" i="48"/>
  <c r="S151" i="48" s="1"/>
  <c r="S152" i="48" s="1"/>
  <c r="S157" i="48" s="1"/>
  <c r="Q301" i="41"/>
  <c r="Q346" i="41"/>
  <c r="Q348" i="41" s="1"/>
  <c r="P308" i="41"/>
  <c r="P309" i="41" s="1"/>
  <c r="P316" i="41" s="1"/>
  <c r="Q347" i="48"/>
  <c r="Q350" i="48" s="1"/>
  <c r="Q353" i="48" s="1"/>
  <c r="N86" i="40"/>
  <c r="U140" i="48"/>
  <c r="U155" i="48" s="1"/>
  <c r="R235" i="41"/>
  <c r="R238" i="41" s="1"/>
  <c r="T28" i="14"/>
  <c r="T39" i="14" s="1"/>
  <c r="T109" i="48"/>
  <c r="I325" i="14"/>
  <c r="U231" i="48"/>
  <c r="R465" i="48"/>
  <c r="R468" i="48" s="1"/>
  <c r="R478" i="48" s="1"/>
  <c r="U132" i="48"/>
  <c r="T334" i="14"/>
  <c r="T336" i="14" s="1"/>
  <c r="T337" i="14" s="1"/>
  <c r="T342" i="14" s="1"/>
  <c r="U483" i="48"/>
  <c r="U485" i="48" s="1"/>
  <c r="U500" i="48" s="1"/>
  <c r="Q304" i="41"/>
  <c r="Q306" i="41" s="1"/>
  <c r="T123" i="14"/>
  <c r="T126" i="14" s="1"/>
  <c r="T128" i="14" s="1"/>
  <c r="T129" i="14" s="1"/>
  <c r="T135" i="14" s="1"/>
  <c r="P77" i="24"/>
  <c r="P80" i="24" s="1"/>
  <c r="I322" i="48"/>
  <c r="N78" i="40"/>
  <c r="P362" i="48"/>
  <c r="S76" i="48"/>
  <c r="M97" i="40"/>
  <c r="U328" i="14"/>
  <c r="U331" i="14" s="1"/>
  <c r="U97" i="14"/>
  <c r="U100" i="14" s="1"/>
  <c r="U103" i="14" s="1"/>
  <c r="U105" i="14" s="1"/>
  <c r="U106" i="14" s="1"/>
  <c r="U111" i="14" s="1"/>
  <c r="Q471" i="48"/>
  <c r="Q473" i="48" s="1"/>
  <c r="I68" i="48"/>
  <c r="I79" i="14"/>
  <c r="U70" i="48"/>
  <c r="I70" i="48" s="1"/>
  <c r="V287" i="48"/>
  <c r="V289" i="48" s="1"/>
  <c r="V294" i="48"/>
  <c r="T38" i="14"/>
  <c r="I94" i="14"/>
  <c r="S264" i="48"/>
  <c r="S266" i="48" s="1"/>
  <c r="S267" i="48" s="1"/>
  <c r="S272" i="48" s="1"/>
  <c r="V416" i="48"/>
  <c r="V419" i="48" s="1"/>
  <c r="I440" i="14"/>
  <c r="V117" i="48"/>
  <c r="I117" i="48" s="1"/>
  <c r="V443" i="14"/>
  <c r="V446" i="14" s="1"/>
  <c r="U96" i="48"/>
  <c r="U109" i="48" s="1"/>
  <c r="V167" i="14"/>
  <c r="V170" i="14" s="1"/>
  <c r="U107" i="41" s="1"/>
  <c r="U108" i="41" s="1"/>
  <c r="U202" i="48"/>
  <c r="T341" i="14"/>
  <c r="I116" i="48"/>
  <c r="I164" i="14"/>
  <c r="U120" i="14"/>
  <c r="U123" i="14" s="1"/>
  <c r="P380" i="14"/>
  <c r="P382" i="14" s="1"/>
  <c r="P383" i="14" s="1"/>
  <c r="P388" i="14" s="1"/>
  <c r="V117" i="14"/>
  <c r="V120" i="14" s="1"/>
  <c r="V123" i="14" s="1"/>
  <c r="V134" i="14" s="1"/>
  <c r="V92" i="48"/>
  <c r="V93" i="48" s="1"/>
  <c r="N72" i="40"/>
  <c r="N17" i="49" s="1"/>
  <c r="O17" i="49" s="1"/>
  <c r="N43" i="40"/>
  <c r="D51" i="45"/>
  <c r="D52" i="45" s="1"/>
  <c r="L19" i="47"/>
  <c r="L20" i="47" s="1"/>
  <c r="L13" i="47"/>
  <c r="L21" i="47"/>
  <c r="V511" i="14"/>
  <c r="V512" i="14" s="1"/>
  <c r="V515" i="14" s="1"/>
  <c r="V326" i="48"/>
  <c r="V327" i="48" s="1"/>
  <c r="S462" i="48"/>
  <c r="S477" i="48" s="1"/>
  <c r="M15" i="49"/>
  <c r="U351" i="14"/>
  <c r="U354" i="14" s="1"/>
  <c r="U326" i="48"/>
  <c r="I96" i="14"/>
  <c r="U72" i="48"/>
  <c r="M72" i="40"/>
  <c r="M43" i="40"/>
  <c r="S333" i="48"/>
  <c r="S340" i="48"/>
  <c r="T79" i="48"/>
  <c r="T86" i="48"/>
  <c r="T313" i="14"/>
  <c r="T520" i="14" s="1"/>
  <c r="N98" i="40"/>
  <c r="T284" i="48"/>
  <c r="I284" i="48" s="1"/>
  <c r="I281" i="48"/>
  <c r="T500" i="48"/>
  <c r="T488" i="48"/>
  <c r="T491" i="48" s="1"/>
  <c r="S501" i="48"/>
  <c r="S494" i="48"/>
  <c r="S287" i="48"/>
  <c r="S294" i="48"/>
  <c r="S313" i="14"/>
  <c r="R335" i="48"/>
  <c r="R496" i="48" s="1"/>
  <c r="R497" i="48" s="1"/>
  <c r="R502" i="48" s="1"/>
  <c r="S134" i="14"/>
  <c r="S126" i="14"/>
  <c r="S128" i="14" s="1"/>
  <c r="S129" i="14" s="1"/>
  <c r="S135" i="14" s="1"/>
  <c r="V311" i="14"/>
  <c r="V318" i="14"/>
  <c r="T330" i="48"/>
  <c r="N99" i="40"/>
  <c r="J28" i="46"/>
  <c r="J22" i="49"/>
  <c r="M107" i="40"/>
  <c r="M20" i="49" s="1"/>
  <c r="I19" i="46"/>
  <c r="R294" i="41"/>
  <c r="R296" i="41" s="1"/>
  <c r="O77" i="24"/>
  <c r="O80" i="24" s="1"/>
  <c r="U410" i="14"/>
  <c r="U403" i="14"/>
  <c r="U405" i="14" s="1"/>
  <c r="U406" i="14" s="1"/>
  <c r="U411" i="14" s="1"/>
  <c r="V301" i="48"/>
  <c r="V316" i="48" s="1"/>
  <c r="Q281" i="41"/>
  <c r="S486" i="14"/>
  <c r="S501" i="14" s="1"/>
  <c r="H81" i="40"/>
  <c r="H6" i="49" s="1"/>
  <c r="H16" i="46"/>
  <c r="E34" i="46" s="1"/>
  <c r="I392" i="48"/>
  <c r="Q386" i="14"/>
  <c r="R462" i="14"/>
  <c r="R346" i="48"/>
  <c r="R438" i="48" s="1"/>
  <c r="R439" i="48" s="1"/>
  <c r="Q380" i="14"/>
  <c r="Q382" i="14" s="1"/>
  <c r="Q383" i="14" s="1"/>
  <c r="Q388" i="14" s="1"/>
  <c r="P466" i="14"/>
  <c r="P478" i="14"/>
  <c r="N80" i="24"/>
  <c r="N77" i="25"/>
  <c r="N80" i="25" s="1"/>
  <c r="N479" i="14"/>
  <c r="N472" i="14"/>
  <c r="N474" i="14" s="1"/>
  <c r="N475" i="14" s="1"/>
  <c r="N480" i="14" s="1"/>
  <c r="Q463" i="14"/>
  <c r="P281" i="41"/>
  <c r="U37" i="48"/>
  <c r="U25" i="48"/>
  <c r="T203" i="48"/>
  <c r="U226" i="48"/>
  <c r="R387" i="48"/>
  <c r="S134" i="48"/>
  <c r="V408" i="48"/>
  <c r="V396" i="48"/>
  <c r="I393" i="48"/>
  <c r="T282" i="14"/>
  <c r="T294" i="14"/>
  <c r="U133" i="48"/>
  <c r="U126" i="48"/>
  <c r="U279" i="14"/>
  <c r="N479" i="48"/>
  <c r="P272" i="48"/>
  <c r="S425" i="48"/>
  <c r="S432" i="48"/>
  <c r="V215" i="48"/>
  <c r="I212" i="48"/>
  <c r="R271" i="48"/>
  <c r="R264" i="48"/>
  <c r="V278" i="14"/>
  <c r="U258" i="41" s="1"/>
  <c r="T31" i="48"/>
  <c r="T39" i="48"/>
  <c r="V37" i="48"/>
  <c r="V25" i="48"/>
  <c r="I22" i="48"/>
  <c r="U386" i="48"/>
  <c r="U379" i="48"/>
  <c r="I369" i="48"/>
  <c r="V370" i="48"/>
  <c r="U197" i="48"/>
  <c r="U198" i="48" s="1"/>
  <c r="U203" i="48" s="1"/>
  <c r="V485" i="48"/>
  <c r="P445" i="48"/>
  <c r="O450" i="48"/>
  <c r="O451" i="48" s="1"/>
  <c r="V155" i="48"/>
  <c r="V143" i="48"/>
  <c r="O279" i="41"/>
  <c r="O281" i="41"/>
  <c r="V79" i="48"/>
  <c r="V86" i="48"/>
  <c r="O358" i="48"/>
  <c r="O359" i="48" s="1"/>
  <c r="O364" i="48" s="1"/>
  <c r="U511" i="14"/>
  <c r="V192" i="48"/>
  <c r="I189" i="48"/>
  <c r="Q454" i="48"/>
  <c r="Q442" i="48"/>
  <c r="Q445" i="48" s="1"/>
  <c r="T102" i="48"/>
  <c r="T110" i="48"/>
  <c r="U404" i="48"/>
  <c r="U405" i="48" s="1"/>
  <c r="U410" i="48" s="1"/>
  <c r="T156" i="48"/>
  <c r="T149" i="48"/>
  <c r="S488" i="14"/>
  <c r="T128" i="48"/>
  <c r="T129" i="48" s="1"/>
  <c r="T134" i="48" s="1"/>
  <c r="I350" i="14"/>
  <c r="S104" i="48"/>
  <c r="S105" i="48" s="1"/>
  <c r="I393" i="14"/>
  <c r="V394" i="14"/>
  <c r="V339" i="48"/>
  <c r="I324" i="48"/>
  <c r="N358" i="48"/>
  <c r="S312" i="48"/>
  <c r="S313" i="48" s="1"/>
  <c r="R371" i="14"/>
  <c r="R386" i="14" s="1"/>
  <c r="R151" i="48"/>
  <c r="R152" i="48" s="1"/>
  <c r="R157" i="48" s="1"/>
  <c r="S370" i="14"/>
  <c r="P353" i="48"/>
  <c r="T404" i="48"/>
  <c r="T405" i="48" s="1"/>
  <c r="U427" i="48"/>
  <c r="U428" i="48" s="1"/>
  <c r="U433" i="48" s="1"/>
  <c r="O168" i="45"/>
  <c r="L12" i="47"/>
  <c r="Z13" i="47" s="1"/>
  <c r="O175" i="45"/>
  <c r="E201" i="45" s="1"/>
  <c r="D51" i="47" s="1"/>
  <c r="I81" i="40"/>
  <c r="I6" i="49" s="1"/>
  <c r="I16" i="46"/>
  <c r="O185" i="45"/>
  <c r="N186" i="45"/>
  <c r="I348" i="14"/>
  <c r="V351" i="14"/>
  <c r="V354" i="14" s="1"/>
  <c r="V357" i="14" s="1"/>
  <c r="T594" i="43"/>
  <c r="I507" i="14"/>
  <c r="I509" i="14"/>
  <c r="K181" i="41"/>
  <c r="K183" i="41" s="1"/>
  <c r="K178" i="41"/>
  <c r="M181" i="41"/>
  <c r="M183" i="41" s="1"/>
  <c r="M178" i="41"/>
  <c r="U369" i="14"/>
  <c r="U345" i="48" s="1"/>
  <c r="U816" i="11"/>
  <c r="U772" i="11"/>
  <c r="U774" i="11" s="1"/>
  <c r="U769" i="11" s="1"/>
  <c r="V647" i="43"/>
  <c r="V603" i="43"/>
  <c r="V605" i="43" s="1"/>
  <c r="T769" i="11"/>
  <c r="T763" i="11" s="1"/>
  <c r="O479" i="14"/>
  <c r="O472" i="14"/>
  <c r="O474" i="14" s="1"/>
  <c r="O475" i="14" s="1"/>
  <c r="O480" i="14" s="1"/>
  <c r="I800" i="11"/>
  <c r="V776" i="11"/>
  <c r="I631" i="43"/>
  <c r="V607" i="43"/>
  <c r="U647" i="43"/>
  <c r="U603" i="43"/>
  <c r="U605" i="43" s="1"/>
  <c r="U600" i="43" s="1"/>
  <c r="V816" i="11"/>
  <c r="V772" i="11"/>
  <c r="V774" i="11" s="1"/>
  <c r="V369" i="14"/>
  <c r="V345" i="48" s="1"/>
  <c r="V437" i="48" s="1"/>
  <c r="T461" i="14"/>
  <c r="U245" i="14"/>
  <c r="U250" i="14" s="1"/>
  <c r="V100" i="14"/>
  <c r="R343" i="41"/>
  <c r="T518" i="14"/>
  <c r="V25" i="14"/>
  <c r="V28" i="14" s="1"/>
  <c r="V39" i="14" s="1"/>
  <c r="R304" i="41"/>
  <c r="R306" i="41" s="1"/>
  <c r="R301" i="41"/>
  <c r="R365" i="14"/>
  <c r="V239" i="14"/>
  <c r="I236" i="14"/>
  <c r="P216" i="14"/>
  <c r="O189" i="41" s="1"/>
  <c r="O190" i="41" s="1"/>
  <c r="J88" i="40"/>
  <c r="O216" i="14"/>
  <c r="N189" i="41" s="1"/>
  <c r="N190" i="41" s="1"/>
  <c r="Q210" i="14"/>
  <c r="M221" i="14"/>
  <c r="S31" i="14"/>
  <c r="S39" i="14"/>
  <c r="O498" i="14"/>
  <c r="O503" i="14" s="1"/>
  <c r="Q74" i="41"/>
  <c r="Q76" i="41"/>
  <c r="T173" i="14"/>
  <c r="T175" i="14" s="1"/>
  <c r="I1116" i="11"/>
  <c r="T1119" i="11"/>
  <c r="T1140" i="11"/>
  <c r="T180" i="14"/>
  <c r="R268" i="41"/>
  <c r="R275" i="41" s="1"/>
  <c r="R276" i="41" s="1"/>
  <c r="T157" i="14"/>
  <c r="Q492" i="14"/>
  <c r="P312" i="41" s="1"/>
  <c r="P495" i="14"/>
  <c r="P497" i="14" s="1"/>
  <c r="O312" i="41"/>
  <c r="P502" i="14"/>
  <c r="Q238" i="41"/>
  <c r="Q240" i="41"/>
  <c r="N320" i="41"/>
  <c r="I116" i="14"/>
  <c r="V1142" i="11"/>
  <c r="V1144" i="11" s="1"/>
  <c r="V1140" i="11" s="1"/>
  <c r="V1119" i="11"/>
  <c r="U1119" i="11"/>
  <c r="U1142" i="11"/>
  <c r="U1144" i="11" s="1"/>
  <c r="U1140" i="11" s="1"/>
  <c r="I1111" i="11"/>
  <c r="R501" i="14"/>
  <c r="R489" i="14"/>
  <c r="K73" i="23"/>
  <c r="K80" i="23" s="1"/>
  <c r="J102" i="23"/>
  <c r="S176" i="14"/>
  <c r="S181" i="14" s="1"/>
  <c r="S457" i="14"/>
  <c r="Q135" i="14"/>
  <c r="S411" i="14"/>
  <c r="V150" i="14"/>
  <c r="V152" i="14" s="1"/>
  <c r="V157" i="14"/>
  <c r="S153" i="14"/>
  <c r="T434" i="14"/>
  <c r="U37" i="14"/>
  <c r="U25" i="14"/>
  <c r="I22" i="14"/>
  <c r="Q296" i="14"/>
  <c r="V341" i="14"/>
  <c r="V334" i="14"/>
  <c r="U173" i="14"/>
  <c r="U180" i="14"/>
  <c r="Q34" i="14"/>
  <c r="Q1546" i="11" s="1"/>
  <c r="Q1547" i="11" s="1"/>
  <c r="V423" i="14"/>
  <c r="I420" i="14"/>
  <c r="R45" i="15" l="1"/>
  <c r="R19" i="25" s="1"/>
  <c r="M108" i="40"/>
  <c r="M21" i="49" s="1"/>
  <c r="N17" i="46"/>
  <c r="F35" i="46" s="1"/>
  <c r="N176" i="45"/>
  <c r="S33" i="14"/>
  <c r="S34" i="14" s="1"/>
  <c r="S1546" i="11" s="1"/>
  <c r="S1547" i="11" s="1"/>
  <c r="S60" i="14"/>
  <c r="R115" i="41"/>
  <c r="R117" i="41"/>
  <c r="S111" i="41"/>
  <c r="S112" i="41" s="1"/>
  <c r="R70" i="41"/>
  <c r="R71" i="41" s="1"/>
  <c r="I147" i="14"/>
  <c r="U157" i="14"/>
  <c r="I144" i="14"/>
  <c r="U150" i="14"/>
  <c r="U152" i="14" s="1"/>
  <c r="U153" i="14" s="1"/>
  <c r="U158" i="14" s="1"/>
  <c r="I55" i="48"/>
  <c r="U310" i="48"/>
  <c r="U312" i="48" s="1"/>
  <c r="U313" i="48" s="1"/>
  <c r="U318" i="48" s="1"/>
  <c r="I231" i="48"/>
  <c r="U226" i="41"/>
  <c r="S267" i="41"/>
  <c r="S268" i="41" s="1"/>
  <c r="S275" i="41" s="1"/>
  <c r="S71" i="41"/>
  <c r="S74" i="41" s="1"/>
  <c r="N93" i="40"/>
  <c r="N107" i="40" s="1"/>
  <c r="V87" i="14"/>
  <c r="Q362" i="48"/>
  <c r="T62" i="41"/>
  <c r="U62" i="41"/>
  <c r="U258" i="48"/>
  <c r="U261" i="48" s="1"/>
  <c r="U264" i="48" s="1"/>
  <c r="T103" i="41"/>
  <c r="U263" i="41"/>
  <c r="U265" i="41" s="1"/>
  <c r="U260" i="41"/>
  <c r="T260" i="41"/>
  <c r="T263" i="41"/>
  <c r="T265" i="41" s="1"/>
  <c r="T153" i="14"/>
  <c r="T158" i="14" s="1"/>
  <c r="U103" i="41"/>
  <c r="S337" i="14"/>
  <c r="S342" i="14" s="1"/>
  <c r="T226" i="41"/>
  <c r="U334" i="14"/>
  <c r="U336" i="14" s="1"/>
  <c r="U337" i="14" s="1"/>
  <c r="U342" i="14" s="1"/>
  <c r="T230" i="41"/>
  <c r="T231" i="41" s="1"/>
  <c r="S238" i="41"/>
  <c r="S240" i="41"/>
  <c r="S241" i="41" s="1"/>
  <c r="U594" i="43"/>
  <c r="T31" i="14"/>
  <c r="U143" i="48"/>
  <c r="U146" i="48" s="1"/>
  <c r="U149" i="48" s="1"/>
  <c r="I416" i="48"/>
  <c r="V431" i="48"/>
  <c r="I140" i="48"/>
  <c r="V133" i="14"/>
  <c r="T134" i="14"/>
  <c r="R240" i="41"/>
  <c r="U487" i="48"/>
  <c r="U488" i="48" s="1"/>
  <c r="U491" i="48" s="1"/>
  <c r="U501" i="48" s="1"/>
  <c r="Q308" i="41"/>
  <c r="Q309" i="41" s="1"/>
  <c r="Q316" i="41" s="1"/>
  <c r="I92" i="48"/>
  <c r="O108" i="40"/>
  <c r="U341" i="14"/>
  <c r="I328" i="14"/>
  <c r="V120" i="48"/>
  <c r="V123" i="48" s="1"/>
  <c r="R471" i="48"/>
  <c r="R473" i="48" s="1"/>
  <c r="R474" i="48" s="1"/>
  <c r="V132" i="48"/>
  <c r="I483" i="48"/>
  <c r="I485" i="48"/>
  <c r="V290" i="48"/>
  <c r="V295" i="48" s="1"/>
  <c r="U85" i="48"/>
  <c r="V487" i="48"/>
  <c r="I354" i="14"/>
  <c r="I120" i="14"/>
  <c r="O77" i="25"/>
  <c r="O80" i="25" s="1"/>
  <c r="T521" i="14"/>
  <c r="T526" i="14" s="1"/>
  <c r="U133" i="14"/>
  <c r="T314" i="14"/>
  <c r="T319" i="14" s="1"/>
  <c r="V132" i="14"/>
  <c r="U99" i="48"/>
  <c r="U110" i="48" s="1"/>
  <c r="I117" i="14"/>
  <c r="I170" i="14"/>
  <c r="R336" i="48"/>
  <c r="R341" i="48" s="1"/>
  <c r="S79" i="48"/>
  <c r="S86" i="48"/>
  <c r="P77" i="25"/>
  <c r="P80" i="25" s="1"/>
  <c r="Q474" i="48"/>
  <c r="Q479" i="48" s="1"/>
  <c r="V304" i="48"/>
  <c r="V307" i="48" s="1"/>
  <c r="T271" i="48"/>
  <c r="V173" i="14"/>
  <c r="V175" i="14" s="1"/>
  <c r="V180" i="14"/>
  <c r="I331" i="14"/>
  <c r="U110" i="14"/>
  <c r="I97" i="14"/>
  <c r="I167" i="14"/>
  <c r="O72" i="40"/>
  <c r="M17" i="49"/>
  <c r="I72" i="48"/>
  <c r="R463" i="14"/>
  <c r="R478" i="14" s="1"/>
  <c r="I301" i="48"/>
  <c r="I443" i="14"/>
  <c r="U73" i="48"/>
  <c r="U76" i="48" s="1"/>
  <c r="I511" i="14"/>
  <c r="M3" i="49"/>
  <c r="N3" i="49"/>
  <c r="L16" i="47"/>
  <c r="Z14" i="47" s="1"/>
  <c r="Z15" i="47" s="1"/>
  <c r="AB15" i="47" s="1"/>
  <c r="H3" i="42"/>
  <c r="I3" i="42" s="1"/>
  <c r="T340" i="48"/>
  <c r="T333" i="48"/>
  <c r="T335" i="48" s="1"/>
  <c r="T336" i="48" s="1"/>
  <c r="T341" i="48" s="1"/>
  <c r="V313" i="14"/>
  <c r="I313" i="14" s="1"/>
  <c r="I311" i="14"/>
  <c r="S314" i="14"/>
  <c r="S520" i="14"/>
  <c r="S521" i="14" s="1"/>
  <c r="S526" i="14" s="1"/>
  <c r="S289" i="48"/>
  <c r="T501" i="48"/>
  <c r="T494" i="48"/>
  <c r="T294" i="48"/>
  <c r="T287" i="48"/>
  <c r="T81" i="48"/>
  <c r="T82" i="48" s="1"/>
  <c r="T87" i="48" s="1"/>
  <c r="S335" i="48"/>
  <c r="S336" i="48" s="1"/>
  <c r="S341" i="48" s="1"/>
  <c r="U327" i="48"/>
  <c r="U330" i="48" s="1"/>
  <c r="I326" i="48"/>
  <c r="U364" i="14"/>
  <c r="U357" i="14"/>
  <c r="U359" i="14" s="1"/>
  <c r="K28" i="46"/>
  <c r="K22" i="49"/>
  <c r="J19" i="46"/>
  <c r="I345" i="48"/>
  <c r="R347" i="48"/>
  <c r="R362" i="48" s="1"/>
  <c r="S489" i="14"/>
  <c r="S492" i="14" s="1"/>
  <c r="S495" i="14" s="1"/>
  <c r="S497" i="14" s="1"/>
  <c r="S498" i="14" s="1"/>
  <c r="S503" i="14" s="1"/>
  <c r="S464" i="48"/>
  <c r="S465" i="48" s="1"/>
  <c r="S468" i="48" s="1"/>
  <c r="S478" i="48" s="1"/>
  <c r="Q19" i="24"/>
  <c r="Q1250" i="43"/>
  <c r="Q1252" i="43" s="1"/>
  <c r="Q19" i="25"/>
  <c r="Q1463" i="11"/>
  <c r="Q1465" i="11" s="1"/>
  <c r="Q103" i="15" s="1"/>
  <c r="U437" i="48"/>
  <c r="I437" i="48" s="1"/>
  <c r="S462" i="14"/>
  <c r="S346" i="48"/>
  <c r="S438" i="48" s="1"/>
  <c r="S439" i="48" s="1"/>
  <c r="P469" i="14"/>
  <c r="J80" i="40"/>
  <c r="J111" i="40" s="1"/>
  <c r="J24" i="49" s="1"/>
  <c r="S371" i="14"/>
  <c r="S374" i="14" s="1"/>
  <c r="Q466" i="14"/>
  <c r="Q478" i="14"/>
  <c r="I278" i="14"/>
  <c r="V254" i="48"/>
  <c r="I254" i="48" s="1"/>
  <c r="U38" i="48"/>
  <c r="U28" i="48"/>
  <c r="U512" i="14"/>
  <c r="U515" i="14" s="1"/>
  <c r="U525" i="14" s="1"/>
  <c r="T410" i="48"/>
  <c r="S318" i="48"/>
  <c r="O456" i="48"/>
  <c r="U294" i="14"/>
  <c r="U282" i="14"/>
  <c r="U285" i="14" s="1"/>
  <c r="T271" i="41" s="1"/>
  <c r="T272" i="41" s="1"/>
  <c r="V485" i="14"/>
  <c r="P363" i="48"/>
  <c r="P356" i="48"/>
  <c r="T104" i="48"/>
  <c r="T105" i="48" s="1"/>
  <c r="T111" i="48" s="1"/>
  <c r="R374" i="14"/>
  <c r="R377" i="14" s="1"/>
  <c r="R387" i="14" s="1"/>
  <c r="U128" i="48"/>
  <c r="U129" i="48" s="1"/>
  <c r="U134" i="48" s="1"/>
  <c r="V500" i="48"/>
  <c r="V330" i="48"/>
  <c r="T151" i="48"/>
  <c r="V373" i="48"/>
  <c r="V385" i="48"/>
  <c r="I370" i="48"/>
  <c r="T285" i="14"/>
  <c r="S271" i="41" s="1"/>
  <c r="V58" i="48"/>
  <c r="R454" i="48"/>
  <c r="R442" i="48"/>
  <c r="R445" i="48" s="1"/>
  <c r="V218" i="48"/>
  <c r="V225" i="48"/>
  <c r="I215" i="48"/>
  <c r="V38" i="48"/>
  <c r="V28" i="48"/>
  <c r="I25" i="48"/>
  <c r="S111" i="48"/>
  <c r="R266" i="48"/>
  <c r="R267" i="48" s="1"/>
  <c r="V422" i="48"/>
  <c r="I419" i="48"/>
  <c r="U381" i="48"/>
  <c r="U382" i="48" s="1"/>
  <c r="V81" i="48"/>
  <c r="V108" i="48"/>
  <c r="V96" i="48"/>
  <c r="I93" i="48"/>
  <c r="N359" i="48"/>
  <c r="T33" i="48"/>
  <c r="T34" i="48" s="1"/>
  <c r="T40" i="48" s="1"/>
  <c r="Q455" i="48"/>
  <c r="Q448" i="48"/>
  <c r="T485" i="14"/>
  <c r="T1157" i="11"/>
  <c r="T1159" i="11" s="1"/>
  <c r="V399" i="48"/>
  <c r="I396" i="48"/>
  <c r="P455" i="48"/>
  <c r="P448" i="48"/>
  <c r="T266" i="48"/>
  <c r="T267" i="48" s="1"/>
  <c r="T272" i="48" s="1"/>
  <c r="Q356" i="48"/>
  <c r="Q363" i="48"/>
  <c r="V279" i="14"/>
  <c r="V202" i="48"/>
  <c r="V195" i="48"/>
  <c r="I192" i="48"/>
  <c r="V146" i="48"/>
  <c r="U485" i="14"/>
  <c r="T370" i="14"/>
  <c r="T371" i="14" s="1"/>
  <c r="V409" i="14"/>
  <c r="V397" i="14"/>
  <c r="I394" i="14"/>
  <c r="S427" i="48"/>
  <c r="S428" i="48" s="1"/>
  <c r="O186" i="45"/>
  <c r="O187" i="45" s="1"/>
  <c r="V364" i="14"/>
  <c r="I351" i="14"/>
  <c r="I369" i="14"/>
  <c r="U763" i="11"/>
  <c r="V31" i="14"/>
  <c r="V769" i="11"/>
  <c r="V763" i="11" s="1"/>
  <c r="P226" i="14"/>
  <c r="M185" i="41"/>
  <c r="K185" i="41"/>
  <c r="V600" i="43"/>
  <c r="V594" i="43" s="1"/>
  <c r="I605" i="43"/>
  <c r="I774" i="11"/>
  <c r="V461" i="14"/>
  <c r="U461" i="14"/>
  <c r="V38" i="14"/>
  <c r="V110" i="14"/>
  <c r="V103" i="14"/>
  <c r="I100" i="14"/>
  <c r="R308" i="41"/>
  <c r="V525" i="14"/>
  <c r="V518" i="14"/>
  <c r="V359" i="14"/>
  <c r="V242" i="14"/>
  <c r="V249" i="14"/>
  <c r="I239" i="14"/>
  <c r="P219" i="14"/>
  <c r="P221" i="14" s="1"/>
  <c r="Q225" i="14"/>
  <c r="Q213" i="14"/>
  <c r="K88" i="40" s="1"/>
  <c r="R210" i="14"/>
  <c r="M222" i="14"/>
  <c r="O219" i="14"/>
  <c r="O226" i="14"/>
  <c r="V126" i="14"/>
  <c r="V128" i="14" s="1"/>
  <c r="U126" i="14"/>
  <c r="U128" i="14" s="1"/>
  <c r="U134" i="14"/>
  <c r="I123" i="14"/>
  <c r="Q502" i="14"/>
  <c r="T484" i="14"/>
  <c r="Q495" i="14"/>
  <c r="Q497" i="14" s="1"/>
  <c r="Q498" i="14" s="1"/>
  <c r="Q503" i="14" s="1"/>
  <c r="R279" i="41"/>
  <c r="R281" i="41"/>
  <c r="R492" i="14"/>
  <c r="Q312" i="41" s="1"/>
  <c r="O313" i="41"/>
  <c r="O317" i="41" s="1"/>
  <c r="P313" i="41"/>
  <c r="P317" i="41" s="1"/>
  <c r="P320" i="41" s="1"/>
  <c r="P498" i="14"/>
  <c r="P503" i="14" s="1"/>
  <c r="V484" i="14"/>
  <c r="V1157" i="11"/>
  <c r="V1159" i="11" s="1"/>
  <c r="U484" i="14"/>
  <c r="T294" i="41" s="1"/>
  <c r="U1157" i="11"/>
  <c r="U1159" i="11" s="1"/>
  <c r="V153" i="14"/>
  <c r="V158" i="14" s="1"/>
  <c r="K100" i="23"/>
  <c r="K75" i="23"/>
  <c r="L72" i="23"/>
  <c r="K85" i="23"/>
  <c r="V91" i="23"/>
  <c r="T91" i="23"/>
  <c r="T176" i="14"/>
  <c r="T181" i="14" s="1"/>
  <c r="V433" i="14"/>
  <c r="V426" i="14"/>
  <c r="I423" i="14"/>
  <c r="U175" i="14"/>
  <c r="V336" i="14"/>
  <c r="V456" i="14"/>
  <c r="V449" i="14"/>
  <c r="I446" i="14"/>
  <c r="U38" i="14"/>
  <c r="U28" i="14"/>
  <c r="U39" i="14" s="1"/>
  <c r="I25" i="14"/>
  <c r="Q40" i="14"/>
  <c r="S158" i="14"/>
  <c r="R1250" i="43" l="1"/>
  <c r="R1252" i="43" s="1"/>
  <c r="R19" i="24"/>
  <c r="R1463" i="11"/>
  <c r="R1465" i="11" s="1"/>
  <c r="R103" i="15" s="1"/>
  <c r="R106" i="15" s="1"/>
  <c r="S463" i="14"/>
  <c r="S478" i="14" s="1"/>
  <c r="S45" i="15"/>
  <c r="S19" i="24" s="1"/>
  <c r="U299" i="41"/>
  <c r="T33" i="14"/>
  <c r="T34" i="14" s="1"/>
  <c r="T1546" i="11" s="1"/>
  <c r="T1547" i="11" s="1"/>
  <c r="T60" i="14"/>
  <c r="V33" i="14"/>
  <c r="V34" i="14" s="1"/>
  <c r="V60" i="14"/>
  <c r="R74" i="41"/>
  <c r="R76" i="41"/>
  <c r="S115" i="41"/>
  <c r="S117" i="41"/>
  <c r="S118" i="41" s="1"/>
  <c r="I152" i="14"/>
  <c r="I150" i="14"/>
  <c r="S76" i="41"/>
  <c r="S77" i="41" s="1"/>
  <c r="U271" i="48"/>
  <c r="U63" i="41"/>
  <c r="S40" i="14"/>
  <c r="T63" i="41"/>
  <c r="T267" i="41"/>
  <c r="T268" i="41" s="1"/>
  <c r="T275" i="41" s="1"/>
  <c r="T276" i="41" s="1"/>
  <c r="I143" i="48"/>
  <c r="U156" i="48"/>
  <c r="U267" i="41"/>
  <c r="I334" i="14"/>
  <c r="S272" i="41"/>
  <c r="S276" i="41" s="1"/>
  <c r="U104" i="41"/>
  <c r="T104" i="41"/>
  <c r="U227" i="41"/>
  <c r="U234" i="41" s="1"/>
  <c r="U235" i="41" s="1"/>
  <c r="T227" i="41"/>
  <c r="T234" i="41" s="1"/>
  <c r="T235" i="41" s="1"/>
  <c r="T460" i="48"/>
  <c r="S294" i="41"/>
  <c r="T296" i="41"/>
  <c r="U304" i="41"/>
  <c r="U306" i="41" s="1"/>
  <c r="U301" i="41"/>
  <c r="U341" i="41"/>
  <c r="U461" i="48"/>
  <c r="T299" i="41"/>
  <c r="V460" i="48"/>
  <c r="U294" i="41"/>
  <c r="T461" i="48"/>
  <c r="S299" i="41"/>
  <c r="I487" i="48"/>
  <c r="S347" i="48"/>
  <c r="S362" i="48" s="1"/>
  <c r="V314" i="14"/>
  <c r="V319" i="14" s="1"/>
  <c r="R77" i="24"/>
  <c r="R77" i="25" s="1"/>
  <c r="R80" i="25" s="1"/>
  <c r="I304" i="48"/>
  <c r="I120" i="48"/>
  <c r="U494" i="48"/>
  <c r="R309" i="41"/>
  <c r="R316" i="41" s="1"/>
  <c r="V488" i="48"/>
  <c r="V491" i="48" s="1"/>
  <c r="U102" i="48"/>
  <c r="U104" i="48" s="1"/>
  <c r="U105" i="48" s="1"/>
  <c r="U111" i="48" s="1"/>
  <c r="S386" i="14"/>
  <c r="U518" i="14"/>
  <c r="I518" i="14" s="1"/>
  <c r="I512" i="14"/>
  <c r="S81" i="48"/>
  <c r="S496" i="48" s="1"/>
  <c r="S497" i="48" s="1"/>
  <c r="S502" i="48" s="1"/>
  <c r="I173" i="14"/>
  <c r="I515" i="14"/>
  <c r="I327" i="48"/>
  <c r="I357" i="14"/>
  <c r="O107" i="40"/>
  <c r="N20" i="49"/>
  <c r="I73" i="48"/>
  <c r="R466" i="14"/>
  <c r="R469" i="14" s="1"/>
  <c r="R479" i="14" s="1"/>
  <c r="R350" i="48"/>
  <c r="R353" i="48" s="1"/>
  <c r="U460" i="48"/>
  <c r="O3" i="49"/>
  <c r="U360" i="14"/>
  <c r="U365" i="14" s="1"/>
  <c r="U520" i="14"/>
  <c r="U333" i="48"/>
  <c r="U335" i="48" s="1"/>
  <c r="U336" i="48" s="1"/>
  <c r="U341" i="48" s="1"/>
  <c r="U340" i="48"/>
  <c r="T289" i="48"/>
  <c r="I289" i="48" s="1"/>
  <c r="I287" i="48"/>
  <c r="S290" i="48"/>
  <c r="S319" i="14"/>
  <c r="L28" i="46"/>
  <c r="L22" i="49"/>
  <c r="K19" i="46"/>
  <c r="R380" i="14"/>
  <c r="R382" i="14" s="1"/>
  <c r="R383" i="14" s="1"/>
  <c r="R388" i="14" s="1"/>
  <c r="I485" i="14"/>
  <c r="V461" i="48"/>
  <c r="S471" i="48"/>
  <c r="S473" i="48" s="1"/>
  <c r="K80" i="40"/>
  <c r="K111" i="40" s="1"/>
  <c r="K24" i="49" s="1"/>
  <c r="Q469" i="14"/>
  <c r="T462" i="14"/>
  <c r="T45" i="15" s="1"/>
  <c r="T346" i="48"/>
  <c r="T347" i="48" s="1"/>
  <c r="J16" i="46"/>
  <c r="J81" i="40"/>
  <c r="J6" i="49" s="1"/>
  <c r="Q77" i="24"/>
  <c r="Q106" i="15"/>
  <c r="P472" i="14"/>
  <c r="P474" i="14" s="1"/>
  <c r="P475" i="14" s="1"/>
  <c r="P480" i="14" s="1"/>
  <c r="P479" i="14"/>
  <c r="V255" i="48"/>
  <c r="V270" i="48" s="1"/>
  <c r="U31" i="48"/>
  <c r="U33" i="48" s="1"/>
  <c r="U34" i="48" s="1"/>
  <c r="U40" i="48" s="1"/>
  <c r="U39" i="48"/>
  <c r="R272" i="48"/>
  <c r="S433" i="48"/>
  <c r="R479" i="48"/>
  <c r="U79" i="48"/>
  <c r="U86" i="48"/>
  <c r="I76" i="48"/>
  <c r="T152" i="48"/>
  <c r="T157" i="48" s="1"/>
  <c r="U288" i="14"/>
  <c r="U290" i="14" s="1"/>
  <c r="U291" i="14" s="1"/>
  <c r="U296" i="14" s="1"/>
  <c r="U295" i="14"/>
  <c r="S442" i="48"/>
  <c r="S445" i="48" s="1"/>
  <c r="S454" i="48"/>
  <c r="U266" i="48"/>
  <c r="U267" i="48" s="1"/>
  <c r="U272" i="48" s="1"/>
  <c r="U387" i="48"/>
  <c r="T288" i="14"/>
  <c r="T290" i="14" s="1"/>
  <c r="T291" i="14" s="1"/>
  <c r="T296" i="14" s="1"/>
  <c r="T295" i="14"/>
  <c r="Q358" i="48"/>
  <c r="Q359" i="48" s="1"/>
  <c r="Q364" i="48" s="1"/>
  <c r="U488" i="14"/>
  <c r="V333" i="48"/>
  <c r="V340" i="48"/>
  <c r="I330" i="48"/>
  <c r="R455" i="48"/>
  <c r="R448" i="48"/>
  <c r="V488" i="14"/>
  <c r="V464" i="48" s="1"/>
  <c r="U151" i="48"/>
  <c r="V197" i="48"/>
  <c r="I197" i="48" s="1"/>
  <c r="I195" i="48"/>
  <c r="V402" i="48"/>
  <c r="V409" i="48"/>
  <c r="I399" i="48"/>
  <c r="N27" i="46"/>
  <c r="V133" i="48"/>
  <c r="V126" i="48"/>
  <c r="I123" i="48"/>
  <c r="V109" i="48"/>
  <c r="V99" i="48"/>
  <c r="I96" i="48"/>
  <c r="V220" i="48"/>
  <c r="I220" i="48" s="1"/>
  <c r="I218" i="48"/>
  <c r="Q450" i="48"/>
  <c r="Q451" i="48" s="1"/>
  <c r="Q456" i="48" s="1"/>
  <c r="V317" i="48"/>
  <c r="V310" i="48"/>
  <c r="I307" i="48"/>
  <c r="V39" i="48"/>
  <c r="V31" i="48"/>
  <c r="I28" i="48"/>
  <c r="N364" i="48"/>
  <c r="V376" i="48"/>
  <c r="I373" i="48"/>
  <c r="V294" i="14"/>
  <c r="V282" i="14"/>
  <c r="V285" i="14" s="1"/>
  <c r="U271" i="41" s="1"/>
  <c r="U272" i="41" s="1"/>
  <c r="P358" i="48"/>
  <c r="P359" i="48" s="1"/>
  <c r="V370" i="14"/>
  <c r="V371" i="14" s="1"/>
  <c r="V374" i="14" s="1"/>
  <c r="V377" i="14" s="1"/>
  <c r="T488" i="14"/>
  <c r="T464" i="48" s="1"/>
  <c r="U370" i="14"/>
  <c r="V149" i="48"/>
  <c r="V156" i="48"/>
  <c r="I146" i="48"/>
  <c r="V82" i="48"/>
  <c r="V87" i="48" s="1"/>
  <c r="V63" i="48"/>
  <c r="I58" i="48"/>
  <c r="V400" i="14"/>
  <c r="I397" i="14"/>
  <c r="P450" i="48"/>
  <c r="P451" i="48" s="1"/>
  <c r="I279" i="14"/>
  <c r="V425" i="48"/>
  <c r="V432" i="48"/>
  <c r="I422" i="48"/>
  <c r="I461" i="14"/>
  <c r="K186" i="41"/>
  <c r="T386" i="14"/>
  <c r="T374" i="14"/>
  <c r="T377" i="14" s="1"/>
  <c r="S377" i="14"/>
  <c r="S466" i="14"/>
  <c r="V105" i="14"/>
  <c r="I105" i="14" s="1"/>
  <c r="I103" i="14"/>
  <c r="V360" i="14"/>
  <c r="I359" i="14"/>
  <c r="T486" i="14"/>
  <c r="P222" i="14"/>
  <c r="P227" i="14" s="1"/>
  <c r="V244" i="14"/>
  <c r="I242" i="14"/>
  <c r="V176" i="14"/>
  <c r="V181" i="14" s="1"/>
  <c r="R225" i="14"/>
  <c r="R213" i="14"/>
  <c r="O221" i="14"/>
  <c r="Q216" i="14"/>
  <c r="P189" i="41" s="1"/>
  <c r="P190" i="41" s="1"/>
  <c r="M227" i="14"/>
  <c r="S210" i="14"/>
  <c r="I128" i="14"/>
  <c r="U129" i="14"/>
  <c r="U135" i="14" s="1"/>
  <c r="I126" i="14"/>
  <c r="S502" i="14"/>
  <c r="R312" i="41"/>
  <c r="R313" i="41" s="1"/>
  <c r="R502" i="14"/>
  <c r="R495" i="14"/>
  <c r="R497" i="14" s="1"/>
  <c r="O322" i="41"/>
  <c r="O320" i="41"/>
  <c r="P322" i="41"/>
  <c r="Q313" i="41"/>
  <c r="Q317" i="41" s="1"/>
  <c r="Q320" i="41" s="1"/>
  <c r="U486" i="14"/>
  <c r="I153" i="14"/>
  <c r="V486" i="14"/>
  <c r="I484" i="14"/>
  <c r="K97" i="23"/>
  <c r="K99" i="23" s="1"/>
  <c r="U176" i="14"/>
  <c r="U181" i="14" s="1"/>
  <c r="U31" i="14"/>
  <c r="U60" i="14" s="1"/>
  <c r="I28" i="14"/>
  <c r="V451" i="14"/>
  <c r="I449" i="14"/>
  <c r="V337" i="14"/>
  <c r="I336" i="14"/>
  <c r="V129" i="14"/>
  <c r="V135" i="14" s="1"/>
  <c r="I175" i="14"/>
  <c r="V428" i="14"/>
  <c r="I426" i="14"/>
  <c r="K193" i="41" l="1"/>
  <c r="K194" i="41" s="1"/>
  <c r="K197" i="41" s="1"/>
  <c r="K199" i="41" s="1"/>
  <c r="T111" i="41"/>
  <c r="T112" i="41" s="1"/>
  <c r="U111" i="41"/>
  <c r="U112" i="41" s="1"/>
  <c r="U115" i="41" s="1"/>
  <c r="T70" i="41"/>
  <c r="T71" i="41" s="1"/>
  <c r="U70" i="41"/>
  <c r="U71" i="41" s="1"/>
  <c r="U74" i="41" s="1"/>
  <c r="I314" i="14"/>
  <c r="U268" i="41"/>
  <c r="U275" i="41" s="1"/>
  <c r="U276" i="41" s="1"/>
  <c r="U279" i="41" s="1"/>
  <c r="T40" i="14"/>
  <c r="V40" i="14"/>
  <c r="U462" i="48"/>
  <c r="U477" i="48" s="1"/>
  <c r="T279" i="41"/>
  <c r="T281" i="41"/>
  <c r="T282" i="41" s="1"/>
  <c r="S279" i="41"/>
  <c r="S281" i="41"/>
  <c r="S282" i="41" s="1"/>
  <c r="S350" i="48"/>
  <c r="S353" i="48" s="1"/>
  <c r="S363" i="48" s="1"/>
  <c r="N15" i="49"/>
  <c r="T462" i="48"/>
  <c r="T477" i="48" s="1"/>
  <c r="T238" i="41"/>
  <c r="T240" i="41"/>
  <c r="T241" i="41" s="1"/>
  <c r="U238" i="41"/>
  <c r="U240" i="41"/>
  <c r="U241" i="41" s="1"/>
  <c r="T301" i="41"/>
  <c r="T304" i="41"/>
  <c r="T306" i="41" s="1"/>
  <c r="T341" i="41"/>
  <c r="U296" i="41"/>
  <c r="U308" i="41" s="1"/>
  <c r="U346" i="41"/>
  <c r="U348" i="41" s="1"/>
  <c r="U343" i="41"/>
  <c r="S296" i="41"/>
  <c r="S304" i="41"/>
  <c r="S306" i="41" s="1"/>
  <c r="S301" i="41"/>
  <c r="S341" i="41"/>
  <c r="V462" i="48"/>
  <c r="V477" i="48" s="1"/>
  <c r="L80" i="40"/>
  <c r="L16" i="46" s="1"/>
  <c r="I488" i="48"/>
  <c r="R80" i="24"/>
  <c r="U521" i="14"/>
  <c r="U526" i="14" s="1"/>
  <c r="R317" i="41"/>
  <c r="R320" i="41" s="1"/>
  <c r="S1250" i="43"/>
  <c r="S1252" i="43" s="1"/>
  <c r="S1463" i="11"/>
  <c r="S1465" i="11" s="1"/>
  <c r="S103" i="15" s="1"/>
  <c r="S77" i="24" s="1"/>
  <c r="S77" i="25" s="1"/>
  <c r="S80" i="25" s="1"/>
  <c r="S82" i="48"/>
  <c r="S87" i="48" s="1"/>
  <c r="S19" i="25"/>
  <c r="V258" i="48"/>
  <c r="V261" i="48" s="1"/>
  <c r="R472" i="14"/>
  <c r="R474" i="14" s="1"/>
  <c r="R475" i="14" s="1"/>
  <c r="R480" i="14" s="1"/>
  <c r="V198" i="48"/>
  <c r="V203" i="48" s="1"/>
  <c r="I255" i="48"/>
  <c r="I460" i="48"/>
  <c r="S295" i="48"/>
  <c r="T290" i="48"/>
  <c r="T496" i="48"/>
  <c r="T497" i="48" s="1"/>
  <c r="T502" i="48" s="1"/>
  <c r="M28" i="46"/>
  <c r="M22" i="49"/>
  <c r="T438" i="48"/>
  <c r="T439" i="48" s="1"/>
  <c r="T454" i="48" s="1"/>
  <c r="I488" i="14"/>
  <c r="U464" i="48"/>
  <c r="S474" i="48"/>
  <c r="S479" i="48" s="1"/>
  <c r="I461" i="48"/>
  <c r="U462" i="14"/>
  <c r="U346" i="48"/>
  <c r="U347" i="48" s="1"/>
  <c r="U371" i="14"/>
  <c r="U374" i="14" s="1"/>
  <c r="U377" i="14" s="1"/>
  <c r="U380" i="14" s="1"/>
  <c r="U382" i="14" s="1"/>
  <c r="U383" i="14" s="1"/>
  <c r="U388" i="14" s="1"/>
  <c r="Q472" i="14"/>
  <c r="Q474" i="14" s="1"/>
  <c r="Q475" i="14" s="1"/>
  <c r="Q480" i="14" s="1"/>
  <c r="Q479" i="14"/>
  <c r="K81" i="40"/>
  <c r="K6" i="49" s="1"/>
  <c r="K16" i="46"/>
  <c r="I370" i="14"/>
  <c r="V462" i="14"/>
  <c r="V45" i="15" s="1"/>
  <c r="V346" i="48"/>
  <c r="V438" i="48" s="1"/>
  <c r="Q77" i="25"/>
  <c r="Q80" i="25" s="1"/>
  <c r="Q80" i="24"/>
  <c r="T463" i="14"/>
  <c r="V221" i="48"/>
  <c r="V226" i="48" s="1"/>
  <c r="P364" i="48"/>
  <c r="V151" i="48"/>
  <c r="V152" i="48" s="1"/>
  <c r="I149" i="48"/>
  <c r="V427" i="48"/>
  <c r="I427" i="48" s="1"/>
  <c r="I425" i="48"/>
  <c r="V386" i="48"/>
  <c r="V379" i="48"/>
  <c r="I376" i="48"/>
  <c r="R450" i="48"/>
  <c r="R451" i="48" s="1"/>
  <c r="R456" i="48" s="1"/>
  <c r="V33" i="48"/>
  <c r="I33" i="48" s="1"/>
  <c r="I31" i="48"/>
  <c r="V288" i="14"/>
  <c r="V295" i="14"/>
  <c r="I285" i="14"/>
  <c r="I282" i="14"/>
  <c r="U489" i="14"/>
  <c r="U492" i="14" s="1"/>
  <c r="T312" i="41" s="1"/>
  <c r="P456" i="48"/>
  <c r="T489" i="14"/>
  <c r="V404" i="48"/>
  <c r="I404" i="48" s="1"/>
  <c r="I402" i="48"/>
  <c r="V312" i="48"/>
  <c r="I312" i="48" s="1"/>
  <c r="I310" i="48"/>
  <c r="U152" i="48"/>
  <c r="U157" i="48" s="1"/>
  <c r="S448" i="48"/>
  <c r="S455" i="48"/>
  <c r="V335" i="48"/>
  <c r="I333" i="48"/>
  <c r="V128" i="48"/>
  <c r="I128" i="48" s="1"/>
  <c r="I126" i="48"/>
  <c r="T350" i="48"/>
  <c r="T353" i="48" s="1"/>
  <c r="T362" i="48"/>
  <c r="U81" i="48"/>
  <c r="U82" i="48" s="1"/>
  <c r="I79" i="48"/>
  <c r="R356" i="48"/>
  <c r="R363" i="48"/>
  <c r="V410" i="14"/>
  <c r="I400" i="14"/>
  <c r="V403" i="14"/>
  <c r="V102" i="48"/>
  <c r="V110" i="48"/>
  <c r="I99" i="48"/>
  <c r="V501" i="48"/>
  <c r="V494" i="48"/>
  <c r="I491" i="48"/>
  <c r="V386" i="14"/>
  <c r="O181" i="41"/>
  <c r="O183" i="41" s="1"/>
  <c r="O178" i="41"/>
  <c r="L181" i="41"/>
  <c r="L183" i="41" s="1"/>
  <c r="L178" i="41"/>
  <c r="M80" i="40"/>
  <c r="M111" i="40" s="1"/>
  <c r="M24" i="49" s="1"/>
  <c r="S469" i="14"/>
  <c r="V380" i="14"/>
  <c r="V382" i="14" s="1"/>
  <c r="V387" i="14"/>
  <c r="T380" i="14"/>
  <c r="T382" i="14" s="1"/>
  <c r="T383" i="14" s="1"/>
  <c r="T388" i="14" s="1"/>
  <c r="T387" i="14"/>
  <c r="S380" i="14"/>
  <c r="S387" i="14"/>
  <c r="V106" i="14"/>
  <c r="V111" i="14" s="1"/>
  <c r="T501" i="14"/>
  <c r="I244" i="14"/>
  <c r="V520" i="14"/>
  <c r="V365" i="14"/>
  <c r="I360" i="14"/>
  <c r="O222" i="14"/>
  <c r="O227" i="14" s="1"/>
  <c r="V245" i="14"/>
  <c r="V250" i="14" s="1"/>
  <c r="R216" i="14"/>
  <c r="Q189" i="41" s="1"/>
  <c r="Q190" i="41" s="1"/>
  <c r="L88" i="40"/>
  <c r="Q219" i="14"/>
  <c r="Q226" i="14"/>
  <c r="U210" i="14"/>
  <c r="S225" i="14"/>
  <c r="S213" i="14"/>
  <c r="R498" i="14"/>
  <c r="R503" i="14" s="1"/>
  <c r="Q322" i="41"/>
  <c r="U501" i="14"/>
  <c r="V501" i="14"/>
  <c r="V489" i="14"/>
  <c r="V492" i="14" s="1"/>
  <c r="U312" i="41" s="1"/>
  <c r="I486" i="14"/>
  <c r="J38" i="19"/>
  <c r="J47" i="19" s="1"/>
  <c r="J48" i="19" s="1"/>
  <c r="K98" i="23"/>
  <c r="K101" i="23"/>
  <c r="K102" i="23"/>
  <c r="U91" i="23"/>
  <c r="I176" i="14"/>
  <c r="I129" i="14"/>
  <c r="V452" i="14"/>
  <c r="I451" i="14"/>
  <c r="V342" i="14"/>
  <c r="I337" i="14"/>
  <c r="V429" i="14"/>
  <c r="I428" i="14"/>
  <c r="U33" i="14"/>
  <c r="I31" i="14"/>
  <c r="L69" i="23"/>
  <c r="L71" i="23" s="1"/>
  <c r="U463" i="14" l="1"/>
  <c r="U466" i="14" s="1"/>
  <c r="U469" i="14" s="1"/>
  <c r="U472" i="14" s="1"/>
  <c r="U474" i="14" s="1"/>
  <c r="U475" i="14" s="1"/>
  <c r="U480" i="14" s="1"/>
  <c r="U45" i="15"/>
  <c r="U1250" i="43" s="1"/>
  <c r="U1252" i="43" s="1"/>
  <c r="H247" i="41"/>
  <c r="D147" i="40" s="1"/>
  <c r="T76" i="41"/>
  <c r="T77" i="41" s="1"/>
  <c r="T78" i="41" s="1"/>
  <c r="T79" i="41" s="1"/>
  <c r="T74" i="41"/>
  <c r="H83" i="41" s="1"/>
  <c r="D143" i="40" s="1"/>
  <c r="U76" i="41"/>
  <c r="U77" i="41" s="1"/>
  <c r="T117" i="41"/>
  <c r="T118" i="41" s="1"/>
  <c r="T119" i="41" s="1"/>
  <c r="T120" i="41" s="1"/>
  <c r="U117" i="41"/>
  <c r="U118" i="41" s="1"/>
  <c r="T115" i="41"/>
  <c r="H124" i="41" s="1"/>
  <c r="D144" i="40" s="1"/>
  <c r="J49" i="19"/>
  <c r="U281" i="41"/>
  <c r="U282" i="41" s="1"/>
  <c r="U283" i="41" s="1"/>
  <c r="U284" i="41" s="1"/>
  <c r="L81" i="40"/>
  <c r="L6" i="49" s="1"/>
  <c r="T308" i="41"/>
  <c r="U309" i="41" s="1"/>
  <c r="U316" i="41" s="1"/>
  <c r="T283" i="41"/>
  <c r="T284" i="41" s="1"/>
  <c r="V1546" i="11"/>
  <c r="V1547" i="11" s="1"/>
  <c r="L111" i="40"/>
  <c r="L24" i="49" s="1"/>
  <c r="S356" i="48"/>
  <c r="S358" i="48" s="1"/>
  <c r="S359" i="48" s="1"/>
  <c r="S364" i="48" s="1"/>
  <c r="T465" i="48"/>
  <c r="T468" i="48" s="1"/>
  <c r="T478" i="48" s="1"/>
  <c r="U242" i="41"/>
  <c r="U243" i="41" s="1"/>
  <c r="T242" i="41"/>
  <c r="T243" i="41" s="1"/>
  <c r="S346" i="41"/>
  <c r="S348" i="41" s="1"/>
  <c r="S343" i="41"/>
  <c r="I462" i="48"/>
  <c r="T313" i="41"/>
  <c r="V465" i="48"/>
  <c r="V468" i="48" s="1"/>
  <c r="T343" i="41"/>
  <c r="T346" i="41"/>
  <c r="T348" i="41" s="1"/>
  <c r="S308" i="41"/>
  <c r="U313" i="41"/>
  <c r="R322" i="41"/>
  <c r="I221" i="48"/>
  <c r="I198" i="48"/>
  <c r="S80" i="24"/>
  <c r="I258" i="48"/>
  <c r="U502" i="14"/>
  <c r="S106" i="15"/>
  <c r="U387" i="14"/>
  <c r="I377" i="14"/>
  <c r="T295" i="48"/>
  <c r="I290" i="48"/>
  <c r="N28" i="46"/>
  <c r="F37" i="46" s="1"/>
  <c r="L19" i="46"/>
  <c r="U386" i="14"/>
  <c r="I371" i="14"/>
  <c r="U438" i="48"/>
  <c r="U439" i="48" s="1"/>
  <c r="U454" i="48" s="1"/>
  <c r="T442" i="48"/>
  <c r="T445" i="48" s="1"/>
  <c r="T455" i="48" s="1"/>
  <c r="I374" i="14"/>
  <c r="U465" i="48"/>
  <c r="U468" i="48" s="1"/>
  <c r="I464" i="48"/>
  <c r="V463" i="14"/>
  <c r="V347" i="48"/>
  <c r="I347" i="48" s="1"/>
  <c r="I346" i="48"/>
  <c r="T19" i="24"/>
  <c r="T19" i="25"/>
  <c r="T1463" i="11"/>
  <c r="T1465" i="11" s="1"/>
  <c r="T103" i="15" s="1"/>
  <c r="T77" i="24" s="1"/>
  <c r="T1250" i="43"/>
  <c r="T1252" i="43" s="1"/>
  <c r="T478" i="14"/>
  <c r="T466" i="14"/>
  <c r="I462" i="14"/>
  <c r="V129" i="48"/>
  <c r="V134" i="48" s="1"/>
  <c r="I335" i="48"/>
  <c r="V496" i="48"/>
  <c r="V497" i="48" s="1"/>
  <c r="V502" i="48" s="1"/>
  <c r="I494" i="48"/>
  <c r="V428" i="48"/>
  <c r="V271" i="48"/>
  <c r="V264" i="48"/>
  <c r="I261" i="48"/>
  <c r="V405" i="48"/>
  <c r="V34" i="48"/>
  <c r="I151" i="48"/>
  <c r="U87" i="48"/>
  <c r="I82" i="48"/>
  <c r="U495" i="14"/>
  <c r="U497" i="14" s="1"/>
  <c r="U498" i="14" s="1"/>
  <c r="U503" i="14" s="1"/>
  <c r="T363" i="48"/>
  <c r="T356" i="48"/>
  <c r="I403" i="14"/>
  <c r="V405" i="14"/>
  <c r="I405" i="14" s="1"/>
  <c r="V439" i="48"/>
  <c r="U362" i="48"/>
  <c r="U350" i="48"/>
  <c r="U353" i="48" s="1"/>
  <c r="V157" i="48"/>
  <c r="I152" i="48"/>
  <c r="U496" i="48"/>
  <c r="U497" i="48" s="1"/>
  <c r="I81" i="48"/>
  <c r="V313" i="48"/>
  <c r="I288" i="14"/>
  <c r="V290" i="14"/>
  <c r="V104" i="48"/>
  <c r="I104" i="48" s="1"/>
  <c r="I102" i="48"/>
  <c r="S450" i="48"/>
  <c r="S451" i="48" s="1"/>
  <c r="S456" i="48" s="1"/>
  <c r="T492" i="14"/>
  <c r="R358" i="48"/>
  <c r="R359" i="48" s="1"/>
  <c r="V336" i="48"/>
  <c r="V381" i="48"/>
  <c r="I381" i="48" s="1"/>
  <c r="I379" i="48"/>
  <c r="M81" i="40"/>
  <c r="M6" i="49" s="1"/>
  <c r="M16" i="46"/>
  <c r="V383" i="14"/>
  <c r="V388" i="14" s="1"/>
  <c r="R219" i="14"/>
  <c r="R221" i="14" s="1"/>
  <c r="O185" i="41"/>
  <c r="N181" i="41"/>
  <c r="N183" i="41" s="1"/>
  <c r="N178" i="41"/>
  <c r="L185" i="41"/>
  <c r="S382" i="14"/>
  <c r="I380" i="14"/>
  <c r="S479" i="14"/>
  <c r="S472" i="14"/>
  <c r="I106" i="14"/>
  <c r="I520" i="14"/>
  <c r="V521" i="14"/>
  <c r="I245" i="14"/>
  <c r="R226" i="14"/>
  <c r="S216" i="14"/>
  <c r="R189" i="41" s="1"/>
  <c r="R190" i="41" s="1"/>
  <c r="M88" i="40"/>
  <c r="J1500" i="11"/>
  <c r="J81" i="15" s="1"/>
  <c r="J1285" i="43"/>
  <c r="J1291" i="43" s="1"/>
  <c r="J1292" i="43" s="1"/>
  <c r="K1290" i="43" s="1"/>
  <c r="Q221" i="14"/>
  <c r="T210" i="14"/>
  <c r="V210" i="14"/>
  <c r="I208" i="14"/>
  <c r="U225" i="14"/>
  <c r="U213" i="14"/>
  <c r="U216" i="14" s="1"/>
  <c r="T189" i="41" s="1"/>
  <c r="T190" i="41" s="1"/>
  <c r="D120" i="40"/>
  <c r="D117" i="40"/>
  <c r="J41" i="19"/>
  <c r="V502" i="14"/>
  <c r="I489" i="14"/>
  <c r="V495" i="14"/>
  <c r="V497" i="14" s="1"/>
  <c r="L73" i="23"/>
  <c r="L80" i="23" s="1"/>
  <c r="U34" i="14"/>
  <c r="U1546" i="11" s="1"/>
  <c r="U1547" i="11" s="1"/>
  <c r="I33" i="14"/>
  <c r="V457" i="14"/>
  <c r="I452" i="14"/>
  <c r="V434" i="14"/>
  <c r="I429" i="14"/>
  <c r="U478" i="14" l="1"/>
  <c r="U479" i="14"/>
  <c r="U78" i="41"/>
  <c r="U79" i="41" s="1"/>
  <c r="U119" i="41"/>
  <c r="U120" i="41" s="1"/>
  <c r="T471" i="48"/>
  <c r="T473" i="48" s="1"/>
  <c r="T474" i="48" s="1"/>
  <c r="T479" i="48" s="1"/>
  <c r="V382" i="48"/>
  <c r="V387" i="48" s="1"/>
  <c r="I45" i="15"/>
  <c r="T194" i="41"/>
  <c r="T197" i="41" s="1"/>
  <c r="U317" i="41"/>
  <c r="T309" i="41"/>
  <c r="T316" i="41" s="1"/>
  <c r="T317" i="41" s="1"/>
  <c r="S309" i="41"/>
  <c r="S316" i="41" s="1"/>
  <c r="T495" i="14"/>
  <c r="T497" i="14" s="1"/>
  <c r="I497" i="14" s="1"/>
  <c r="S312" i="41"/>
  <c r="I465" i="48"/>
  <c r="I129" i="48"/>
  <c r="U19" i="25"/>
  <c r="I438" i="48"/>
  <c r="T448" i="48"/>
  <c r="T450" i="48" s="1"/>
  <c r="T451" i="48" s="1"/>
  <c r="T456" i="48" s="1"/>
  <c r="U442" i="48"/>
  <c r="U445" i="48" s="1"/>
  <c r="U448" i="48" s="1"/>
  <c r="V105" i="48"/>
  <c r="I105" i="48" s="1"/>
  <c r="O109" i="40"/>
  <c r="N22" i="49"/>
  <c r="H288" i="41"/>
  <c r="D148" i="40" s="1"/>
  <c r="M19" i="46"/>
  <c r="U19" i="24"/>
  <c r="U1463" i="11"/>
  <c r="U1465" i="11" s="1"/>
  <c r="U103" i="15" s="1"/>
  <c r="U106" i="15" s="1"/>
  <c r="V350" i="48"/>
  <c r="I350" i="48" s="1"/>
  <c r="V362" i="48"/>
  <c r="T502" i="14"/>
  <c r="U478" i="48"/>
  <c r="U471" i="48"/>
  <c r="I492" i="14"/>
  <c r="T106" i="15"/>
  <c r="V466" i="14"/>
  <c r="V469" i="14" s="1"/>
  <c r="I463" i="14"/>
  <c r="V478" i="14"/>
  <c r="N80" i="40"/>
  <c r="N111" i="40" s="1"/>
  <c r="T469" i="14"/>
  <c r="V19" i="25"/>
  <c r="V1250" i="43"/>
  <c r="V1252" i="43" s="1"/>
  <c r="V19" i="24"/>
  <c r="V1463" i="11"/>
  <c r="V1465" i="11" s="1"/>
  <c r="V103" i="15" s="1"/>
  <c r="V341" i="48"/>
  <c r="I336" i="48"/>
  <c r="V433" i="48"/>
  <c r="I428" i="48"/>
  <c r="U502" i="48"/>
  <c r="I497" i="48"/>
  <c r="V266" i="48"/>
  <c r="I266" i="48" s="1"/>
  <c r="I264" i="48"/>
  <c r="U356" i="48"/>
  <c r="U363" i="48"/>
  <c r="V442" i="48"/>
  <c r="V454" i="48"/>
  <c r="I439" i="48"/>
  <c r="I496" i="48"/>
  <c r="V478" i="48"/>
  <c r="V471" i="48"/>
  <c r="I468" i="48"/>
  <c r="V318" i="48"/>
  <c r="I313" i="48"/>
  <c r="V40" i="48"/>
  <c r="I34" i="48"/>
  <c r="V410" i="48"/>
  <c r="I405" i="48"/>
  <c r="T358" i="48"/>
  <c r="T359" i="48" s="1"/>
  <c r="T364" i="48" s="1"/>
  <c r="V291" i="14"/>
  <c r="I290" i="14"/>
  <c r="R364" i="48"/>
  <c r="V406" i="14"/>
  <c r="S226" i="14"/>
  <c r="M186" i="41"/>
  <c r="L186" i="41"/>
  <c r="N185" i="41"/>
  <c r="S383" i="14"/>
  <c r="I382" i="14"/>
  <c r="S474" i="14"/>
  <c r="V526" i="14"/>
  <c r="I521" i="14"/>
  <c r="R222" i="14"/>
  <c r="R227" i="14" s="1"/>
  <c r="Q222" i="14"/>
  <c r="Q227" i="14" s="1"/>
  <c r="S219" i="14"/>
  <c r="S221" i="14" s="1"/>
  <c r="J1506" i="11"/>
  <c r="J1507" i="11" s="1"/>
  <c r="J109" i="15" s="1"/>
  <c r="I212" i="14"/>
  <c r="U226" i="14"/>
  <c r="U219" i="14"/>
  <c r="V225" i="14"/>
  <c r="V213" i="14"/>
  <c r="I210" i="14"/>
  <c r="T225" i="14"/>
  <c r="T213" i="14"/>
  <c r="T77" i="25"/>
  <c r="T80" i="25" s="1"/>
  <c r="T80" i="24"/>
  <c r="J55" i="24"/>
  <c r="J55" i="25"/>
  <c r="J55" i="36" s="1"/>
  <c r="L85" i="23"/>
  <c r="M72" i="23"/>
  <c r="L75" i="23"/>
  <c r="L100" i="23"/>
  <c r="V498" i="14"/>
  <c r="U40" i="14"/>
  <c r="I34" i="14"/>
  <c r="L193" i="41" l="1"/>
  <c r="L194" i="41" s="1"/>
  <c r="L197" i="41" s="1"/>
  <c r="M193" i="41"/>
  <c r="M194" i="41" s="1"/>
  <c r="M197" i="41" s="1"/>
  <c r="T498" i="14"/>
  <c r="T503" i="14" s="1"/>
  <c r="I382" i="48"/>
  <c r="I495" i="14"/>
  <c r="S313" i="41"/>
  <c r="S317" i="41" s="1"/>
  <c r="T320" i="41"/>
  <c r="U320" i="41"/>
  <c r="I19" i="25"/>
  <c r="V111" i="48"/>
  <c r="I19" i="24"/>
  <c r="U455" i="48"/>
  <c r="V353" i="48"/>
  <c r="V356" i="48" s="1"/>
  <c r="O111" i="40"/>
  <c r="N24" i="49"/>
  <c r="O24" i="49" s="1"/>
  <c r="U77" i="24"/>
  <c r="U77" i="25" s="1"/>
  <c r="U80" i="25" s="1"/>
  <c r="I466" i="14"/>
  <c r="U473" i="48"/>
  <c r="U474" i="48" s="1"/>
  <c r="U479" i="48" s="1"/>
  <c r="T472" i="14"/>
  <c r="T479" i="14"/>
  <c r="I469" i="14"/>
  <c r="N16" i="46"/>
  <c r="F34" i="46" s="1"/>
  <c r="N81" i="40"/>
  <c r="N6" i="49" s="1"/>
  <c r="V472" i="14"/>
  <c r="V479" i="14"/>
  <c r="V77" i="24"/>
  <c r="V106" i="15"/>
  <c r="V296" i="14"/>
  <c r="I291" i="14"/>
  <c r="V473" i="48"/>
  <c r="V474" i="48" s="1"/>
  <c r="I471" i="48"/>
  <c r="U358" i="48"/>
  <c r="U359" i="48" s="1"/>
  <c r="U364" i="48" s="1"/>
  <c r="V411" i="14"/>
  <c r="I406" i="14"/>
  <c r="V267" i="48"/>
  <c r="V445" i="48"/>
  <c r="I442" i="48"/>
  <c r="U450" i="48"/>
  <c r="U451" i="48" s="1"/>
  <c r="U456" i="48" s="1"/>
  <c r="K1505" i="11"/>
  <c r="P181" i="41"/>
  <c r="P183" i="41" s="1"/>
  <c r="P178" i="41"/>
  <c r="Q181" i="41"/>
  <c r="Q183" i="41" s="1"/>
  <c r="Q178" i="41"/>
  <c r="N186" i="41"/>
  <c r="O186" i="41"/>
  <c r="S475" i="14"/>
  <c r="S388" i="14"/>
  <c r="I383" i="14"/>
  <c r="S222" i="14"/>
  <c r="S227" i="14" s="1"/>
  <c r="T216" i="14"/>
  <c r="S189" i="41" s="1"/>
  <c r="S190" i="41" s="1"/>
  <c r="N88" i="40"/>
  <c r="V216" i="14"/>
  <c r="U189" i="41" s="1"/>
  <c r="U190" i="41" s="1"/>
  <c r="I213" i="14"/>
  <c r="U221" i="14"/>
  <c r="J83" i="24"/>
  <c r="L97" i="23"/>
  <c r="L99" i="23" s="1"/>
  <c r="V503" i="14"/>
  <c r="I498" i="14" l="1"/>
  <c r="L199" i="41"/>
  <c r="M199" i="41"/>
  <c r="O193" i="41"/>
  <c r="O194" i="41" s="1"/>
  <c r="O197" i="41" s="1"/>
  <c r="N193" i="41"/>
  <c r="N194" i="41" s="1"/>
  <c r="N197" i="41" s="1"/>
  <c r="U194" i="41"/>
  <c r="U197" i="41" s="1"/>
  <c r="T322" i="41"/>
  <c r="T323" i="41" s="1"/>
  <c r="U322" i="41"/>
  <c r="U323" i="41" s="1"/>
  <c r="S320" i="41"/>
  <c r="H329" i="41" s="1"/>
  <c r="S322" i="41"/>
  <c r="S323" i="41" s="1"/>
  <c r="V363" i="48"/>
  <c r="I353" i="48"/>
  <c r="N19" i="46"/>
  <c r="U80" i="24"/>
  <c r="I473" i="48"/>
  <c r="V80" i="24"/>
  <c r="V77" i="25"/>
  <c r="V80" i="25" s="1"/>
  <c r="V474" i="14"/>
  <c r="V475" i="14" s="1"/>
  <c r="V480" i="14" s="1"/>
  <c r="T474" i="14"/>
  <c r="I472" i="14"/>
  <c r="V455" i="48"/>
  <c r="V448" i="48"/>
  <c r="I445" i="48"/>
  <c r="V358" i="48"/>
  <c r="I358" i="48" s="1"/>
  <c r="I356" i="48"/>
  <c r="V272" i="48"/>
  <c r="I267" i="48"/>
  <c r="V479" i="48"/>
  <c r="I474" i="48"/>
  <c r="T226" i="14"/>
  <c r="R181" i="41"/>
  <c r="R183" i="41" s="1"/>
  <c r="R178" i="41"/>
  <c r="Q185" i="41"/>
  <c r="P185" i="41"/>
  <c r="S480" i="14"/>
  <c r="U222" i="14"/>
  <c r="U227" i="14" s="1"/>
  <c r="T219" i="14"/>
  <c r="T221" i="14" s="1"/>
  <c r="V219" i="14"/>
  <c r="V226" i="14"/>
  <c r="I216" i="14"/>
  <c r="J83" i="25"/>
  <c r="L98" i="23"/>
  <c r="L101" i="23"/>
  <c r="L102" i="23"/>
  <c r="M69" i="23"/>
  <c r="M71" i="23" s="1"/>
  <c r="N199" i="41" l="1"/>
  <c r="O199" i="41"/>
  <c r="U324" i="41"/>
  <c r="U325" i="41" s="1"/>
  <c r="T324" i="41"/>
  <c r="T325" i="41" s="1"/>
  <c r="O6" i="49"/>
  <c r="T475" i="14"/>
  <c r="I474" i="14"/>
  <c r="V359" i="48"/>
  <c r="V450" i="48"/>
  <c r="I450" i="48" s="1"/>
  <c r="I448" i="48"/>
  <c r="Q186" i="41"/>
  <c r="P186" i="41"/>
  <c r="R185" i="41"/>
  <c r="T222" i="14"/>
  <c r="T227" i="14" s="1"/>
  <c r="V221" i="14"/>
  <c r="I219" i="14"/>
  <c r="M73" i="23"/>
  <c r="M80" i="23" s="1"/>
  <c r="P193" i="41" l="1"/>
  <c r="P194" i="41" s="1"/>
  <c r="P197" i="41" s="1"/>
  <c r="Q193" i="41"/>
  <c r="Q194" i="41" s="1"/>
  <c r="Q197" i="41" s="1"/>
  <c r="R186" i="41"/>
  <c r="S186" i="41"/>
  <c r="V451" i="48"/>
  <c r="V456" i="48" s="1"/>
  <c r="T480" i="14"/>
  <c r="I475" i="14"/>
  <c r="V364" i="48"/>
  <c r="I359" i="48"/>
  <c r="I221" i="14"/>
  <c r="V222" i="14"/>
  <c r="M100" i="23"/>
  <c r="M85" i="23"/>
  <c r="M75" i="23"/>
  <c r="N72" i="23"/>
  <c r="M97" i="23"/>
  <c r="P199" i="41" l="1"/>
  <c r="Q199" i="41"/>
  <c r="S193" i="41"/>
  <c r="S194" i="41" s="1"/>
  <c r="S197" i="41" s="1"/>
  <c r="R193" i="41"/>
  <c r="R194" i="41" s="1"/>
  <c r="R197" i="41" s="1"/>
  <c r="I451" i="48"/>
  <c r="V227" i="14"/>
  <c r="I222" i="14"/>
  <c r="M99" i="23"/>
  <c r="M102" i="23" s="1"/>
  <c r="M98" i="23"/>
  <c r="R199" i="41" l="1"/>
  <c r="S199" i="41"/>
  <c r="S200" i="41" s="1"/>
  <c r="U199" i="41"/>
  <c r="U200" i="41" s="1"/>
  <c r="T199" i="41"/>
  <c r="T200" i="41" s="1"/>
  <c r="T201" i="41" s="1"/>
  <c r="T202" i="41" s="1"/>
  <c r="U201" i="41"/>
  <c r="U202" i="41" s="1"/>
  <c r="M101" i="23"/>
  <c r="N69" i="23"/>
  <c r="N71" i="23" s="1"/>
  <c r="N73" i="23" l="1"/>
  <c r="N80" i="23" s="1"/>
  <c r="H206" i="41" l="1"/>
  <c r="D145" i="40" s="1"/>
  <c r="N85" i="23"/>
  <c r="O72" i="23"/>
  <c r="N75" i="23"/>
  <c r="N100" i="23"/>
  <c r="N97" i="23"/>
  <c r="N99" i="23" l="1"/>
  <c r="N102" i="23" s="1"/>
  <c r="N98" i="23"/>
  <c r="N101" i="23" l="1"/>
  <c r="O69" i="23"/>
  <c r="O71" i="23" s="1"/>
  <c r="O73" i="23" l="1"/>
  <c r="O80" i="23" s="1"/>
  <c r="O85" i="23" l="1"/>
  <c r="P72" i="23"/>
  <c r="O75" i="23"/>
  <c r="O100" i="23"/>
  <c r="O97" i="23"/>
  <c r="M38" i="19" l="1"/>
  <c r="O99" i="23"/>
  <c r="O102" i="23" s="1"/>
  <c r="O98" i="23"/>
  <c r="G117" i="40" l="1"/>
  <c r="M41" i="19"/>
  <c r="O101" i="23"/>
  <c r="P69" i="23"/>
  <c r="P71" i="23" s="1"/>
  <c r="P73" i="23" l="1"/>
  <c r="P80" i="23" s="1"/>
  <c r="P85" i="23" l="1"/>
  <c r="P75" i="23"/>
  <c r="P100" i="23"/>
  <c r="Q72" i="23"/>
  <c r="P97" i="23"/>
  <c r="P99" i="23" l="1"/>
  <c r="P101" i="23" s="1"/>
  <c r="P98" i="23"/>
  <c r="N38" i="19" l="1"/>
  <c r="P102" i="23"/>
  <c r="Q69" i="23"/>
  <c r="Q71" i="23" s="1"/>
  <c r="H117" i="40" l="1"/>
  <c r="N41" i="19"/>
  <c r="Q73" i="23"/>
  <c r="Q80" i="23" s="1"/>
  <c r="Q100" i="23" l="1"/>
  <c r="R72" i="23"/>
  <c r="Q85" i="23"/>
  <c r="Q75" i="23"/>
  <c r="Q97" i="23"/>
  <c r="Q99" i="23" l="1"/>
  <c r="Q101" i="23" s="1"/>
  <c r="Q98" i="23"/>
  <c r="Q102" i="23" l="1"/>
  <c r="R69" i="23"/>
  <c r="R71" i="23" s="1"/>
  <c r="R73" i="23" l="1"/>
  <c r="R80" i="23" s="1"/>
  <c r="R100" i="23" l="1"/>
  <c r="S72" i="23"/>
  <c r="R75" i="23"/>
  <c r="R85" i="23"/>
  <c r="R97" i="23"/>
  <c r="R99" i="23" l="1"/>
  <c r="R102" i="23" s="1"/>
  <c r="R98" i="23"/>
  <c r="R101" i="23" l="1"/>
  <c r="S69" i="23"/>
  <c r="S71" i="23" s="1"/>
  <c r="S73" i="23" l="1"/>
  <c r="S80" i="23" s="1"/>
  <c r="S100" i="23" l="1"/>
  <c r="I100" i="23" s="1"/>
  <c r="S75" i="23"/>
  <c r="S85" i="23"/>
  <c r="T72" i="23"/>
  <c r="S97" i="23" l="1"/>
  <c r="S99" i="23" s="1"/>
  <c r="I99" i="23" s="1"/>
  <c r="F4" i="23" s="1"/>
  <c r="S98" i="23" l="1"/>
  <c r="S101" i="23"/>
  <c r="S102" i="23"/>
  <c r="T69" i="23"/>
  <c r="T71" i="23" s="1"/>
  <c r="T73" i="23" l="1"/>
  <c r="T80" i="23" s="1"/>
  <c r="T85" i="23" l="1"/>
  <c r="T100" i="23"/>
  <c r="U72" i="23"/>
  <c r="T75" i="23"/>
  <c r="T97" i="23"/>
  <c r="T99" i="23" l="1"/>
  <c r="T101" i="23" s="1"/>
  <c r="T98" i="23"/>
  <c r="U69" i="23"/>
  <c r="U71" i="23" s="1"/>
  <c r="T102" i="23" l="1"/>
  <c r="U73" i="23"/>
  <c r="U80" i="23" s="1"/>
  <c r="U85" i="23" l="1"/>
  <c r="U100" i="23"/>
  <c r="V72" i="23"/>
  <c r="U75" i="23"/>
  <c r="U97" i="23" l="1"/>
  <c r="U99" i="23" s="1"/>
  <c r="U98" i="23" l="1"/>
  <c r="U102" i="23"/>
  <c r="U101" i="23"/>
  <c r="V69" i="23"/>
  <c r="V71" i="23" s="1"/>
  <c r="V73" i="23" l="1"/>
  <c r="V75" i="23" s="1"/>
  <c r="I75" i="23" s="1"/>
  <c r="V80" i="23" l="1"/>
  <c r="V85" i="23" l="1"/>
  <c r="V100" i="23"/>
  <c r="V97" i="23"/>
  <c r="V99" i="23" l="1"/>
  <c r="V101" i="23" s="1"/>
  <c r="V98" i="23"/>
  <c r="V102" i="23" l="1"/>
  <c r="I101" i="23"/>
  <c r="I102" i="23"/>
  <c r="J101" i="23"/>
  <c r="I34" i="35" l="1"/>
  <c r="N35" i="35" l="1"/>
  <c r="N39" i="35" s="1"/>
  <c r="V35" i="35"/>
  <c r="V39" i="35" s="1"/>
  <c r="S35" i="35"/>
  <c r="S39" i="35" s="1"/>
  <c r="O35" i="35"/>
  <c r="O39" i="35" s="1"/>
  <c r="T35" i="35"/>
  <c r="T39" i="35" s="1"/>
  <c r="P35" i="35"/>
  <c r="P39" i="35" s="1"/>
  <c r="L35" i="35"/>
  <c r="L39" i="35" s="1"/>
  <c r="Q35" i="35"/>
  <c r="Q39" i="35" s="1"/>
  <c r="U35" i="35"/>
  <c r="U39" i="35" s="1"/>
  <c r="J35" i="35"/>
  <c r="J39" i="35" s="1"/>
  <c r="R35" i="35"/>
  <c r="R39" i="35" s="1"/>
  <c r="M35" i="35"/>
  <c r="M39" i="35" s="1"/>
  <c r="K35" i="35"/>
  <c r="K39" i="35" s="1"/>
  <c r="R36" i="35" l="1"/>
  <c r="T36" i="35"/>
  <c r="O36" i="35"/>
  <c r="S36" i="35"/>
  <c r="V36" i="35"/>
  <c r="M36" i="35"/>
  <c r="Q36" i="35"/>
  <c r="L36" i="35"/>
  <c r="P36" i="35"/>
  <c r="K36" i="35"/>
  <c r="U36" i="35"/>
  <c r="N36" i="35"/>
  <c r="I57" i="35"/>
  <c r="J36" i="35"/>
  <c r="I35" i="35"/>
  <c r="I38" i="35" l="1"/>
  <c r="I39" i="35"/>
  <c r="I58" i="35"/>
  <c r="I60" i="35"/>
  <c r="I56" i="35"/>
  <c r="V38" i="19" l="1"/>
  <c r="V41" i="19" s="1"/>
  <c r="I36" i="35"/>
  <c r="I33" i="35"/>
  <c r="I36" i="41" l="1"/>
  <c r="O36" i="41"/>
  <c r="K36" i="41"/>
  <c r="L36" i="41"/>
  <c r="P36" i="41"/>
  <c r="R36" i="41"/>
  <c r="S37" i="41" s="1"/>
  <c r="S38" i="41" s="1"/>
  <c r="Q36" i="41"/>
  <c r="M36" i="41"/>
  <c r="J36" i="41"/>
  <c r="N36" i="41"/>
  <c r="J37" i="41" l="1"/>
  <c r="J38" i="41" s="1"/>
  <c r="L37" i="41"/>
  <c r="L38" i="41" s="1"/>
  <c r="R37" i="41"/>
  <c r="R38" i="41" s="1"/>
  <c r="K37" i="41"/>
  <c r="K38" i="41" s="1"/>
  <c r="P37" i="41"/>
  <c r="P38" i="41" s="1"/>
  <c r="Q37" i="41"/>
  <c r="Q38" i="41" s="1"/>
  <c r="O37" i="41"/>
  <c r="O38" i="41" s="1"/>
  <c r="M37" i="41"/>
  <c r="M38" i="41" s="1"/>
  <c r="H36" i="41"/>
  <c r="N37" i="41"/>
  <c r="N38" i="41" s="1"/>
  <c r="I37" i="41" l="1"/>
  <c r="I38" i="41" l="1"/>
  <c r="J77" i="41" s="1"/>
  <c r="N77" i="41"/>
  <c r="R77" i="41" l="1"/>
  <c r="S78" i="41" s="1"/>
  <c r="S79" i="41" s="1"/>
  <c r="M77" i="41"/>
  <c r="N78" i="41" s="1"/>
  <c r="N79" i="41" s="1"/>
  <c r="K77" i="41"/>
  <c r="K78" i="41" s="1"/>
  <c r="K79" i="41" s="1"/>
  <c r="Q77" i="41"/>
  <c r="O77" i="41"/>
  <c r="O78" i="41" s="1"/>
  <c r="O79" i="41" s="1"/>
  <c r="H38" i="41"/>
  <c r="H43" i="41" s="1"/>
  <c r="E149" i="40" s="1"/>
  <c r="L77" i="41"/>
  <c r="P77" i="41"/>
  <c r="Q78" i="41" l="1"/>
  <c r="Q79" i="41" s="1"/>
  <c r="M78" i="41"/>
  <c r="M79" i="41" s="1"/>
  <c r="R78" i="41"/>
  <c r="R79" i="41" s="1"/>
  <c r="I77" i="41"/>
  <c r="J78" i="41" s="1"/>
  <c r="J79" i="41" s="1"/>
  <c r="L78" i="41"/>
  <c r="L79" i="41" s="1"/>
  <c r="L118" i="41" s="1"/>
  <c r="P78" i="41"/>
  <c r="P79" i="41" s="1"/>
  <c r="H77" i="41" l="1"/>
  <c r="I78" i="41" s="1"/>
  <c r="I79" i="41" s="1"/>
  <c r="I118" i="41" s="1"/>
  <c r="N118" i="41"/>
  <c r="K118" i="41"/>
  <c r="L119" i="41" s="1"/>
  <c r="L120" i="41" s="1"/>
  <c r="Q118" i="41"/>
  <c r="J118" i="41"/>
  <c r="O118" i="41"/>
  <c r="P118" i="41"/>
  <c r="R118" i="41"/>
  <c r="S119" i="41" s="1"/>
  <c r="S120" i="41" s="1"/>
  <c r="M118" i="41"/>
  <c r="H79" i="41" l="1"/>
  <c r="H84" i="41" s="1"/>
  <c r="E143" i="40" s="1"/>
  <c r="N119" i="41"/>
  <c r="N120" i="41" s="1"/>
  <c r="K119" i="41"/>
  <c r="K120" i="41" s="1"/>
  <c r="P119" i="41"/>
  <c r="P120" i="41" s="1"/>
  <c r="R119" i="41"/>
  <c r="R120" i="41" s="1"/>
  <c r="Q119" i="41"/>
  <c r="Q120" i="41" s="1"/>
  <c r="O119" i="41"/>
  <c r="O120" i="41" s="1"/>
  <c r="M119" i="41"/>
  <c r="M120" i="41" s="1"/>
  <c r="J119" i="41"/>
  <c r="J120" i="41" s="1"/>
  <c r="H118" i="41"/>
  <c r="I119" i="41" l="1"/>
  <c r="I120" i="41" l="1"/>
  <c r="H120" i="41" s="1"/>
  <c r="H125" i="41" s="1"/>
  <c r="E144" i="40" s="1"/>
  <c r="O241" i="41" l="1"/>
  <c r="J241" i="41"/>
  <c r="I241" i="41"/>
  <c r="K241" i="41"/>
  <c r="M241" i="41"/>
  <c r="Q241" i="41"/>
  <c r="R241" i="41"/>
  <c r="S242" i="41" s="1"/>
  <c r="S243" i="41" s="1"/>
  <c r="P241" i="41"/>
  <c r="Q242" i="41" l="1"/>
  <c r="Q243" i="41" s="1"/>
  <c r="R242" i="41"/>
  <c r="R243" i="41" s="1"/>
  <c r="K242" i="41"/>
  <c r="K243" i="41" s="1"/>
  <c r="P242" i="41"/>
  <c r="P243" i="41" s="1"/>
  <c r="J242" i="41"/>
  <c r="J243" i="41" s="1"/>
  <c r="L241" i="41"/>
  <c r="M242" i="41" s="1"/>
  <c r="M243" i="41" s="1"/>
  <c r="N241" i="41"/>
  <c r="O242" i="41" s="1"/>
  <c r="O243" i="41" s="1"/>
  <c r="H241" i="41" l="1"/>
  <c r="N242" i="41"/>
  <c r="N243" i="41" s="1"/>
  <c r="L242" i="41"/>
  <c r="L243" i="41" s="1"/>
  <c r="I242" i="41" l="1"/>
  <c r="I243" i="41" l="1"/>
  <c r="J282" i="41"/>
  <c r="K282" i="41"/>
  <c r="I282" i="41"/>
  <c r="L282" i="41"/>
  <c r="N282" i="41"/>
  <c r="R282" i="41"/>
  <c r="S283" i="41" s="1"/>
  <c r="S284" i="41" s="1"/>
  <c r="Q282" i="41"/>
  <c r="P282" i="41"/>
  <c r="O282" i="41"/>
  <c r="M282" i="41"/>
  <c r="P283" i="41" l="1"/>
  <c r="P284" i="41" s="1"/>
  <c r="R283" i="41"/>
  <c r="R284" i="41" s="1"/>
  <c r="N283" i="41"/>
  <c r="N284" i="41" s="1"/>
  <c r="Q283" i="41"/>
  <c r="Q284" i="41" s="1"/>
  <c r="M283" i="41"/>
  <c r="M284" i="41" s="1"/>
  <c r="O283" i="41"/>
  <c r="O284" i="41" s="1"/>
  <c r="J283" i="41"/>
  <c r="J284" i="41" s="1"/>
  <c r="L283" i="41"/>
  <c r="L284" i="41" s="1"/>
  <c r="K283" i="41"/>
  <c r="K284" i="41" s="1"/>
  <c r="H243" i="41"/>
  <c r="H248" i="41" s="1"/>
  <c r="E147" i="40" s="1"/>
  <c r="H282" i="41" l="1"/>
  <c r="I283" i="41" l="1"/>
  <c r="I284" i="41" l="1"/>
  <c r="I323" i="41"/>
  <c r="J323" i="41"/>
  <c r="K323" i="41"/>
  <c r="M323" i="41"/>
  <c r="Q323" i="41"/>
  <c r="R323" i="41"/>
  <c r="S324" i="41" s="1"/>
  <c r="S325" i="41" s="1"/>
  <c r="P323" i="41"/>
  <c r="L323" i="41"/>
  <c r="N323" i="41"/>
  <c r="M324" i="41" l="1"/>
  <c r="M325" i="41" s="1"/>
  <c r="Q324" i="41"/>
  <c r="Q325" i="41" s="1"/>
  <c r="N324" i="41"/>
  <c r="N325" i="41" s="1"/>
  <c r="L324" i="41"/>
  <c r="L325" i="41" s="1"/>
  <c r="R324" i="41"/>
  <c r="R325" i="41" s="1"/>
  <c r="K324" i="41"/>
  <c r="K325" i="41" s="1"/>
  <c r="J324" i="41"/>
  <c r="J325" i="41" s="1"/>
  <c r="H284" i="41"/>
  <c r="H289" i="41" s="1"/>
  <c r="E148" i="40" s="1"/>
  <c r="O323" i="41"/>
  <c r="P324" i="41" s="1"/>
  <c r="P325" i="41" s="1"/>
  <c r="H323" i="41" l="1"/>
  <c r="O324" i="41"/>
  <c r="O325" i="41" s="1"/>
  <c r="I324" i="41" l="1"/>
  <c r="I325" i="41" l="1"/>
  <c r="H325" i="41" s="1"/>
  <c r="H330" i="41" s="1"/>
  <c r="O38" i="19" l="1"/>
  <c r="O41" i="19" s="1"/>
  <c r="P38" i="19"/>
  <c r="P41" i="19" s="1"/>
  <c r="Q38" i="19"/>
  <c r="K117" i="40" s="1"/>
  <c r="R38" i="19"/>
  <c r="R41" i="19" s="1"/>
  <c r="S38" i="19"/>
  <c r="M117" i="40" s="1"/>
  <c r="T38" i="19"/>
  <c r="U38" i="19"/>
  <c r="U41" i="19" s="1"/>
  <c r="I117" i="40" l="1"/>
  <c r="T41" i="19"/>
  <c r="N117" i="40"/>
  <c r="S41" i="19"/>
  <c r="Q41" i="19"/>
  <c r="J117" i="40"/>
  <c r="L117" i="40"/>
  <c r="U1230" i="11" l="1"/>
  <c r="U1226" i="11" s="1"/>
  <c r="U1236" i="11" s="1"/>
  <c r="U1266" i="11" s="1"/>
  <c r="K1230" i="11"/>
  <c r="K1226" i="11" s="1"/>
  <c r="K1236" i="11" s="1"/>
  <c r="K1266" i="11" s="1"/>
  <c r="E57" i="45" s="1"/>
  <c r="R1230" i="11"/>
  <c r="R1226" i="11" s="1"/>
  <c r="R1236" i="11" s="1"/>
  <c r="R1266" i="11" s="1"/>
  <c r="O1230" i="11"/>
  <c r="O1226" i="11" s="1"/>
  <c r="O1236" i="11" s="1"/>
  <c r="O1266" i="11" s="1"/>
  <c r="I57" i="45" s="1"/>
  <c r="L1230" i="11"/>
  <c r="L1226" i="11" s="1"/>
  <c r="L1236" i="11" s="1"/>
  <c r="L1266" i="11" s="1"/>
  <c r="F57" i="45" s="1"/>
  <c r="T1230" i="11"/>
  <c r="T1226" i="11" s="1"/>
  <c r="T1236" i="11" s="1"/>
  <c r="T1266" i="11" s="1"/>
  <c r="N57" i="45" s="1"/>
  <c r="N1230" i="11"/>
  <c r="N1226" i="11" s="1"/>
  <c r="N1236" i="11" s="1"/>
  <c r="N1266" i="11" s="1"/>
  <c r="H57" i="45" s="1"/>
  <c r="P1230" i="11"/>
  <c r="P1226" i="11" s="1"/>
  <c r="P1236" i="11" s="1"/>
  <c r="P1266" i="11" s="1"/>
  <c r="S1230" i="11"/>
  <c r="S1226" i="11" s="1"/>
  <c r="S1236" i="11" s="1"/>
  <c r="S1266" i="11" s="1"/>
  <c r="J1230" i="11"/>
  <c r="J1226" i="11" s="1"/>
  <c r="J1236" i="11" s="1"/>
  <c r="J1266" i="11" s="1"/>
  <c r="M1230" i="11"/>
  <c r="M1226" i="11" s="1"/>
  <c r="M1236" i="11" s="1"/>
  <c r="M1266" i="11" s="1"/>
  <c r="G57" i="45" s="1"/>
  <c r="V1230" i="11"/>
  <c r="V1226" i="11" s="1"/>
  <c r="V1236" i="11" s="1"/>
  <c r="V1266" i="11" s="1"/>
  <c r="F1226" i="11"/>
  <c r="G1226" i="11" s="1"/>
  <c r="Q1230" i="11"/>
  <c r="Q1226" i="11" s="1"/>
  <c r="Q1236" i="11" s="1"/>
  <c r="Q1266" i="11" s="1"/>
  <c r="E1305" i="11"/>
  <c r="G59" i="45" l="1"/>
  <c r="G188" i="45"/>
  <c r="H59" i="45"/>
  <c r="H188" i="45"/>
  <c r="N59" i="45"/>
  <c r="N188" i="45"/>
  <c r="F59" i="45"/>
  <c r="F188" i="45"/>
  <c r="I59" i="45"/>
  <c r="I188" i="45"/>
  <c r="E59" i="45"/>
  <c r="E60" i="45" s="1"/>
  <c r="E61" i="45" s="1"/>
  <c r="Q1267" i="11"/>
  <c r="K57" i="45"/>
  <c r="S1267" i="11"/>
  <c r="M57" i="45"/>
  <c r="P1267" i="11"/>
  <c r="J57" i="45"/>
  <c r="R1267" i="11"/>
  <c r="L57" i="45"/>
  <c r="O1267" i="11"/>
  <c r="I36" i="42"/>
  <c r="J1267" i="11"/>
  <c r="D36" i="42"/>
  <c r="D37" i="42" s="1"/>
  <c r="N1267" i="11"/>
  <c r="H36" i="42"/>
  <c r="L1267" i="11"/>
  <c r="F36" i="42"/>
  <c r="K1267" i="11"/>
  <c r="E36" i="42"/>
  <c r="T1267" i="11"/>
  <c r="J36" i="42"/>
  <c r="M1267" i="11"/>
  <c r="G36" i="42"/>
  <c r="F1305" i="11"/>
  <c r="E9" i="42" s="1"/>
  <c r="E12" i="42" s="1"/>
  <c r="E1311" i="11"/>
  <c r="D1316" i="11" s="1"/>
  <c r="U1281" i="11"/>
  <c r="U1287" i="11" s="1"/>
  <c r="U1297" i="11" s="1"/>
  <c r="V1281" i="11"/>
  <c r="V1287" i="11" s="1"/>
  <c r="J1281" i="11"/>
  <c r="J1287" i="11" s="1"/>
  <c r="K1281" i="11"/>
  <c r="K1287" i="11" s="1"/>
  <c r="L1281" i="11"/>
  <c r="L1287" i="11" s="1"/>
  <c r="M1281" i="11"/>
  <c r="M1287" i="11" s="1"/>
  <c r="N1281" i="11"/>
  <c r="N1287" i="11" s="1"/>
  <c r="O1281" i="11"/>
  <c r="O1287" i="11" s="1"/>
  <c r="P1281" i="11"/>
  <c r="P1287" i="11" s="1"/>
  <c r="Q1281" i="11"/>
  <c r="Q1287" i="11" s="1"/>
  <c r="R1281" i="11"/>
  <c r="R1287" i="11" s="1"/>
  <c r="S1281" i="11"/>
  <c r="S1287" i="11" s="1"/>
  <c r="T1281" i="11"/>
  <c r="T1287" i="11" s="1"/>
  <c r="F1287" i="11"/>
  <c r="F1289" i="11" s="1"/>
  <c r="I60" i="45" l="1"/>
  <c r="I61" i="45" s="1"/>
  <c r="G22" i="47"/>
  <c r="G23" i="47" s="1"/>
  <c r="F60" i="45"/>
  <c r="F61" i="45" s="1"/>
  <c r="D22" i="47"/>
  <c r="D23" i="47" s="1"/>
  <c r="N60" i="45"/>
  <c r="N61" i="45" s="1"/>
  <c r="L22" i="47"/>
  <c r="L23" i="47" s="1"/>
  <c r="H60" i="45"/>
  <c r="H61" i="45" s="1"/>
  <c r="F22" i="47"/>
  <c r="F23" i="47" s="1"/>
  <c r="G60" i="45"/>
  <c r="G61" i="45" s="1"/>
  <c r="E22" i="47"/>
  <c r="E23" i="47" s="1"/>
  <c r="I197" i="45"/>
  <c r="I194" i="45"/>
  <c r="G15" i="47" s="1"/>
  <c r="G17" i="47" s="1"/>
  <c r="U17" i="47" s="1"/>
  <c r="U18" i="47" s="1"/>
  <c r="AA18" i="47" s="1"/>
  <c r="N197" i="45"/>
  <c r="N194" i="45"/>
  <c r="G197" i="45"/>
  <c r="G194" i="45"/>
  <c r="E15" i="47" s="1"/>
  <c r="E17" i="47" s="1"/>
  <c r="S17" i="47" s="1"/>
  <c r="S18" i="47" s="1"/>
  <c r="F197" i="45"/>
  <c r="F194" i="45"/>
  <c r="D15" i="47" s="1"/>
  <c r="D17" i="47" s="1"/>
  <c r="R17" i="47" s="1"/>
  <c r="R18" i="47" s="1"/>
  <c r="H197" i="45"/>
  <c r="H194" i="45"/>
  <c r="F15" i="47" s="1"/>
  <c r="F17" i="47" s="1"/>
  <c r="T17" i="47" s="1"/>
  <c r="T18" i="47" s="1"/>
  <c r="E195" i="45"/>
  <c r="F1293" i="11"/>
  <c r="N1293" i="11" s="1"/>
  <c r="N1294" i="11" s="1"/>
  <c r="G1290" i="11"/>
  <c r="G1297" i="11" s="1"/>
  <c r="G1333" i="11" s="1"/>
  <c r="K59" i="45"/>
  <c r="K188" i="45"/>
  <c r="L59" i="45"/>
  <c r="L188" i="45"/>
  <c r="J59" i="45"/>
  <c r="J188" i="45"/>
  <c r="M59" i="45"/>
  <c r="M188" i="45"/>
  <c r="S1337" i="11"/>
  <c r="M5" i="45"/>
  <c r="K4" i="47" s="1"/>
  <c r="Y4" i="47" s="1"/>
  <c r="S1297" i="11"/>
  <c r="M7" i="45" s="1"/>
  <c r="M6" i="45" s="1"/>
  <c r="O1337" i="11"/>
  <c r="I39" i="42" s="1"/>
  <c r="O1297" i="11"/>
  <c r="I7" i="45" s="1"/>
  <c r="I6" i="45" s="1"/>
  <c r="I5" i="45"/>
  <c r="G4" i="47" s="1"/>
  <c r="U4" i="47" s="1"/>
  <c r="H5" i="45"/>
  <c r="F4" i="47" s="1"/>
  <c r="T4" i="47" s="1"/>
  <c r="N1297" i="11"/>
  <c r="H7" i="45" s="1"/>
  <c r="H6" i="45" s="1"/>
  <c r="G5" i="45"/>
  <c r="E4" i="47" s="1"/>
  <c r="S4" i="47" s="1"/>
  <c r="M1297" i="11"/>
  <c r="G7" i="45" s="1"/>
  <c r="G6" i="45" s="1"/>
  <c r="L1337" i="11"/>
  <c r="F39" i="42" s="1"/>
  <c r="F5" i="45"/>
  <c r="D4" i="47" s="1"/>
  <c r="R4" i="47" s="1"/>
  <c r="L1297" i="11"/>
  <c r="F7" i="45" s="1"/>
  <c r="F6" i="45" s="1"/>
  <c r="J1337" i="11"/>
  <c r="D39" i="42" s="1"/>
  <c r="J1297" i="11"/>
  <c r="J1338" i="11" s="1"/>
  <c r="D42" i="42" s="1"/>
  <c r="Q1337" i="11"/>
  <c r="Q1297" i="11"/>
  <c r="K7" i="45" s="1"/>
  <c r="K6" i="45" s="1"/>
  <c r="K5" i="45"/>
  <c r="I4" i="47" s="1"/>
  <c r="W4" i="47" s="1"/>
  <c r="R1337" i="11"/>
  <c r="L5" i="45"/>
  <c r="J4" i="47" s="1"/>
  <c r="X4" i="47" s="1"/>
  <c r="R1297" i="11"/>
  <c r="L7" i="45" s="1"/>
  <c r="L6" i="45" s="1"/>
  <c r="P1337" i="11"/>
  <c r="P1297" i="11"/>
  <c r="J7" i="45" s="1"/>
  <c r="J6" i="45" s="1"/>
  <c r="J5" i="45"/>
  <c r="H4" i="47" s="1"/>
  <c r="V4" i="47" s="1"/>
  <c r="K1297" i="11"/>
  <c r="E7" i="45" s="1"/>
  <c r="E6" i="45" s="1"/>
  <c r="E19" i="45" s="1"/>
  <c r="E5" i="45"/>
  <c r="C4" i="47" s="1"/>
  <c r="Q4" i="47" s="1"/>
  <c r="Q6" i="47" s="1"/>
  <c r="V1337" i="11"/>
  <c r="V1297" i="11"/>
  <c r="V1338" i="11" s="1"/>
  <c r="T1337" i="11"/>
  <c r="J39" i="42" s="1"/>
  <c r="N5" i="45"/>
  <c r="L4" i="47" s="1"/>
  <c r="Z4" i="47" s="1"/>
  <c r="T1297" i="11"/>
  <c r="N7" i="45" s="1"/>
  <c r="N6" i="45" s="1"/>
  <c r="G37" i="42"/>
  <c r="G38" i="42"/>
  <c r="J38" i="42"/>
  <c r="J37" i="42"/>
  <c r="K36" i="42"/>
  <c r="E37" i="42"/>
  <c r="E38" i="42"/>
  <c r="F37" i="42"/>
  <c r="F38" i="42"/>
  <c r="H38" i="42"/>
  <c r="H37" i="42"/>
  <c r="I38" i="42"/>
  <c r="I37" i="42"/>
  <c r="E1313" i="11"/>
  <c r="F1311" i="11"/>
  <c r="J1305" i="11"/>
  <c r="J1311" i="11" s="1"/>
  <c r="J1437" i="11" s="1"/>
  <c r="K1305" i="11"/>
  <c r="K1311" i="11" s="1"/>
  <c r="L1305" i="11"/>
  <c r="L1311" i="11" s="1"/>
  <c r="M1305" i="11"/>
  <c r="M1311" i="11" s="1"/>
  <c r="N1305" i="11"/>
  <c r="N1311" i="11" s="1"/>
  <c r="O1305" i="11"/>
  <c r="O1311" i="11" s="1"/>
  <c r="P1305" i="11"/>
  <c r="P1311" i="11" s="1"/>
  <c r="Q1305" i="11"/>
  <c r="Q1311" i="11" s="1"/>
  <c r="R1305" i="11"/>
  <c r="R1311" i="11" s="1"/>
  <c r="S1305" i="11"/>
  <c r="S1311" i="11" s="1"/>
  <c r="U1305" i="11"/>
  <c r="U1311" i="11" s="1"/>
  <c r="T1305" i="11"/>
  <c r="T1311" i="11" s="1"/>
  <c r="V1305" i="11"/>
  <c r="V1311" i="11" s="1"/>
  <c r="K1337" i="11"/>
  <c r="E39" i="42" s="1"/>
  <c r="M1337" i="11"/>
  <c r="G39" i="42" s="1"/>
  <c r="N1337" i="11"/>
  <c r="H39" i="42" s="1"/>
  <c r="U1338" i="11"/>
  <c r="U1337" i="11"/>
  <c r="M1293" i="11"/>
  <c r="M1294" i="11" s="1"/>
  <c r="K1293" i="11"/>
  <c r="K1294" i="11" s="1"/>
  <c r="L1293" i="11"/>
  <c r="L1294" i="11" s="1"/>
  <c r="O197" i="45" l="1"/>
  <c r="E203" i="45" s="1"/>
  <c r="V1293" i="11"/>
  <c r="V1294" i="11" s="1"/>
  <c r="U1293" i="11"/>
  <c r="U1294" i="11" s="1"/>
  <c r="T1293" i="11"/>
  <c r="T1294" i="11" s="1"/>
  <c r="S1293" i="11"/>
  <c r="S1294" i="11" s="1"/>
  <c r="D17" i="42"/>
  <c r="D18" i="42" s="1"/>
  <c r="D19" i="42" s="1"/>
  <c r="D21" i="42" s="1"/>
  <c r="F1294" i="11"/>
  <c r="P1293" i="11"/>
  <c r="P1294" i="11" s="1"/>
  <c r="J1293" i="11"/>
  <c r="J1294" i="11" s="1"/>
  <c r="O1293" i="11"/>
  <c r="O1294" i="11" s="1"/>
  <c r="R1293" i="11"/>
  <c r="R1294" i="11" s="1"/>
  <c r="E1317" i="11"/>
  <c r="D1317" i="11" s="1"/>
  <c r="Q1293" i="11"/>
  <c r="Q1294" i="11" s="1"/>
  <c r="M60" i="45"/>
  <c r="M61" i="45" s="1"/>
  <c r="K22" i="47"/>
  <c r="K23" i="47" s="1"/>
  <c r="J60" i="45"/>
  <c r="J61" i="45" s="1"/>
  <c r="H22" i="47"/>
  <c r="H23" i="47" s="1"/>
  <c r="L60" i="45"/>
  <c r="L61" i="45" s="1"/>
  <c r="J22" i="47"/>
  <c r="J23" i="47" s="1"/>
  <c r="K60" i="45"/>
  <c r="K61" i="45" s="1"/>
  <c r="I22" i="47"/>
  <c r="I23" i="47" s="1"/>
  <c r="L197" i="45"/>
  <c r="L194" i="45"/>
  <c r="J15" i="47" s="1"/>
  <c r="J17" i="47" s="1"/>
  <c r="X17" i="47" s="1"/>
  <c r="X18" i="47" s="1"/>
  <c r="K197" i="45"/>
  <c r="K194" i="45"/>
  <c r="I15" i="47" s="1"/>
  <c r="I17" i="47" s="1"/>
  <c r="W17" i="47" s="1"/>
  <c r="W18" i="47" s="1"/>
  <c r="M197" i="45"/>
  <c r="M194" i="45"/>
  <c r="K15" i="47" s="1"/>
  <c r="K17" i="47" s="1"/>
  <c r="Y17" i="47" s="1"/>
  <c r="Y18" i="47" s="1"/>
  <c r="J197" i="45"/>
  <c r="J194" i="45"/>
  <c r="H15" i="47" s="1"/>
  <c r="H17" i="47" s="1"/>
  <c r="V17" i="47" s="1"/>
  <c r="V18" i="47" s="1"/>
  <c r="N196" i="45"/>
  <c r="L15" i="47"/>
  <c r="N195" i="45"/>
  <c r="O194" i="45"/>
  <c r="E202" i="45" s="1"/>
  <c r="D52" i="47" s="1"/>
  <c r="D55" i="47" s="1"/>
  <c r="F200" i="45"/>
  <c r="G200" i="45" s="1"/>
  <c r="G195" i="45"/>
  <c r="G196" i="45"/>
  <c r="F195" i="45"/>
  <c r="F196" i="45"/>
  <c r="I195" i="45"/>
  <c r="I196" i="45"/>
  <c r="H195" i="45"/>
  <c r="H196" i="45"/>
  <c r="G1311" i="11"/>
  <c r="E1332" i="11"/>
  <c r="I19" i="45"/>
  <c r="I8" i="45"/>
  <c r="N19" i="45"/>
  <c r="N8" i="45"/>
  <c r="K19" i="45"/>
  <c r="K8" i="45"/>
  <c r="F19" i="45"/>
  <c r="F8" i="45"/>
  <c r="E8" i="45"/>
  <c r="G19" i="45"/>
  <c r="G8" i="45"/>
  <c r="J19" i="45"/>
  <c r="J8" i="45"/>
  <c r="H19" i="45"/>
  <c r="H8" i="45"/>
  <c r="M19" i="45"/>
  <c r="M8" i="45"/>
  <c r="L19" i="45"/>
  <c r="L8" i="45"/>
  <c r="O5" i="45"/>
  <c r="E34" i="45"/>
  <c r="D44" i="47" s="1"/>
  <c r="J1441" i="11"/>
  <c r="J1439" i="11" s="1"/>
  <c r="O1289" i="11"/>
  <c r="D5" i="45"/>
  <c r="I12" i="45"/>
  <c r="I15" i="45" s="1"/>
  <c r="G5" i="47" s="1"/>
  <c r="G6" i="47" s="1"/>
  <c r="U5" i="47" s="1"/>
  <c r="U6" i="47" s="1"/>
  <c r="AA6" i="47" s="1"/>
  <c r="O1437" i="11"/>
  <c r="I55" i="40" s="1"/>
  <c r="I71" i="40" s="1"/>
  <c r="I16" i="49" s="1"/>
  <c r="H12" i="45"/>
  <c r="H15" i="45" s="1"/>
  <c r="F5" i="47" s="1"/>
  <c r="F6" i="47" s="1"/>
  <c r="T5" i="47" s="1"/>
  <c r="T6" i="47" s="1"/>
  <c r="N1437" i="11"/>
  <c r="H55" i="40" s="1"/>
  <c r="H71" i="40" s="1"/>
  <c r="H16" i="49" s="1"/>
  <c r="G12" i="45"/>
  <c r="G15" i="45" s="1"/>
  <c r="E5" i="47" s="1"/>
  <c r="E6" i="47" s="1"/>
  <c r="S5" i="47" s="1"/>
  <c r="S6" i="47" s="1"/>
  <c r="M1437" i="11"/>
  <c r="G55" i="40" s="1"/>
  <c r="G71" i="40" s="1"/>
  <c r="G16" i="49" s="1"/>
  <c r="E12" i="45"/>
  <c r="E15" i="45" s="1"/>
  <c r="K1437" i="11"/>
  <c r="K12" i="45"/>
  <c r="K15" i="45" s="1"/>
  <c r="I5" i="47" s="1"/>
  <c r="I6" i="47" s="1"/>
  <c r="W5" i="47" s="1"/>
  <c r="W6" i="47" s="1"/>
  <c r="Q1437" i="11"/>
  <c r="K55" i="40" s="1"/>
  <c r="K71" i="40" s="1"/>
  <c r="K16" i="49" s="1"/>
  <c r="J12" i="45"/>
  <c r="J15" i="45" s="1"/>
  <c r="H5" i="47" s="1"/>
  <c r="H6" i="47" s="1"/>
  <c r="V5" i="47" s="1"/>
  <c r="V6" i="47" s="1"/>
  <c r="P1437" i="11"/>
  <c r="J55" i="40" s="1"/>
  <c r="J71" i="40" s="1"/>
  <c r="J16" i="49" s="1"/>
  <c r="F12" i="45"/>
  <c r="F15" i="45" s="1"/>
  <c r="D5" i="47" s="1"/>
  <c r="D6" i="47" s="1"/>
  <c r="R5" i="47" s="1"/>
  <c r="R6" i="47" s="1"/>
  <c r="L1437" i="11"/>
  <c r="F55" i="40" s="1"/>
  <c r="F71" i="40" s="1"/>
  <c r="F16" i="49" s="1"/>
  <c r="V1328" i="11"/>
  <c r="V1437" i="11"/>
  <c r="N12" i="45"/>
  <c r="T1437" i="11"/>
  <c r="N55" i="40" s="1"/>
  <c r="N71" i="40" s="1"/>
  <c r="N16" i="49" s="1"/>
  <c r="U1328" i="11"/>
  <c r="U1437" i="11"/>
  <c r="M12" i="45"/>
  <c r="M15" i="45" s="1"/>
  <c r="K5" i="47" s="1"/>
  <c r="K6" i="47" s="1"/>
  <c r="Y5" i="47" s="1"/>
  <c r="Y6" i="47" s="1"/>
  <c r="S1437" i="11"/>
  <c r="M55" i="40" s="1"/>
  <c r="M71" i="40" s="1"/>
  <c r="M16" i="49" s="1"/>
  <c r="L12" i="45"/>
  <c r="L15" i="45" s="1"/>
  <c r="J5" i="47" s="1"/>
  <c r="J6" i="47" s="1"/>
  <c r="X5" i="47" s="1"/>
  <c r="X6" i="47" s="1"/>
  <c r="R1437" i="11"/>
  <c r="L55" i="40" s="1"/>
  <c r="L71" i="40" s="1"/>
  <c r="L16" i="49" s="1"/>
  <c r="N1289" i="11"/>
  <c r="M1289" i="11"/>
  <c r="R1338" i="11"/>
  <c r="K1289" i="11"/>
  <c r="L1289" i="11"/>
  <c r="E1312" i="11"/>
  <c r="F1426" i="11"/>
  <c r="P1328" i="11"/>
  <c r="K1328" i="11"/>
  <c r="E40" i="42" s="1"/>
  <c r="N1328" i="11"/>
  <c r="H40" i="42" s="1"/>
  <c r="L1328" i="11"/>
  <c r="F40" i="42" s="1"/>
  <c r="J1328" i="11"/>
  <c r="D40" i="42" s="1"/>
  <c r="Q1328" i="11"/>
  <c r="O1328" i="11"/>
  <c r="I40" i="42" s="1"/>
  <c r="T1328" i="11"/>
  <c r="J40" i="42" s="1"/>
  <c r="R1328" i="11"/>
  <c r="M1328" i="11"/>
  <c r="G40" i="42" s="1"/>
  <c r="S1328" i="11"/>
  <c r="L1338" i="11"/>
  <c r="F42" i="42" s="1"/>
  <c r="O1338" i="11"/>
  <c r="I42" i="42" s="1"/>
  <c r="P1338" i="11"/>
  <c r="Q1338" i="11"/>
  <c r="N1338" i="11"/>
  <c r="H42" i="42" s="1"/>
  <c r="S1338" i="11"/>
  <c r="M1338" i="11"/>
  <c r="G42" i="42" s="1"/>
  <c r="T1338" i="11"/>
  <c r="J42" i="42" s="1"/>
  <c r="U1289" i="11"/>
  <c r="J1289" i="11"/>
  <c r="K1338" i="11"/>
  <c r="E42" i="42" s="1"/>
  <c r="S1289" i="11"/>
  <c r="T1289" i="11"/>
  <c r="V1289" i="11"/>
  <c r="Q1289" i="11"/>
  <c r="R1289" i="11"/>
  <c r="P1289" i="11"/>
  <c r="F203" i="45" l="1"/>
  <c r="E53" i="47" s="1"/>
  <c r="O198" i="45"/>
  <c r="D53" i="47" s="1"/>
  <c r="E1318" i="11"/>
  <c r="D1318" i="11" s="1"/>
  <c r="O16" i="49"/>
  <c r="P16" i="49"/>
  <c r="M15" i="47"/>
  <c r="L17" i="47"/>
  <c r="Z17" i="47" s="1"/>
  <c r="Z18" i="47" s="1"/>
  <c r="O71" i="40"/>
  <c r="E50" i="47"/>
  <c r="J29" i="45"/>
  <c r="H7" i="47"/>
  <c r="V7" i="47" s="1"/>
  <c r="F29" i="45"/>
  <c r="D7" i="47"/>
  <c r="R7" i="47" s="1"/>
  <c r="G29" i="45"/>
  <c r="E7" i="47"/>
  <c r="S7" i="47" s="1"/>
  <c r="N29" i="45"/>
  <c r="L7" i="47"/>
  <c r="Z7" i="47" s="1"/>
  <c r="E29" i="45"/>
  <c r="C7" i="47"/>
  <c r="Q7" i="47" s="1"/>
  <c r="Q9" i="47" s="1"/>
  <c r="Q20" i="47" s="1"/>
  <c r="L29" i="45"/>
  <c r="J7" i="47"/>
  <c r="X7" i="47" s="1"/>
  <c r="K29" i="45"/>
  <c r="I7" i="47"/>
  <c r="W7" i="47" s="1"/>
  <c r="M29" i="45"/>
  <c r="K7" i="47"/>
  <c r="Y7" i="47" s="1"/>
  <c r="I29" i="45"/>
  <c r="G7" i="47"/>
  <c r="U7" i="47" s="1"/>
  <c r="H29" i="45"/>
  <c r="F7" i="47"/>
  <c r="T7" i="47" s="1"/>
  <c r="J195" i="45"/>
  <c r="J196" i="45"/>
  <c r="K195" i="45"/>
  <c r="K196" i="45"/>
  <c r="L195" i="45"/>
  <c r="L196" i="45"/>
  <c r="M195" i="45"/>
  <c r="M196" i="45"/>
  <c r="J1332" i="11"/>
  <c r="J1334" i="11" s="1"/>
  <c r="K1332" i="11"/>
  <c r="K1334" i="11" s="1"/>
  <c r="L1332" i="11"/>
  <c r="L1334" i="11" s="1"/>
  <c r="M1332" i="11"/>
  <c r="M1334" i="11" s="1"/>
  <c r="N1332" i="11"/>
  <c r="N1334" i="11" s="1"/>
  <c r="O1332" i="11"/>
  <c r="O1334" i="11" s="1"/>
  <c r="P1332" i="11"/>
  <c r="P1334" i="11" s="1"/>
  <c r="Q1332" i="11"/>
  <c r="Q1334" i="11" s="1"/>
  <c r="R1332" i="11"/>
  <c r="R1334" i="11" s="1"/>
  <c r="S1332" i="11"/>
  <c r="S1334" i="11" s="1"/>
  <c r="T1332" i="11"/>
  <c r="T1334" i="11" s="1"/>
  <c r="U1332" i="11"/>
  <c r="U1334" i="11" s="1"/>
  <c r="V1332" i="11"/>
  <c r="N15" i="45"/>
  <c r="O12" i="45"/>
  <c r="O19" i="45"/>
  <c r="E35" i="45" s="1"/>
  <c r="R1441" i="11"/>
  <c r="L94" i="40" s="1"/>
  <c r="L110" i="40" s="1"/>
  <c r="L23" i="49" s="1"/>
  <c r="S1441" i="11"/>
  <c r="M94" i="40" s="1"/>
  <c r="M110" i="40" s="1"/>
  <c r="M23" i="49" s="1"/>
  <c r="O1441" i="11"/>
  <c r="U1441" i="11"/>
  <c r="U1439" i="11" s="1"/>
  <c r="T1441" i="11"/>
  <c r="V1441" i="11"/>
  <c r="V1439" i="11" s="1"/>
  <c r="L1441" i="11"/>
  <c r="F94" i="40" s="1"/>
  <c r="F110" i="40" s="1"/>
  <c r="F23" i="49" s="1"/>
  <c r="Q1441" i="11"/>
  <c r="K94" i="40" s="1"/>
  <c r="K110" i="40" s="1"/>
  <c r="K23" i="49" s="1"/>
  <c r="K1441" i="11"/>
  <c r="K1439" i="11" s="1"/>
  <c r="M1441" i="11"/>
  <c r="G94" i="40" s="1"/>
  <c r="G110" i="40" s="1"/>
  <c r="G23" i="49" s="1"/>
  <c r="N1441" i="11"/>
  <c r="H94" i="40" s="1"/>
  <c r="H110" i="40" s="1"/>
  <c r="H23" i="49" s="1"/>
  <c r="P1441" i="11"/>
  <c r="J94" i="40" s="1"/>
  <c r="J110" i="40" s="1"/>
  <c r="J23" i="49" s="1"/>
  <c r="F1317" i="11"/>
  <c r="Q1427" i="11"/>
  <c r="K52" i="40" s="1"/>
  <c r="Q10" i="42"/>
  <c r="P1427" i="11"/>
  <c r="J52" i="40" s="1"/>
  <c r="N1427" i="11"/>
  <c r="H52" i="40" s="1"/>
  <c r="O1427" i="11"/>
  <c r="I52" i="40" s="1"/>
  <c r="M1427" i="11"/>
  <c r="G52" i="40" s="1"/>
  <c r="L1427" i="11"/>
  <c r="F52" i="40" s="1"/>
  <c r="J1427" i="11"/>
  <c r="V1427" i="11"/>
  <c r="U1427" i="11"/>
  <c r="K1427" i="11"/>
  <c r="T1427" i="11"/>
  <c r="N52" i="40" s="1"/>
  <c r="S1427" i="11"/>
  <c r="M52" i="40" s="1"/>
  <c r="R1427" i="11"/>
  <c r="L52" i="40" s="1"/>
  <c r="G203" i="45" l="1"/>
  <c r="D45" i="47"/>
  <c r="AB18" i="47"/>
  <c r="Z19" i="47"/>
  <c r="L51" i="40"/>
  <c r="L62" i="40" s="1"/>
  <c r="L67" i="40"/>
  <c r="M51" i="40"/>
  <c r="M62" i="40" s="1"/>
  <c r="M67" i="40"/>
  <c r="N51" i="40"/>
  <c r="N62" i="40" s="1"/>
  <c r="N67" i="40"/>
  <c r="F51" i="40"/>
  <c r="F62" i="40" s="1"/>
  <c r="F67" i="40"/>
  <c r="F12" i="49" s="1"/>
  <c r="F18" i="49" s="1"/>
  <c r="G51" i="40"/>
  <c r="G62" i="40" s="1"/>
  <c r="G67" i="40"/>
  <c r="I51" i="40"/>
  <c r="I62" i="40" s="1"/>
  <c r="I67" i="40"/>
  <c r="H51" i="40"/>
  <c r="H67" i="40"/>
  <c r="J51" i="40"/>
  <c r="J62" i="40" s="1"/>
  <c r="J67" i="40"/>
  <c r="K51" i="40"/>
  <c r="K62" i="40" s="1"/>
  <c r="K67" i="40"/>
  <c r="N23" i="46"/>
  <c r="N30" i="46" s="1"/>
  <c r="N94" i="40"/>
  <c r="N110" i="40" s="1"/>
  <c r="I23" i="46"/>
  <c r="I26" i="46" s="1"/>
  <c r="I94" i="40"/>
  <c r="I110" i="40" s="1"/>
  <c r="O15" i="45"/>
  <c r="O16" i="45" s="1"/>
  <c r="O17" i="45" s="1"/>
  <c r="L5" i="47"/>
  <c r="L6" i="47" s="1"/>
  <c r="Z5" i="47" s="1"/>
  <c r="Z6" i="47" s="1"/>
  <c r="AB6" i="47" s="1"/>
  <c r="O1439" i="11"/>
  <c r="V1334" i="11"/>
  <c r="T1439" i="11"/>
  <c r="M1439" i="11"/>
  <c r="G23" i="46"/>
  <c r="L1439" i="11"/>
  <c r="F23" i="46"/>
  <c r="S1439" i="11"/>
  <c r="M23" i="46"/>
  <c r="D15" i="45"/>
  <c r="D16" i="45" s="1"/>
  <c r="R1439" i="11"/>
  <c r="L23" i="46"/>
  <c r="P1439" i="11"/>
  <c r="J23" i="46"/>
  <c r="Q1439" i="11"/>
  <c r="K23" i="46"/>
  <c r="N1439" i="11"/>
  <c r="H23" i="46"/>
  <c r="U185" i="14"/>
  <c r="J1431" i="11"/>
  <c r="Q16" i="42" s="1"/>
  <c r="W16" i="42" s="1"/>
  <c r="P185" i="14"/>
  <c r="Q185" i="14"/>
  <c r="R185" i="14"/>
  <c r="K1431" i="11"/>
  <c r="K1429" i="11" s="1"/>
  <c r="K1445" i="11" s="1"/>
  <c r="V185" i="14"/>
  <c r="M185" i="14"/>
  <c r="S185" i="14"/>
  <c r="T185" i="14"/>
  <c r="L185" i="14"/>
  <c r="O185" i="14"/>
  <c r="N185" i="14"/>
  <c r="G50" i="42"/>
  <c r="G51" i="42" s="1"/>
  <c r="P1431" i="11"/>
  <c r="J91" i="40" s="1"/>
  <c r="Q1431" i="11"/>
  <c r="K91" i="40" s="1"/>
  <c r="U1431" i="11"/>
  <c r="U1429" i="11" s="1"/>
  <c r="U1445" i="11" s="1"/>
  <c r="U189" i="14" s="1"/>
  <c r="U165" i="48" s="1"/>
  <c r="V1431" i="11"/>
  <c r="V1429" i="11" s="1"/>
  <c r="V1445" i="11" s="1"/>
  <c r="V189" i="14" s="1"/>
  <c r="V165" i="48" s="1"/>
  <c r="R1431" i="11"/>
  <c r="L91" i="40" s="1"/>
  <c r="U1317" i="11"/>
  <c r="U1313" i="11" s="1"/>
  <c r="U1323" i="11" s="1"/>
  <c r="U1329" i="11" s="1"/>
  <c r="U1339" i="11" s="1"/>
  <c r="F1154" i="43"/>
  <c r="T1431" i="11"/>
  <c r="N91" i="40" s="1"/>
  <c r="J50" i="42"/>
  <c r="J51" i="42" s="1"/>
  <c r="F50" i="42"/>
  <c r="F51" i="42" s="1"/>
  <c r="I50" i="42"/>
  <c r="I51" i="42" s="1"/>
  <c r="N1431" i="11"/>
  <c r="H91" i="40" s="1"/>
  <c r="H50" i="42"/>
  <c r="H51" i="42" s="1"/>
  <c r="Q12" i="42"/>
  <c r="L24" i="42"/>
  <c r="W10" i="42"/>
  <c r="V1317" i="11"/>
  <c r="V1313" i="11" s="1"/>
  <c r="V1323" i="11" s="1"/>
  <c r="V1329" i="11" s="1"/>
  <c r="F1313" i="11"/>
  <c r="E1333" i="11" s="1"/>
  <c r="J1317" i="11"/>
  <c r="J1313" i="11" s="1"/>
  <c r="J1323" i="11" s="1"/>
  <c r="J1329" i="11" s="1"/>
  <c r="L1317" i="11"/>
  <c r="L1313" i="11" s="1"/>
  <c r="L1323" i="11" s="1"/>
  <c r="L1329" i="11" s="1"/>
  <c r="M1317" i="11"/>
  <c r="M1313" i="11" s="1"/>
  <c r="M1323" i="11" s="1"/>
  <c r="M1329" i="11" s="1"/>
  <c r="O1317" i="11"/>
  <c r="O1313" i="11" s="1"/>
  <c r="O1323" i="11" s="1"/>
  <c r="O1329" i="11" s="1"/>
  <c r="T1317" i="11"/>
  <c r="T1313" i="11" s="1"/>
  <c r="T1323" i="11" s="1"/>
  <c r="T1329" i="11" s="1"/>
  <c r="K1317" i="11"/>
  <c r="K1313" i="11" s="1"/>
  <c r="K1323" i="11" s="1"/>
  <c r="K1329" i="11" s="1"/>
  <c r="E21" i="45" s="1"/>
  <c r="N1317" i="11"/>
  <c r="N1313" i="11" s="1"/>
  <c r="N1323" i="11" s="1"/>
  <c r="N1329" i="11" s="1"/>
  <c r="R1317" i="11"/>
  <c r="R1313" i="11" s="1"/>
  <c r="R1323" i="11" s="1"/>
  <c r="R1329" i="11" s="1"/>
  <c r="R1339" i="11" s="1"/>
  <c r="E17" i="42"/>
  <c r="E18" i="42" s="1"/>
  <c r="E19" i="42" s="1"/>
  <c r="Q1317" i="11"/>
  <c r="Q1313" i="11" s="1"/>
  <c r="Q1323" i="11" s="1"/>
  <c r="Q1329" i="11" s="1"/>
  <c r="Q1339" i="11" s="1"/>
  <c r="P1317" i="11"/>
  <c r="P1313" i="11" s="1"/>
  <c r="P1323" i="11" s="1"/>
  <c r="P1329" i="11" s="1"/>
  <c r="P1339" i="11" s="1"/>
  <c r="S1317" i="11"/>
  <c r="S1313" i="11" s="1"/>
  <c r="S1323" i="11" s="1"/>
  <c r="S1329" i="11" s="1"/>
  <c r="S1339" i="11" s="1"/>
  <c r="M1431" i="11"/>
  <c r="G91" i="40" s="1"/>
  <c r="O1431" i="11"/>
  <c r="I91" i="40" s="1"/>
  <c r="L1431" i="11"/>
  <c r="F91" i="40" s="1"/>
  <c r="S1431" i="11"/>
  <c r="M91" i="40" s="1"/>
  <c r="H62" i="40" l="1"/>
  <c r="H4" i="49" s="1"/>
  <c r="H5" i="49" s="1"/>
  <c r="I30" i="46"/>
  <c r="N26" i="46"/>
  <c r="S132" i="41"/>
  <c r="S144" i="41" s="1"/>
  <c r="S336" i="41"/>
  <c r="S338" i="41" s="1"/>
  <c r="S350" i="41" s="1"/>
  <c r="U132" i="41"/>
  <c r="U144" i="41" s="1"/>
  <c r="U336" i="41"/>
  <c r="U338" i="41" s="1"/>
  <c r="U350" i="41" s="1"/>
  <c r="U161" i="48"/>
  <c r="U230" i="48" s="1"/>
  <c r="U232" i="48" s="1"/>
  <c r="U247" i="48" s="1"/>
  <c r="I73" i="40"/>
  <c r="I12" i="49"/>
  <c r="I18" i="49" s="1"/>
  <c r="F4" i="49"/>
  <c r="F5" i="49" s="1"/>
  <c r="N23" i="49"/>
  <c r="O23" i="49" s="1"/>
  <c r="O105" i="40"/>
  <c r="N73" i="40"/>
  <c r="N12" i="49"/>
  <c r="G73" i="40"/>
  <c r="G12" i="49"/>
  <c r="G18" i="49" s="1"/>
  <c r="O110" i="40"/>
  <c r="I23" i="49"/>
  <c r="K73" i="40"/>
  <c r="K12" i="49"/>
  <c r="K18" i="49" s="1"/>
  <c r="M73" i="40"/>
  <c r="M12" i="49"/>
  <c r="M18" i="49" s="1"/>
  <c r="J73" i="40"/>
  <c r="J12" i="49"/>
  <c r="J18" i="49" s="1"/>
  <c r="L73" i="40"/>
  <c r="L12" i="49"/>
  <c r="L18" i="49" s="1"/>
  <c r="H73" i="40"/>
  <c r="H12" i="49"/>
  <c r="H18" i="49" s="1"/>
  <c r="G64" i="40"/>
  <c r="G4" i="49"/>
  <c r="G5" i="49" s="1"/>
  <c r="K64" i="40"/>
  <c r="K4" i="49"/>
  <c r="K5" i="49" s="1"/>
  <c r="J64" i="40"/>
  <c r="J4" i="49"/>
  <c r="J5" i="49" s="1"/>
  <c r="I64" i="40"/>
  <c r="I4" i="49"/>
  <c r="I5" i="49" s="1"/>
  <c r="P4" i="49" s="1"/>
  <c r="N64" i="40"/>
  <c r="N4" i="49"/>
  <c r="N5" i="49" s="1"/>
  <c r="M64" i="40"/>
  <c r="M4" i="49"/>
  <c r="M5" i="49" s="1"/>
  <c r="L64" i="40"/>
  <c r="L4" i="49"/>
  <c r="L5" i="49" s="1"/>
  <c r="M90" i="40"/>
  <c r="M101" i="40" s="1"/>
  <c r="M106" i="40"/>
  <c r="F90" i="40"/>
  <c r="F101" i="40" s="1"/>
  <c r="F106" i="40"/>
  <c r="F19" i="49" s="1"/>
  <c r="F25" i="49" s="1"/>
  <c r="I90" i="40"/>
  <c r="I101" i="40" s="1"/>
  <c r="I106" i="40"/>
  <c r="G90" i="40"/>
  <c r="G101" i="40" s="1"/>
  <c r="G106" i="40"/>
  <c r="H90" i="40"/>
  <c r="H101" i="40" s="1"/>
  <c r="H106" i="40"/>
  <c r="N90" i="40"/>
  <c r="N106" i="40"/>
  <c r="L90" i="40"/>
  <c r="L101" i="40" s="1"/>
  <c r="L106" i="40"/>
  <c r="K90" i="40"/>
  <c r="K101" i="40" s="1"/>
  <c r="K106" i="40"/>
  <c r="J90" i="40"/>
  <c r="J101" i="40" s="1"/>
  <c r="J106" i="40"/>
  <c r="O67" i="40"/>
  <c r="F73" i="40"/>
  <c r="L132" i="41"/>
  <c r="L144" i="41" s="1"/>
  <c r="M161" i="48"/>
  <c r="G50" i="40" s="1"/>
  <c r="V161" i="48"/>
  <c r="M132" i="41"/>
  <c r="M144" i="41" s="1"/>
  <c r="N161" i="48"/>
  <c r="H50" i="40" s="1"/>
  <c r="N132" i="41"/>
  <c r="N144" i="41" s="1"/>
  <c r="O161" i="48"/>
  <c r="I50" i="40" s="1"/>
  <c r="Q132" i="41"/>
  <c r="Q144" i="41" s="1"/>
  <c r="R161" i="48"/>
  <c r="L50" i="40" s="1"/>
  <c r="P132" i="41"/>
  <c r="P144" i="41" s="1"/>
  <c r="Q161" i="48"/>
  <c r="K50" i="40" s="1"/>
  <c r="O132" i="41"/>
  <c r="O144" i="41" s="1"/>
  <c r="P161" i="48"/>
  <c r="J50" i="40" s="1"/>
  <c r="K132" i="41"/>
  <c r="K144" i="41" s="1"/>
  <c r="K145" i="41" s="1"/>
  <c r="K152" i="41" s="1"/>
  <c r="L161" i="48"/>
  <c r="F50" i="40" s="1"/>
  <c r="T161" i="48"/>
  <c r="N50" i="40" s="1"/>
  <c r="R132" i="41"/>
  <c r="R144" i="41" s="1"/>
  <c r="S161" i="48"/>
  <c r="M50" i="40" s="1"/>
  <c r="U258" i="14"/>
  <c r="U48" i="15" s="1"/>
  <c r="U234" i="48"/>
  <c r="V258" i="14"/>
  <c r="V48" i="15" s="1"/>
  <c r="V234" i="48"/>
  <c r="M30" i="46"/>
  <c r="M26" i="46"/>
  <c r="F30" i="46"/>
  <c r="F26" i="46"/>
  <c r="G30" i="46"/>
  <c r="G26" i="46"/>
  <c r="H30" i="46"/>
  <c r="H26" i="46"/>
  <c r="K30" i="46"/>
  <c r="K26" i="46"/>
  <c r="J30" i="46"/>
  <c r="J26" i="46"/>
  <c r="L30" i="46"/>
  <c r="L26" i="46"/>
  <c r="H54" i="42"/>
  <c r="H55" i="42" s="1"/>
  <c r="H56" i="42" s="1"/>
  <c r="H22" i="46"/>
  <c r="H21" i="45"/>
  <c r="H31" i="45" s="1"/>
  <c r="N1339" i="11"/>
  <c r="I21" i="45"/>
  <c r="I24" i="45" s="1"/>
  <c r="O1339" i="11"/>
  <c r="G21" i="45"/>
  <c r="G24" i="45" s="1"/>
  <c r="M1339" i="11"/>
  <c r="S1429" i="11"/>
  <c r="S1445" i="11" s="1"/>
  <c r="S189" i="14" s="1"/>
  <c r="S165" i="48" s="1"/>
  <c r="M22" i="46"/>
  <c r="F54" i="42"/>
  <c r="F55" i="42" s="1"/>
  <c r="F56" i="42" s="1"/>
  <c r="F22" i="46"/>
  <c r="R1429" i="11"/>
  <c r="R1445" i="11" s="1"/>
  <c r="R189" i="14" s="1"/>
  <c r="R165" i="48" s="1"/>
  <c r="L22" i="46"/>
  <c r="I54" i="42"/>
  <c r="I55" i="42" s="1"/>
  <c r="I56" i="42" s="1"/>
  <c r="I22" i="46"/>
  <c r="V1333" i="11"/>
  <c r="K1333" i="11"/>
  <c r="J1333" i="11"/>
  <c r="R1333" i="11"/>
  <c r="Q1333" i="11"/>
  <c r="P1333" i="11"/>
  <c r="O1333" i="11"/>
  <c r="N1333" i="11"/>
  <c r="M1333" i="11"/>
  <c r="L1333" i="11"/>
  <c r="U1333" i="11"/>
  <c r="T1333" i="11"/>
  <c r="S1333" i="11"/>
  <c r="M1429" i="11"/>
  <c r="M1445" i="11" s="1"/>
  <c r="M189" i="14" s="1"/>
  <c r="M165" i="48" s="1"/>
  <c r="G22" i="46"/>
  <c r="Q1429" i="11"/>
  <c r="Q1445" i="11" s="1"/>
  <c r="Q189" i="14" s="1"/>
  <c r="Q165" i="48" s="1"/>
  <c r="K22" i="46"/>
  <c r="P1429" i="11"/>
  <c r="P1445" i="11" s="1"/>
  <c r="P189" i="14" s="1"/>
  <c r="P165" i="48" s="1"/>
  <c r="J22" i="46"/>
  <c r="U254" i="14"/>
  <c r="U44" i="15" s="1"/>
  <c r="N21" i="45"/>
  <c r="T1339" i="11"/>
  <c r="V1339" i="11" s="1"/>
  <c r="J54" i="42"/>
  <c r="J55" i="42" s="1"/>
  <c r="J56" i="42" s="1"/>
  <c r="N22" i="46"/>
  <c r="F21" i="45"/>
  <c r="F31" i="45" s="1"/>
  <c r="L1339" i="11"/>
  <c r="E24" i="45"/>
  <c r="E25" i="45" s="1"/>
  <c r="E26" i="45" s="1"/>
  <c r="Q18" i="42"/>
  <c r="Q19" i="42" s="1"/>
  <c r="Q21" i="42" s="1"/>
  <c r="J1429" i="11"/>
  <c r="J1445" i="11" s="1"/>
  <c r="O1429" i="11"/>
  <c r="O1445" i="11" s="1"/>
  <c r="O189" i="14" s="1"/>
  <c r="O165" i="48" s="1"/>
  <c r="V254" i="14"/>
  <c r="N1429" i="11"/>
  <c r="N1445" i="11" s="1"/>
  <c r="N189" i="14" s="1"/>
  <c r="N165" i="48" s="1"/>
  <c r="R254" i="14"/>
  <c r="R44" i="15" s="1"/>
  <c r="M254" i="14"/>
  <c r="M44" i="15" s="1"/>
  <c r="Q254" i="14"/>
  <c r="Q44" i="15" s="1"/>
  <c r="P254" i="14"/>
  <c r="P44" i="15" s="1"/>
  <c r="L1429" i="11"/>
  <c r="L1445" i="11" s="1"/>
  <c r="L189" i="14" s="1"/>
  <c r="L165" i="48" s="1"/>
  <c r="S187" i="14"/>
  <c r="S202" i="14" s="1"/>
  <c r="T1429" i="11"/>
  <c r="T1445" i="11" s="1"/>
  <c r="T189" i="14" s="1"/>
  <c r="T165" i="48" s="1"/>
  <c r="N254" i="14"/>
  <c r="N44" i="15" s="1"/>
  <c r="O254" i="14"/>
  <c r="O44" i="15" s="1"/>
  <c r="L254" i="14"/>
  <c r="L44" i="15" s="1"/>
  <c r="T254" i="14"/>
  <c r="T44" i="15" s="1"/>
  <c r="S254" i="14"/>
  <c r="S44" i="15" s="1"/>
  <c r="S1340" i="11"/>
  <c r="M21" i="45"/>
  <c r="P1340" i="11"/>
  <c r="J21" i="45"/>
  <c r="Q1340" i="11"/>
  <c r="K21" i="45"/>
  <c r="R1340" i="11"/>
  <c r="L21" i="45"/>
  <c r="N187" i="14"/>
  <c r="N202" i="14" s="1"/>
  <c r="T187" i="14"/>
  <c r="T202" i="14" s="1"/>
  <c r="J1154" i="43"/>
  <c r="J1150" i="43" s="1"/>
  <c r="J1161" i="43" s="1"/>
  <c r="J1167" i="43" s="1"/>
  <c r="D81" i="42" s="1"/>
  <c r="F1150" i="43"/>
  <c r="K1154" i="43"/>
  <c r="K1150" i="43" s="1"/>
  <c r="K1161" i="43" s="1"/>
  <c r="K1167" i="43" s="1"/>
  <c r="L1154" i="43"/>
  <c r="L1150" i="43" s="1"/>
  <c r="L1161" i="43" s="1"/>
  <c r="L1167" i="43" s="1"/>
  <c r="M1154" i="43"/>
  <c r="M1150" i="43" s="1"/>
  <c r="M1161" i="43" s="1"/>
  <c r="M1167" i="43" s="1"/>
  <c r="N1154" i="43"/>
  <c r="N1150" i="43" s="1"/>
  <c r="N1161" i="43" s="1"/>
  <c r="N1167" i="43" s="1"/>
  <c r="O1154" i="43"/>
  <c r="O1150" i="43" s="1"/>
  <c r="O1161" i="43" s="1"/>
  <c r="O1167" i="43" s="1"/>
  <c r="P1154" i="43"/>
  <c r="P1150" i="43" s="1"/>
  <c r="P1161" i="43" s="1"/>
  <c r="P1167" i="43" s="1"/>
  <c r="P1173" i="43" s="1"/>
  <c r="Q1154" i="43"/>
  <c r="Q1150" i="43" s="1"/>
  <c r="Q1161" i="43" s="1"/>
  <c r="Q1167" i="43" s="1"/>
  <c r="Q1173" i="43" s="1"/>
  <c r="R1154" i="43"/>
  <c r="R1150" i="43" s="1"/>
  <c r="R1161" i="43" s="1"/>
  <c r="R1167" i="43" s="1"/>
  <c r="R1173" i="43" s="1"/>
  <c r="S1154" i="43"/>
  <c r="S1150" i="43" s="1"/>
  <c r="S1161" i="43" s="1"/>
  <c r="S1167" i="43" s="1"/>
  <c r="S1173" i="43" s="1"/>
  <c r="T1154" i="43"/>
  <c r="T1150" i="43" s="1"/>
  <c r="T1161" i="43" s="1"/>
  <c r="T1167" i="43" s="1"/>
  <c r="U1154" i="43"/>
  <c r="U1150" i="43" s="1"/>
  <c r="U1161" i="43" s="1"/>
  <c r="U1167" i="43" s="1"/>
  <c r="V1154" i="43"/>
  <c r="V1150" i="43" s="1"/>
  <c r="V1161" i="43" s="1"/>
  <c r="V1167" i="43" s="1"/>
  <c r="F1312" i="11"/>
  <c r="G1313" i="11"/>
  <c r="O187" i="14"/>
  <c r="O202" i="14" s="1"/>
  <c r="H186" i="14"/>
  <c r="K1340" i="11"/>
  <c r="E43" i="42"/>
  <c r="T1340" i="11"/>
  <c r="J43" i="42"/>
  <c r="O1340" i="11"/>
  <c r="I43" i="42"/>
  <c r="M1340" i="11"/>
  <c r="G43" i="42"/>
  <c r="N1340" i="11"/>
  <c r="H43" i="42"/>
  <c r="L1340" i="11"/>
  <c r="F43" i="42"/>
  <c r="L187" i="14"/>
  <c r="J1340" i="11"/>
  <c r="D43" i="42"/>
  <c r="D44" i="42" s="1"/>
  <c r="T18" i="42"/>
  <c r="G54" i="42"/>
  <c r="G55" i="42" s="1"/>
  <c r="G56" i="42" s="1"/>
  <c r="E21" i="42"/>
  <c r="Q187" i="14"/>
  <c r="Q202" i="14" s="1"/>
  <c r="M187" i="14"/>
  <c r="M202" i="14" s="1"/>
  <c r="P187" i="14"/>
  <c r="U187" i="14"/>
  <c r="I185" i="14"/>
  <c r="R187" i="14"/>
  <c r="R202" i="14" s="1"/>
  <c r="V187" i="14"/>
  <c r="V202" i="14" s="1"/>
  <c r="H64" i="40" l="1"/>
  <c r="H63" i="40"/>
  <c r="N101" i="40"/>
  <c r="N7" i="49" s="1"/>
  <c r="N8" i="49" s="1"/>
  <c r="V44" i="15"/>
  <c r="V1240" i="43" s="1"/>
  <c r="V1242" i="43" s="1"/>
  <c r="V1254" i="43" s="1"/>
  <c r="S145" i="41"/>
  <c r="H7" i="49"/>
  <c r="H8" i="49" s="1"/>
  <c r="L7" i="49"/>
  <c r="L8" i="49" s="1"/>
  <c r="G7" i="49"/>
  <c r="G8" i="49" s="1"/>
  <c r="I7" i="49"/>
  <c r="I8" i="49" s="1"/>
  <c r="P7" i="49" s="1"/>
  <c r="F7" i="49"/>
  <c r="F8" i="49" s="1"/>
  <c r="M7" i="49"/>
  <c r="M8" i="49" s="1"/>
  <c r="J7" i="49"/>
  <c r="J8" i="49" s="1"/>
  <c r="K7" i="49"/>
  <c r="K8" i="49" s="1"/>
  <c r="U163" i="48"/>
  <c r="U178" i="48" s="1"/>
  <c r="T132" i="41"/>
  <c r="T144" i="41" s="1"/>
  <c r="U145" i="41" s="1"/>
  <c r="T336" i="41"/>
  <c r="T338" i="41" s="1"/>
  <c r="T350" i="41" s="1"/>
  <c r="U351" i="41" s="1"/>
  <c r="U358" i="41" s="1"/>
  <c r="U235" i="48"/>
  <c r="U238" i="48" s="1"/>
  <c r="U241" i="48" s="1"/>
  <c r="I112" i="40"/>
  <c r="I19" i="49"/>
  <c r="I25" i="49" s="1"/>
  <c r="J112" i="40"/>
  <c r="J19" i="49"/>
  <c r="J25" i="49" s="1"/>
  <c r="N112" i="40"/>
  <c r="N19" i="49"/>
  <c r="P19" i="49" s="1"/>
  <c r="M18" i="25"/>
  <c r="M20" i="25" s="1"/>
  <c r="K112" i="40"/>
  <c r="K19" i="49"/>
  <c r="K25" i="49" s="1"/>
  <c r="M112" i="40"/>
  <c r="M19" i="49"/>
  <c r="M25" i="49" s="1"/>
  <c r="L112" i="40"/>
  <c r="L19" i="49"/>
  <c r="L25" i="49" s="1"/>
  <c r="O12" i="49"/>
  <c r="P12" i="49"/>
  <c r="N18" i="49"/>
  <c r="L46" i="15"/>
  <c r="H112" i="40"/>
  <c r="H19" i="49"/>
  <c r="H25" i="49" s="1"/>
  <c r="F64" i="40"/>
  <c r="G112" i="40"/>
  <c r="G19" i="49"/>
  <c r="G25" i="49" s="1"/>
  <c r="N31" i="45"/>
  <c r="O31" i="45" s="1"/>
  <c r="E37" i="45" s="1"/>
  <c r="S1240" i="43"/>
  <c r="S1242" i="43" s="1"/>
  <c r="S1254" i="43" s="1"/>
  <c r="O1240" i="43"/>
  <c r="O1242" i="43" s="1"/>
  <c r="O1254" i="43" s="1"/>
  <c r="N1240" i="43"/>
  <c r="N1242" i="43" s="1"/>
  <c r="N1254" i="43" s="1"/>
  <c r="Q1240" i="43"/>
  <c r="Q1242" i="43" s="1"/>
  <c r="Q1254" i="43" s="1"/>
  <c r="P5" i="49"/>
  <c r="O5" i="49"/>
  <c r="N103" i="40"/>
  <c r="O103" i="40" s="1"/>
  <c r="E47" i="47"/>
  <c r="O106" i="40"/>
  <c r="F112" i="40"/>
  <c r="R163" i="48"/>
  <c r="R178" i="48" s="1"/>
  <c r="R230" i="48"/>
  <c r="R232" i="48" s="1"/>
  <c r="R247" i="48" s="1"/>
  <c r="O163" i="48"/>
  <c r="O178" i="48" s="1"/>
  <c r="O230" i="48"/>
  <c r="O232" i="48" s="1"/>
  <c r="O247" i="48" s="1"/>
  <c r="S163" i="48"/>
  <c r="S178" i="48" s="1"/>
  <c r="S230" i="48"/>
  <c r="S232" i="48" s="1"/>
  <c r="S247" i="48" s="1"/>
  <c r="N163" i="48"/>
  <c r="N178" i="48" s="1"/>
  <c r="N230" i="48"/>
  <c r="N232" i="48" s="1"/>
  <c r="N247" i="48" s="1"/>
  <c r="T163" i="48"/>
  <c r="T178" i="48" s="1"/>
  <c r="T230" i="48"/>
  <c r="T232" i="48" s="1"/>
  <c r="T247" i="48" s="1"/>
  <c r="V163" i="48"/>
  <c r="V178" i="48" s="1"/>
  <c r="V230" i="48"/>
  <c r="V232" i="48" s="1"/>
  <c r="V247" i="48" s="1"/>
  <c r="Q163" i="48"/>
  <c r="Q178" i="48" s="1"/>
  <c r="Q230" i="48"/>
  <c r="Q232" i="48" s="1"/>
  <c r="Q247" i="48" s="1"/>
  <c r="H162" i="48"/>
  <c r="L230" i="48"/>
  <c r="L163" i="48"/>
  <c r="I161" i="48"/>
  <c r="M163" i="48"/>
  <c r="M178" i="48" s="1"/>
  <c r="M230" i="48"/>
  <c r="M232" i="48" s="1"/>
  <c r="M247" i="48" s="1"/>
  <c r="P230" i="48"/>
  <c r="P232" i="48" s="1"/>
  <c r="P247" i="48" s="1"/>
  <c r="P163" i="48"/>
  <c r="P178" i="48" s="1"/>
  <c r="Q258" i="14"/>
  <c r="Q48" i="15" s="1"/>
  <c r="W18" i="42"/>
  <c r="R258" i="14"/>
  <c r="R48" i="15" s="1"/>
  <c r="P258" i="14"/>
  <c r="P48" i="15" s="1"/>
  <c r="O258" i="14"/>
  <c r="O48" i="15" s="1"/>
  <c r="L258" i="14"/>
  <c r="L48" i="15" s="1"/>
  <c r="N258" i="14"/>
  <c r="N48" i="15" s="1"/>
  <c r="M258" i="14"/>
  <c r="M48" i="15" s="1"/>
  <c r="S258" i="14"/>
  <c r="T258" i="14"/>
  <c r="T48" i="15" s="1"/>
  <c r="G25" i="45"/>
  <c r="G26" i="45" s="1"/>
  <c r="E8" i="47"/>
  <c r="E9" i="47" s="1"/>
  <c r="S8" i="47" s="1"/>
  <c r="S9" i="47" s="1"/>
  <c r="I25" i="45"/>
  <c r="I26" i="45" s="1"/>
  <c r="G8" i="47"/>
  <c r="G9" i="47" s="1"/>
  <c r="U8" i="47" s="1"/>
  <c r="U9" i="47" s="1"/>
  <c r="AA9" i="47" s="1"/>
  <c r="O21" i="45"/>
  <c r="N24" i="45"/>
  <c r="L8" i="47" s="1"/>
  <c r="G31" i="45"/>
  <c r="I31" i="45"/>
  <c r="F24" i="45"/>
  <c r="D8" i="47" s="1"/>
  <c r="D9" i="47" s="1"/>
  <c r="R8" i="47" s="1"/>
  <c r="R9" i="47" s="1"/>
  <c r="R10" i="47" s="1"/>
  <c r="H24" i="45"/>
  <c r="U256" i="14"/>
  <c r="U259" i="14" s="1"/>
  <c r="U262" i="14" s="1"/>
  <c r="L24" i="45"/>
  <c r="L31" i="45"/>
  <c r="K24" i="45"/>
  <c r="K31" i="45"/>
  <c r="J24" i="45"/>
  <c r="J31" i="45"/>
  <c r="M24" i="45"/>
  <c r="M31" i="45"/>
  <c r="P256" i="14"/>
  <c r="R256" i="14"/>
  <c r="R271" i="14" s="1"/>
  <c r="M256" i="14"/>
  <c r="M271" i="14" s="1"/>
  <c r="V256" i="14"/>
  <c r="V271" i="14" s="1"/>
  <c r="O256" i="14"/>
  <c r="O271" i="14" s="1"/>
  <c r="L256" i="14"/>
  <c r="L271" i="14" s="1"/>
  <c r="S256" i="14"/>
  <c r="R336" i="41"/>
  <c r="R338" i="41" s="1"/>
  <c r="R350" i="41" s="1"/>
  <c r="S351" i="41" s="1"/>
  <c r="S358" i="41" s="1"/>
  <c r="T256" i="14"/>
  <c r="T271" i="14" s="1"/>
  <c r="U190" i="14"/>
  <c r="U193" i="14" s="1"/>
  <c r="U203" i="14" s="1"/>
  <c r="H81" i="42"/>
  <c r="H85" i="42" s="1"/>
  <c r="N1173" i="43"/>
  <c r="J81" i="42"/>
  <c r="J85" i="42" s="1"/>
  <c r="T1173" i="43"/>
  <c r="K336" i="41"/>
  <c r="K338" i="41" s="1"/>
  <c r="K350" i="41" s="1"/>
  <c r="K351" i="41" s="1"/>
  <c r="K358" i="41" s="1"/>
  <c r="I81" i="42"/>
  <c r="I85" i="42" s="1"/>
  <c r="O1173" i="43"/>
  <c r="G81" i="42"/>
  <c r="G85" i="42" s="1"/>
  <c r="M1173" i="43"/>
  <c r="F81" i="42"/>
  <c r="F85" i="42" s="1"/>
  <c r="L1173" i="43"/>
  <c r="E81" i="42"/>
  <c r="E85" i="42" s="1"/>
  <c r="K1173" i="43"/>
  <c r="G1150" i="43"/>
  <c r="F1149" i="43"/>
  <c r="Q22" i="42"/>
  <c r="O190" i="14"/>
  <c r="I89" i="40" s="1"/>
  <c r="I20" i="46" s="1"/>
  <c r="N336" i="41"/>
  <c r="N338" i="41" s="1"/>
  <c r="N350" i="41" s="1"/>
  <c r="L190" i="14"/>
  <c r="F89" i="40" s="1"/>
  <c r="F20" i="46" s="1"/>
  <c r="L202" i="14"/>
  <c r="I45" i="42"/>
  <c r="I44" i="42"/>
  <c r="F45" i="42"/>
  <c r="F44" i="42"/>
  <c r="G45" i="42"/>
  <c r="G44" i="42"/>
  <c r="K43" i="42"/>
  <c r="J45" i="42"/>
  <c r="J44" i="42"/>
  <c r="E45" i="42"/>
  <c r="E44" i="42"/>
  <c r="H45" i="42"/>
  <c r="H44" i="42"/>
  <c r="P336" i="41"/>
  <c r="P338" i="41" s="1"/>
  <c r="P350" i="41" s="1"/>
  <c r="P202" i="14"/>
  <c r="Q256" i="14"/>
  <c r="L336" i="41"/>
  <c r="L338" i="41" s="1"/>
  <c r="L350" i="41" s="1"/>
  <c r="O336" i="41"/>
  <c r="O338" i="41" s="1"/>
  <c r="O350" i="41" s="1"/>
  <c r="U202" i="14"/>
  <c r="R190" i="14"/>
  <c r="R193" i="14" s="1"/>
  <c r="I254" i="14"/>
  <c r="T190" i="14"/>
  <c r="N89" i="40" s="1"/>
  <c r="Q336" i="41"/>
  <c r="Q338" i="41" s="1"/>
  <c r="Q350" i="41" s="1"/>
  <c r="I187" i="14"/>
  <c r="N256" i="14"/>
  <c r="M336" i="41"/>
  <c r="M338" i="41" s="1"/>
  <c r="M350" i="41" s="1"/>
  <c r="R145" i="41"/>
  <c r="R152" i="41" s="1"/>
  <c r="N190" i="14"/>
  <c r="H89" i="40" s="1"/>
  <c r="H20" i="46" s="1"/>
  <c r="V190" i="14"/>
  <c r="V193" i="14" s="1"/>
  <c r="Q145" i="41"/>
  <c r="Q152" i="41" s="1"/>
  <c r="N145" i="41"/>
  <c r="N152" i="41" s="1"/>
  <c r="L145" i="41"/>
  <c r="L152" i="41" s="1"/>
  <c r="M145" i="41"/>
  <c r="M152" i="41" s="1"/>
  <c r="V46" i="15"/>
  <c r="V18" i="24"/>
  <c r="V20" i="24" s="1"/>
  <c r="V1453" i="11"/>
  <c r="V1455" i="11" s="1"/>
  <c r="V81" i="19"/>
  <c r="O145" i="41"/>
  <c r="O152" i="41" s="1"/>
  <c r="P145" i="41"/>
  <c r="P152" i="41" s="1"/>
  <c r="V18" i="25" l="1"/>
  <c r="V20" i="25" s="1"/>
  <c r="V37" i="25" s="1"/>
  <c r="S48" i="15"/>
  <c r="S22" i="25" s="1"/>
  <c r="D47" i="47"/>
  <c r="G37" i="45"/>
  <c r="U152" i="41"/>
  <c r="S152" i="41"/>
  <c r="O9" i="49"/>
  <c r="N9" i="49"/>
  <c r="N10" i="49" s="1"/>
  <c r="T145" i="41"/>
  <c r="U166" i="48"/>
  <c r="U169" i="48" s="1"/>
  <c r="U172" i="48" s="1"/>
  <c r="U248" i="48"/>
  <c r="T351" i="41"/>
  <c r="T358" i="41" s="1"/>
  <c r="O18" i="25"/>
  <c r="O20" i="25" s="1"/>
  <c r="O37" i="25" s="1"/>
  <c r="S259" i="14"/>
  <c r="S262" i="14" s="1"/>
  <c r="S272" i="14" s="1"/>
  <c r="M46" i="15"/>
  <c r="M49" i="15" s="1"/>
  <c r="M1453" i="11"/>
  <c r="M1455" i="11" s="1"/>
  <c r="M97" i="15" s="1"/>
  <c r="M71" i="24" s="1"/>
  <c r="M71" i="25" s="1"/>
  <c r="N1453" i="11"/>
  <c r="N1455" i="11" s="1"/>
  <c r="N1467" i="11" s="1"/>
  <c r="N81" i="19"/>
  <c r="S18" i="24"/>
  <c r="S20" i="24" s="1"/>
  <c r="S37" i="24" s="1"/>
  <c r="S46" i="15"/>
  <c r="S1453" i="11"/>
  <c r="S1455" i="11" s="1"/>
  <c r="S1467" i="11" s="1"/>
  <c r="N46" i="15"/>
  <c r="N49" i="15" s="1"/>
  <c r="Q1453" i="11"/>
  <c r="Q1455" i="11" s="1"/>
  <c r="Q97" i="15" s="1"/>
  <c r="Q71" i="24" s="1"/>
  <c r="Q71" i="25" s="1"/>
  <c r="O1255" i="43"/>
  <c r="M81" i="19"/>
  <c r="N18" i="24"/>
  <c r="N20" i="24" s="1"/>
  <c r="N37" i="24" s="1"/>
  <c r="Q18" i="24"/>
  <c r="Q20" i="24" s="1"/>
  <c r="Q37" i="24" s="1"/>
  <c r="Q81" i="19"/>
  <c r="Q46" i="15"/>
  <c r="Q63" i="15" s="1"/>
  <c r="L18" i="24"/>
  <c r="L20" i="24" s="1"/>
  <c r="S18" i="25"/>
  <c r="S20" i="25" s="1"/>
  <c r="O46" i="15"/>
  <c r="O49" i="15" s="1"/>
  <c r="S81" i="19"/>
  <c r="O18" i="24"/>
  <c r="O20" i="24" s="1"/>
  <c r="O37" i="24" s="1"/>
  <c r="L81" i="19"/>
  <c r="L1240" i="43"/>
  <c r="L1242" i="43" s="1"/>
  <c r="L1254" i="43" s="1"/>
  <c r="O1453" i="11"/>
  <c r="O1455" i="11" s="1"/>
  <c r="O97" i="15" s="1"/>
  <c r="O71" i="24" s="1"/>
  <c r="O71" i="25" s="1"/>
  <c r="O81" i="19"/>
  <c r="M18" i="24"/>
  <c r="M20" i="24" s="1"/>
  <c r="M37" i="24" s="1"/>
  <c r="M1240" i="43"/>
  <c r="M1242" i="43" s="1"/>
  <c r="M1254" i="43" s="1"/>
  <c r="N1255" i="43" s="1"/>
  <c r="N18" i="25"/>
  <c r="N20" i="25" s="1"/>
  <c r="N37" i="25" s="1"/>
  <c r="O19" i="49"/>
  <c r="N25" i="49"/>
  <c r="P21" i="49" s="1"/>
  <c r="L18" i="25"/>
  <c r="L20" i="25" s="1"/>
  <c r="L1453" i="11"/>
  <c r="L1455" i="11" s="1"/>
  <c r="L97" i="15" s="1"/>
  <c r="L71" i="24" s="1"/>
  <c r="L71" i="25" s="1"/>
  <c r="Q18" i="25"/>
  <c r="Q20" i="25" s="1"/>
  <c r="Q37" i="25" s="1"/>
  <c r="P8" i="49"/>
  <c r="O8" i="49"/>
  <c r="L9" i="47"/>
  <c r="Z8" i="47" s="1"/>
  <c r="Z9" i="47" s="1"/>
  <c r="M7" i="47"/>
  <c r="L178" i="48"/>
  <c r="I163" i="48"/>
  <c r="I230" i="48"/>
  <c r="L232" i="48"/>
  <c r="V166" i="48"/>
  <c r="V169" i="48" s="1"/>
  <c r="V172" i="48" s="1"/>
  <c r="V235" i="48"/>
  <c r="V238" i="48" s="1"/>
  <c r="S234" i="48"/>
  <c r="S235" i="48" s="1"/>
  <c r="S238" i="48" s="1"/>
  <c r="S166" i="48"/>
  <c r="S169" i="48" s="1"/>
  <c r="R234" i="48"/>
  <c r="R235" i="48" s="1"/>
  <c r="R238" i="48" s="1"/>
  <c r="R166" i="48"/>
  <c r="R169" i="48" s="1"/>
  <c r="M234" i="48"/>
  <c r="M235" i="48" s="1"/>
  <c r="M238" i="48" s="1"/>
  <c r="M166" i="48"/>
  <c r="M169" i="48" s="1"/>
  <c r="Q234" i="48"/>
  <c r="Q235" i="48" s="1"/>
  <c r="Q238" i="48" s="1"/>
  <c r="Q166" i="48"/>
  <c r="Q169" i="48" s="1"/>
  <c r="Q259" i="14"/>
  <c r="Q262" i="14" s="1"/>
  <c r="Q265" i="14" s="1"/>
  <c r="M190" i="14"/>
  <c r="G89" i="40" s="1"/>
  <c r="G20" i="46" s="1"/>
  <c r="I165" i="48"/>
  <c r="L234" i="48"/>
  <c r="L166" i="48"/>
  <c r="O234" i="48"/>
  <c r="O235" i="48" s="1"/>
  <c r="O238" i="48" s="1"/>
  <c r="O166" i="48"/>
  <c r="O169" i="48" s="1"/>
  <c r="S190" i="14"/>
  <c r="S193" i="14" s="1"/>
  <c r="S203" i="14" s="1"/>
  <c r="N259" i="14"/>
  <c r="N262" i="14" s="1"/>
  <c r="N272" i="14" s="1"/>
  <c r="T234" i="48"/>
  <c r="T235" i="48" s="1"/>
  <c r="T238" i="48" s="1"/>
  <c r="T166" i="48"/>
  <c r="T169" i="48" s="1"/>
  <c r="I189" i="14"/>
  <c r="N234" i="48"/>
  <c r="N235" i="48" s="1"/>
  <c r="N238" i="48" s="1"/>
  <c r="N166" i="48"/>
  <c r="N169" i="48" s="1"/>
  <c r="P259" i="14"/>
  <c r="P262" i="14" s="1"/>
  <c r="P265" i="14" s="1"/>
  <c r="P190" i="14"/>
  <c r="J89" i="40" s="1"/>
  <c r="J20" i="46" s="1"/>
  <c r="Q190" i="14"/>
  <c r="K89" i="40" s="1"/>
  <c r="K20" i="46" s="1"/>
  <c r="V18" i="46" s="1"/>
  <c r="P234" i="48"/>
  <c r="P235" i="48" s="1"/>
  <c r="P238" i="48" s="1"/>
  <c r="P166" i="48"/>
  <c r="P169" i="48" s="1"/>
  <c r="L25" i="45"/>
  <c r="L26" i="45" s="1"/>
  <c r="J8" i="47"/>
  <c r="J9" i="47" s="1"/>
  <c r="X8" i="47" s="1"/>
  <c r="X9" i="47" s="1"/>
  <c r="H25" i="45"/>
  <c r="H26" i="45" s="1"/>
  <c r="F8" i="47"/>
  <c r="F9" i="47" s="1"/>
  <c r="T8" i="47" s="1"/>
  <c r="T9" i="47" s="1"/>
  <c r="K25" i="45"/>
  <c r="K26" i="45" s="1"/>
  <c r="I8" i="47"/>
  <c r="I9" i="47" s="1"/>
  <c r="W8" i="47" s="1"/>
  <c r="W9" i="47" s="1"/>
  <c r="M25" i="45"/>
  <c r="M26" i="45" s="1"/>
  <c r="K8" i="47"/>
  <c r="K9" i="47" s="1"/>
  <c r="Y8" i="47" s="1"/>
  <c r="Y9" i="47" s="1"/>
  <c r="J25" i="45"/>
  <c r="J26" i="45" s="1"/>
  <c r="H8" i="47"/>
  <c r="H9" i="47" s="1"/>
  <c r="V8" i="47" s="1"/>
  <c r="V9" i="47" s="1"/>
  <c r="N20" i="46"/>
  <c r="Y18" i="46" s="1"/>
  <c r="F25" i="45"/>
  <c r="F26" i="45" s="1"/>
  <c r="F27" i="45"/>
  <c r="U271" i="14"/>
  <c r="F34" i="45"/>
  <c r="N25" i="45"/>
  <c r="N26" i="45" s="1"/>
  <c r="I103" i="40"/>
  <c r="F18" i="46"/>
  <c r="F29" i="46" s="1"/>
  <c r="Q18" i="46"/>
  <c r="P271" i="14"/>
  <c r="M259" i="14"/>
  <c r="M262" i="14" s="1"/>
  <c r="M265" i="14" s="1"/>
  <c r="S271" i="14"/>
  <c r="U196" i="14"/>
  <c r="U198" i="14" s="1"/>
  <c r="U267" i="14" s="1"/>
  <c r="O259" i="14"/>
  <c r="O262" i="14" s="1"/>
  <c r="O265" i="14" s="1"/>
  <c r="V259" i="14"/>
  <c r="V262" i="14" s="1"/>
  <c r="V272" i="14" s="1"/>
  <c r="N22" i="25"/>
  <c r="N22" i="24"/>
  <c r="L259" i="14"/>
  <c r="L262" i="14" s="1"/>
  <c r="V22" i="24"/>
  <c r="V23" i="24" s="1"/>
  <c r="V22" i="25"/>
  <c r="T22" i="25"/>
  <c r="T22" i="24"/>
  <c r="L22" i="25"/>
  <c r="L22" i="24"/>
  <c r="R22" i="25"/>
  <c r="R22" i="24"/>
  <c r="O22" i="24"/>
  <c r="O22" i="25"/>
  <c r="Q22" i="24"/>
  <c r="Q22" i="25"/>
  <c r="T259" i="14"/>
  <c r="T262" i="14" s="1"/>
  <c r="T265" i="14" s="1"/>
  <c r="R259" i="14"/>
  <c r="R262" i="14" s="1"/>
  <c r="R265" i="14" s="1"/>
  <c r="I258" i="14"/>
  <c r="L193" i="14"/>
  <c r="L203" i="14" s="1"/>
  <c r="L351" i="41"/>
  <c r="L358" i="41" s="1"/>
  <c r="O193" i="14"/>
  <c r="O196" i="14" s="1"/>
  <c r="R1453" i="11"/>
  <c r="R1455" i="11" s="1"/>
  <c r="R97" i="15" s="1"/>
  <c r="R71" i="24" s="1"/>
  <c r="R71" i="25" s="1"/>
  <c r="R1240" i="43"/>
  <c r="R1242" i="43" s="1"/>
  <c r="R1254" i="43" s="1"/>
  <c r="P46" i="15"/>
  <c r="P63" i="15" s="1"/>
  <c r="P1240" i="43"/>
  <c r="P1242" i="43" s="1"/>
  <c r="P1254" i="43" s="1"/>
  <c r="U18" i="25"/>
  <c r="U20" i="25" s="1"/>
  <c r="U37" i="25" s="1"/>
  <c r="U1240" i="43"/>
  <c r="U1242" i="43" s="1"/>
  <c r="U1254" i="43" s="1"/>
  <c r="V1255" i="43" s="1"/>
  <c r="T18" i="25"/>
  <c r="T20" i="25" s="1"/>
  <c r="T37" i="25" s="1"/>
  <c r="T1240" i="43"/>
  <c r="T1242" i="43" s="1"/>
  <c r="T1254" i="43" s="1"/>
  <c r="P351" i="41"/>
  <c r="P358" i="41" s="1"/>
  <c r="Q351" i="41"/>
  <c r="Q358" i="41" s="1"/>
  <c r="Q271" i="14"/>
  <c r="O351" i="41"/>
  <c r="O358" i="41" s="1"/>
  <c r="T81" i="19"/>
  <c r="L89" i="40"/>
  <c r="L20" i="46" s="1"/>
  <c r="W18" i="46" s="1"/>
  <c r="P81" i="19"/>
  <c r="T1453" i="11"/>
  <c r="T1455" i="11" s="1"/>
  <c r="T97" i="15" s="1"/>
  <c r="T71" i="24" s="1"/>
  <c r="T71" i="25" s="1"/>
  <c r="P18" i="25"/>
  <c r="P20" i="25" s="1"/>
  <c r="P37" i="25" s="1"/>
  <c r="T46" i="15"/>
  <c r="T49" i="15" s="1"/>
  <c r="T18" i="24"/>
  <c r="M351" i="41"/>
  <c r="M358" i="41" s="1"/>
  <c r="P1453" i="11"/>
  <c r="P1455" i="11" s="1"/>
  <c r="P1467" i="11" s="1"/>
  <c r="P18" i="24"/>
  <c r="P20" i="24" s="1"/>
  <c r="P37" i="24" s="1"/>
  <c r="U46" i="15"/>
  <c r="T193" i="14"/>
  <c r="U1453" i="11"/>
  <c r="U1455" i="11" s="1"/>
  <c r="U97" i="15" s="1"/>
  <c r="U71" i="24" s="1"/>
  <c r="U71" i="25" s="1"/>
  <c r="U18" i="24"/>
  <c r="U20" i="24" s="1"/>
  <c r="U37" i="24" s="1"/>
  <c r="U81" i="19"/>
  <c r="I44" i="15"/>
  <c r="N351" i="41"/>
  <c r="N358" i="41" s="1"/>
  <c r="R81" i="19"/>
  <c r="I256" i="14"/>
  <c r="N271" i="14"/>
  <c r="R351" i="41"/>
  <c r="R358" i="41" s="1"/>
  <c r="R18" i="25"/>
  <c r="R20" i="25" s="1"/>
  <c r="R37" i="25" s="1"/>
  <c r="R18" i="24"/>
  <c r="R20" i="24" s="1"/>
  <c r="R46" i="15"/>
  <c r="R49" i="15" s="1"/>
  <c r="N193" i="14"/>
  <c r="V196" i="14"/>
  <c r="V198" i="14" s="1"/>
  <c r="V267" i="14" s="1"/>
  <c r="V203" i="14"/>
  <c r="R203" i="14"/>
  <c r="R196" i="14"/>
  <c r="R198" i="14" s="1"/>
  <c r="R267" i="14" s="1"/>
  <c r="M37" i="25"/>
  <c r="V63" i="15"/>
  <c r="V49" i="15"/>
  <c r="L63" i="15"/>
  <c r="L49" i="15"/>
  <c r="F4" i="42"/>
  <c r="V97" i="15"/>
  <c r="V71" i="24" s="1"/>
  <c r="V71" i="25" s="1"/>
  <c r="V1467" i="11"/>
  <c r="U272" i="14"/>
  <c r="U265" i="14"/>
  <c r="V37" i="24"/>
  <c r="I48" i="15" l="1"/>
  <c r="S22" i="24"/>
  <c r="S49" i="15"/>
  <c r="G34" i="19" s="1"/>
  <c r="G35" i="19" s="1"/>
  <c r="V23" i="25"/>
  <c r="T20" i="24"/>
  <c r="T37" i="24" s="1"/>
  <c r="N65" i="40"/>
  <c r="S23" i="25"/>
  <c r="S38" i="25" s="1"/>
  <c r="E44" i="47"/>
  <c r="G34" i="45"/>
  <c r="T152" i="41"/>
  <c r="Z10" i="47"/>
  <c r="Z20" i="47"/>
  <c r="AA20" i="47" s="1"/>
  <c r="AB9" i="47"/>
  <c r="I120" i="40"/>
  <c r="K235" i="39"/>
  <c r="K236" i="39" s="1"/>
  <c r="S265" i="14"/>
  <c r="U179" i="48"/>
  <c r="M89" i="40"/>
  <c r="M20" i="46" s="1"/>
  <c r="X18" i="46" s="1"/>
  <c r="O23" i="25"/>
  <c r="Q272" i="14"/>
  <c r="M63" i="15"/>
  <c r="N97" i="15"/>
  <c r="N71" i="24" s="1"/>
  <c r="N71" i="25" s="1"/>
  <c r="Q1467" i="11"/>
  <c r="Q1468" i="11" s="1"/>
  <c r="Q72" i="15" s="1"/>
  <c r="M1467" i="11"/>
  <c r="N1468" i="11" s="1"/>
  <c r="N72" i="15" s="1"/>
  <c r="N63" i="15"/>
  <c r="N23" i="25"/>
  <c r="N38" i="25" s="1"/>
  <c r="S37" i="25"/>
  <c r="O23" i="24"/>
  <c r="Q49" i="15"/>
  <c r="Q27" i="15" s="1"/>
  <c r="S63" i="15"/>
  <c r="S23" i="24"/>
  <c r="S38" i="24" s="1"/>
  <c r="S97" i="15"/>
  <c r="S71" i="24" s="1"/>
  <c r="S71" i="25" s="1"/>
  <c r="Q23" i="25"/>
  <c r="Q23" i="24"/>
  <c r="M193" i="14"/>
  <c r="N23" i="24"/>
  <c r="L1467" i="11"/>
  <c r="L1468" i="11" s="1"/>
  <c r="L72" i="15" s="1"/>
  <c r="L46" i="25" s="1"/>
  <c r="L100" i="25" s="1"/>
  <c r="M1255" i="43"/>
  <c r="L1255" i="43"/>
  <c r="O1467" i="11"/>
  <c r="O1468" i="11" s="1"/>
  <c r="O72" i="15" s="1"/>
  <c r="O63" i="15"/>
  <c r="P193" i="14"/>
  <c r="P203" i="14" s="1"/>
  <c r="N265" i="14"/>
  <c r="I190" i="14"/>
  <c r="P272" i="14"/>
  <c r="G4" i="42"/>
  <c r="J103" i="40"/>
  <c r="V179" i="48"/>
  <c r="Q193" i="14"/>
  <c r="Q196" i="14" s="1"/>
  <c r="Q198" i="14" s="1"/>
  <c r="Q267" i="14" s="1"/>
  <c r="K103" i="40"/>
  <c r="V241" i="48"/>
  <c r="V248" i="48"/>
  <c r="M272" i="14"/>
  <c r="L247" i="48"/>
  <c r="I232" i="48"/>
  <c r="N248" i="48"/>
  <c r="N241" i="48"/>
  <c r="M179" i="48"/>
  <c r="M172" i="48"/>
  <c r="R172" i="48"/>
  <c r="R179" i="48"/>
  <c r="O241" i="48"/>
  <c r="O248" i="48"/>
  <c r="R248" i="48"/>
  <c r="R241" i="48"/>
  <c r="P248" i="48"/>
  <c r="P241" i="48"/>
  <c r="L169" i="48"/>
  <c r="I166" i="48"/>
  <c r="S179" i="48"/>
  <c r="S172" i="48"/>
  <c r="Q172" i="48"/>
  <c r="Q179" i="48"/>
  <c r="I234" i="48"/>
  <c r="L235" i="48"/>
  <c r="S248" i="48"/>
  <c r="S241" i="48"/>
  <c r="T179" i="48"/>
  <c r="T172" i="48"/>
  <c r="M248" i="48"/>
  <c r="M241" i="48"/>
  <c r="U174" i="48"/>
  <c r="U243" i="48" s="1"/>
  <c r="U244" i="48" s="1"/>
  <c r="U249" i="48" s="1"/>
  <c r="N172" i="48"/>
  <c r="N179" i="48"/>
  <c r="Q248" i="48"/>
  <c r="Q241" i="48"/>
  <c r="T248" i="48"/>
  <c r="T241" i="48"/>
  <c r="V174" i="48"/>
  <c r="V243" i="48" s="1"/>
  <c r="S196" i="14"/>
  <c r="S198" i="14" s="1"/>
  <c r="S267" i="14" s="1"/>
  <c r="O179" i="48"/>
  <c r="O172" i="48"/>
  <c r="P172" i="48"/>
  <c r="P179" i="48"/>
  <c r="M103" i="40"/>
  <c r="M119" i="40" s="1"/>
  <c r="N18" i="46"/>
  <c r="I119" i="40"/>
  <c r="H103" i="40"/>
  <c r="H4" i="42"/>
  <c r="I4" i="42" s="1"/>
  <c r="L103" i="40"/>
  <c r="L18" i="46"/>
  <c r="L29" i="46" s="1"/>
  <c r="U18" i="46"/>
  <c r="J18" i="46"/>
  <c r="J29" i="46" s="1"/>
  <c r="H18" i="46"/>
  <c r="S18" i="46"/>
  <c r="T18" i="46"/>
  <c r="I18" i="46"/>
  <c r="I29" i="46" s="1"/>
  <c r="K18" i="46"/>
  <c r="K29" i="46" s="1"/>
  <c r="R18" i="46"/>
  <c r="G18" i="46"/>
  <c r="G29" i="46" s="1"/>
  <c r="U199" i="14"/>
  <c r="U204" i="14" s="1"/>
  <c r="L196" i="14"/>
  <c r="L198" i="14" s="1"/>
  <c r="L267" i="14" s="1"/>
  <c r="V265" i="14"/>
  <c r="V268" i="14" s="1"/>
  <c r="V273" i="14" s="1"/>
  <c r="O272" i="14"/>
  <c r="T272" i="14"/>
  <c r="R23" i="24"/>
  <c r="U49" i="15"/>
  <c r="R272" i="14"/>
  <c r="I259" i="14"/>
  <c r="O203" i="14"/>
  <c r="U22" i="24"/>
  <c r="U23" i="24" s="1"/>
  <c r="U38" i="24" s="1"/>
  <c r="U22" i="25"/>
  <c r="U23" i="25" s="1"/>
  <c r="U38" i="25" s="1"/>
  <c r="M22" i="25"/>
  <c r="M22" i="24"/>
  <c r="P22" i="25"/>
  <c r="P23" i="25" s="1"/>
  <c r="P22" i="24"/>
  <c r="P23" i="24" s="1"/>
  <c r="P49" i="15"/>
  <c r="R1467" i="11"/>
  <c r="T23" i="25"/>
  <c r="U1255" i="43"/>
  <c r="T1255" i="43"/>
  <c r="Q1255" i="43"/>
  <c r="P1255" i="43"/>
  <c r="S1255" i="43"/>
  <c r="R1255" i="43"/>
  <c r="F103" i="40"/>
  <c r="H235" i="39" s="1"/>
  <c r="H236" i="39" s="1"/>
  <c r="T63" i="15"/>
  <c r="P97" i="15"/>
  <c r="P71" i="24" s="1"/>
  <c r="P71" i="25" s="1"/>
  <c r="T23" i="24"/>
  <c r="T1467" i="11"/>
  <c r="T1468" i="11" s="1"/>
  <c r="T72" i="15" s="1"/>
  <c r="I81" i="19"/>
  <c r="U63" i="15"/>
  <c r="T203" i="14"/>
  <c r="T196" i="14"/>
  <c r="T198" i="14" s="1"/>
  <c r="T267" i="14" s="1"/>
  <c r="U1467" i="11"/>
  <c r="V1468" i="11" s="1"/>
  <c r="V72" i="15" s="1"/>
  <c r="I46" i="15"/>
  <c r="R23" i="25"/>
  <c r="R63" i="15"/>
  <c r="I18" i="24"/>
  <c r="I18" i="25"/>
  <c r="R37" i="24"/>
  <c r="N203" i="14"/>
  <c r="N196" i="14"/>
  <c r="N198" i="14" s="1"/>
  <c r="N267" i="14" s="1"/>
  <c r="V199" i="14"/>
  <c r="V204" i="14" s="1"/>
  <c r="U268" i="14"/>
  <c r="U273" i="14" s="1"/>
  <c r="T82" i="19"/>
  <c r="T64" i="15"/>
  <c r="M64" i="15"/>
  <c r="M27" i="15"/>
  <c r="M82" i="19"/>
  <c r="V38" i="24"/>
  <c r="L27" i="15"/>
  <c r="L64" i="15"/>
  <c r="L82" i="19"/>
  <c r="O198" i="14"/>
  <c r="O267" i="14" s="1"/>
  <c r="L37" i="25"/>
  <c r="L23" i="25"/>
  <c r="I20" i="25"/>
  <c r="V82" i="19"/>
  <c r="V64" i="15"/>
  <c r="L272" i="14"/>
  <c r="L265" i="14"/>
  <c r="I262" i="14"/>
  <c r="R199" i="14"/>
  <c r="R204" i="14" s="1"/>
  <c r="N82" i="19"/>
  <c r="N27" i="15"/>
  <c r="N64" i="15"/>
  <c r="V38" i="25"/>
  <c r="R27" i="15"/>
  <c r="R82" i="19"/>
  <c r="R64" i="15"/>
  <c r="O27" i="15"/>
  <c r="O82" i="19"/>
  <c r="O64" i="15"/>
  <c r="L37" i="24"/>
  <c r="L23" i="24"/>
  <c r="I20" i="24"/>
  <c r="S64" i="15" l="1"/>
  <c r="S82" i="19"/>
  <c r="S27" i="15"/>
  <c r="T38" i="24"/>
  <c r="T24" i="24"/>
  <c r="J120" i="40"/>
  <c r="L235" i="39"/>
  <c r="L236" i="39" s="1"/>
  <c r="L119" i="40"/>
  <c r="N235" i="39"/>
  <c r="N236" i="39" s="1"/>
  <c r="K119" i="40"/>
  <c r="M235" i="39"/>
  <c r="M236" i="39" s="1"/>
  <c r="H119" i="40"/>
  <c r="J235" i="39"/>
  <c r="J236" i="39" s="1"/>
  <c r="O38" i="25"/>
  <c r="O38" i="24"/>
  <c r="U175" i="48"/>
  <c r="U180" i="48" s="1"/>
  <c r="P1468" i="11"/>
  <c r="P72" i="15" s="1"/>
  <c r="P46" i="25" s="1"/>
  <c r="P100" i="25" s="1"/>
  <c r="I193" i="14"/>
  <c r="R1468" i="11"/>
  <c r="R72" i="15" s="1"/>
  <c r="R124" i="15" s="1"/>
  <c r="N38" i="24"/>
  <c r="M1468" i="11"/>
  <c r="M72" i="15" s="1"/>
  <c r="M46" i="24" s="1"/>
  <c r="M100" i="24" s="1"/>
  <c r="Q38" i="24"/>
  <c r="Q82" i="19"/>
  <c r="M203" i="14"/>
  <c r="Q38" i="25"/>
  <c r="Q64" i="15"/>
  <c r="M196" i="14"/>
  <c r="M198" i="14" s="1"/>
  <c r="M267" i="14" s="1"/>
  <c r="L46" i="24"/>
  <c r="L100" i="24" s="1"/>
  <c r="L124" i="15"/>
  <c r="P196" i="14"/>
  <c r="P198" i="14" s="1"/>
  <c r="P267" i="14" s="1"/>
  <c r="Q203" i="14"/>
  <c r="G103" i="40"/>
  <c r="K120" i="40"/>
  <c r="M18" i="46"/>
  <c r="M29" i="46" s="1"/>
  <c r="J119" i="40"/>
  <c r="V244" i="48"/>
  <c r="V249" i="48" s="1"/>
  <c r="H120" i="40"/>
  <c r="V175" i="48"/>
  <c r="V180" i="48" s="1"/>
  <c r="L179" i="48"/>
  <c r="L172" i="48"/>
  <c r="I169" i="48"/>
  <c r="T174" i="48"/>
  <c r="T243" i="48" s="1"/>
  <c r="T244" i="48" s="1"/>
  <c r="T249" i="48" s="1"/>
  <c r="R174" i="48"/>
  <c r="R243" i="48" s="1"/>
  <c r="R244" i="48" s="1"/>
  <c r="R249" i="48" s="1"/>
  <c r="M174" i="48"/>
  <c r="M243" i="48" s="1"/>
  <c r="M244" i="48" s="1"/>
  <c r="M249" i="48" s="1"/>
  <c r="P174" i="48"/>
  <c r="P243" i="48" s="1"/>
  <c r="P244" i="48" s="1"/>
  <c r="P249" i="48" s="1"/>
  <c r="O174" i="48"/>
  <c r="O243" i="48" s="1"/>
  <c r="O244" i="48" s="1"/>
  <c r="O249" i="48" s="1"/>
  <c r="Q174" i="48"/>
  <c r="Q243" i="48" s="1"/>
  <c r="Q244" i="48" s="1"/>
  <c r="Q249" i="48" s="1"/>
  <c r="L238" i="48"/>
  <c r="I235" i="48"/>
  <c r="S174" i="48"/>
  <c r="S243" i="48" s="1"/>
  <c r="S244" i="48" s="1"/>
  <c r="S249" i="48" s="1"/>
  <c r="S199" i="14"/>
  <c r="S204" i="14" s="1"/>
  <c r="N174" i="48"/>
  <c r="N243" i="48" s="1"/>
  <c r="N244" i="48" s="1"/>
  <c r="N249" i="48" s="1"/>
  <c r="M120" i="40"/>
  <c r="F36" i="46"/>
  <c r="F38" i="46" s="1"/>
  <c r="N29" i="46"/>
  <c r="L120" i="40"/>
  <c r="E36" i="46"/>
  <c r="E38" i="46" s="1"/>
  <c r="H29" i="46"/>
  <c r="U82" i="19"/>
  <c r="U64" i="15"/>
  <c r="I265" i="14"/>
  <c r="R38" i="24"/>
  <c r="I49" i="15"/>
  <c r="L199" i="14"/>
  <c r="L204" i="14" s="1"/>
  <c r="L268" i="14"/>
  <c r="I22" i="24"/>
  <c r="M23" i="24"/>
  <c r="I23" i="24" s="1"/>
  <c r="P82" i="19"/>
  <c r="Q268" i="14"/>
  <c r="Q273" i="14" s="1"/>
  <c r="I22" i="25"/>
  <c r="M23" i="25"/>
  <c r="I23" i="25" s="1"/>
  <c r="P64" i="15"/>
  <c r="P27" i="15"/>
  <c r="T38" i="25"/>
  <c r="S1468" i="11"/>
  <c r="S72" i="15" s="1"/>
  <c r="S124" i="15" s="1"/>
  <c r="N119" i="40"/>
  <c r="N120" i="40"/>
  <c r="T268" i="14"/>
  <c r="T273" i="14" s="1"/>
  <c r="P38" i="25"/>
  <c r="T199" i="14"/>
  <c r="T204" i="14" s="1"/>
  <c r="U1468" i="11"/>
  <c r="U72" i="15" s="1"/>
  <c r="U46" i="25" s="1"/>
  <c r="U100" i="25" s="1"/>
  <c r="P38" i="24"/>
  <c r="R38" i="25"/>
  <c r="O199" i="14"/>
  <c r="O204" i="14" s="1"/>
  <c r="N199" i="14"/>
  <c r="N204" i="14" s="1"/>
  <c r="O268" i="14"/>
  <c r="O273" i="14" s="1"/>
  <c r="Q199" i="14"/>
  <c r="Q204" i="14" s="1"/>
  <c r="O124" i="15"/>
  <c r="O46" i="25"/>
  <c r="O100" i="25" s="1"/>
  <c r="O46" i="24"/>
  <c r="O100" i="24" s="1"/>
  <c r="R268" i="14"/>
  <c r="R273" i="14" s="1"/>
  <c r="N124" i="15"/>
  <c r="N46" i="24"/>
  <c r="N100" i="24" s="1"/>
  <c r="N46" i="25"/>
  <c r="N100" i="25" s="1"/>
  <c r="S268" i="14"/>
  <c r="S273" i="14" s="1"/>
  <c r="V46" i="24"/>
  <c r="V100" i="24" s="1"/>
  <c r="V46" i="25"/>
  <c r="V100" i="25" s="1"/>
  <c r="V124" i="15"/>
  <c r="L38" i="25"/>
  <c r="Q46" i="25"/>
  <c r="Q100" i="25" s="1"/>
  <c r="Q124" i="15"/>
  <c r="Q46" i="24"/>
  <c r="Q100" i="24" s="1"/>
  <c r="L38" i="24"/>
  <c r="T46" i="24"/>
  <c r="T100" i="24" s="1"/>
  <c r="T46" i="25"/>
  <c r="T100" i="25" s="1"/>
  <c r="T124" i="15"/>
  <c r="G119" i="40" l="1"/>
  <c r="I235" i="39"/>
  <c r="I236" i="39" s="1"/>
  <c r="M124" i="15"/>
  <c r="M46" i="25"/>
  <c r="M100" i="25" s="1"/>
  <c r="P124" i="15"/>
  <c r="P46" i="24"/>
  <c r="P100" i="24" s="1"/>
  <c r="R46" i="25"/>
  <c r="R100" i="25" s="1"/>
  <c r="R175" i="48"/>
  <c r="R180" i="48" s="1"/>
  <c r="R46" i="24"/>
  <c r="R100" i="24" s="1"/>
  <c r="M199" i="14"/>
  <c r="M204" i="14" s="1"/>
  <c r="I198" i="14"/>
  <c r="P268" i="14"/>
  <c r="P273" i="14" s="1"/>
  <c r="I196" i="14"/>
  <c r="P199" i="14"/>
  <c r="P204" i="14" s="1"/>
  <c r="G120" i="40"/>
  <c r="S175" i="48"/>
  <c r="S180" i="48" s="1"/>
  <c r="O175" i="48"/>
  <c r="O180" i="48" s="1"/>
  <c r="N175" i="48"/>
  <c r="N180" i="48" s="1"/>
  <c r="T175" i="48"/>
  <c r="T180" i="48" s="1"/>
  <c r="M175" i="48"/>
  <c r="M180" i="48" s="1"/>
  <c r="L248" i="48"/>
  <c r="L241" i="48"/>
  <c r="I238" i="48"/>
  <c r="P175" i="48"/>
  <c r="P180" i="48" s="1"/>
  <c r="Q175" i="48"/>
  <c r="Q180" i="48" s="1"/>
  <c r="L174" i="48"/>
  <c r="L175" i="48" s="1"/>
  <c r="I172" i="48"/>
  <c r="I82" i="19"/>
  <c r="N268" i="14"/>
  <c r="N273" i="14" s="1"/>
  <c r="M268" i="14"/>
  <c r="M273" i="14" s="1"/>
  <c r="M38" i="24"/>
  <c r="M38" i="25"/>
  <c r="S46" i="25"/>
  <c r="S100" i="25" s="1"/>
  <c r="S46" i="24"/>
  <c r="S100" i="24" s="1"/>
  <c r="U46" i="24"/>
  <c r="U100" i="24" s="1"/>
  <c r="U124" i="15"/>
  <c r="L273" i="14"/>
  <c r="I267" i="14"/>
  <c r="I124" i="15" l="1"/>
  <c r="I199" i="14"/>
  <c r="L180" i="48"/>
  <c r="I175" i="48"/>
  <c r="I241" i="48"/>
  <c r="I174" i="48"/>
  <c r="L243" i="48"/>
  <c r="I243" i="48" s="1"/>
  <c r="J200" i="41"/>
  <c r="I200" i="41"/>
  <c r="L200" i="41"/>
  <c r="M200" i="41"/>
  <c r="I268" i="14"/>
  <c r="L244" i="48" l="1"/>
  <c r="L249" i="48" s="1"/>
  <c r="O200" i="41"/>
  <c r="P200" i="41"/>
  <c r="J201" i="41"/>
  <c r="J202" i="41" s="1"/>
  <c r="N200" i="41"/>
  <c r="R200" i="41"/>
  <c r="S201" i="41" s="1"/>
  <c r="S202" i="41" s="1"/>
  <c r="M201" i="41"/>
  <c r="M202" i="41" s="1"/>
  <c r="K200" i="41"/>
  <c r="L201" i="41" s="1"/>
  <c r="L202" i="41" s="1"/>
  <c r="I244" i="48" l="1"/>
  <c r="O201" i="41"/>
  <c r="O202" i="41" s="1"/>
  <c r="K201" i="41"/>
  <c r="K202" i="41" s="1"/>
  <c r="P201" i="41"/>
  <c r="P202" i="41" s="1"/>
  <c r="N201" i="41"/>
  <c r="N202" i="41" s="1"/>
  <c r="T12" i="42" l="1"/>
  <c r="W12" i="42" s="1"/>
  <c r="T19" i="42" l="1"/>
  <c r="T21" i="42" s="1"/>
  <c r="W19" i="42" l="1"/>
  <c r="W21" i="42" s="1"/>
  <c r="J1124" i="43" l="1"/>
  <c r="J1171" i="43"/>
  <c r="D69" i="42" s="1"/>
  <c r="D85" i="42" s="1"/>
  <c r="J1173" i="43" l="1"/>
  <c r="K29" i="19" l="1"/>
  <c r="K36" i="19" s="1"/>
  <c r="L29" i="19"/>
  <c r="L37" i="19" s="1"/>
  <c r="K37" i="19" l="1"/>
  <c r="K38" i="19" s="1"/>
  <c r="E116" i="40"/>
  <c r="F116" i="40"/>
  <c r="L36" i="19"/>
  <c r="K58" i="19"/>
  <c r="F119" i="40"/>
  <c r="L58" i="19"/>
  <c r="E119" i="40"/>
  <c r="K53" i="19"/>
  <c r="K41" i="19" l="1"/>
  <c r="K42" i="19" s="1"/>
  <c r="K47" i="19" s="1"/>
  <c r="F16" i="39" s="1"/>
  <c r="F17" i="39" s="1"/>
  <c r="E120" i="40"/>
  <c r="E117" i="40"/>
  <c r="I37" i="19"/>
  <c r="E123" i="40"/>
  <c r="L75" i="19"/>
  <c r="D180" i="39"/>
  <c r="K60" i="19"/>
  <c r="K75" i="19"/>
  <c r="L38" i="19"/>
  <c r="I36" i="19"/>
  <c r="K48" i="19" l="1"/>
  <c r="K49" i="19" s="1"/>
  <c r="F120" i="40"/>
  <c r="F117" i="40"/>
  <c r="I38" i="19"/>
  <c r="I75" i="19"/>
  <c r="H75" i="19" s="1"/>
  <c r="E124" i="40"/>
  <c r="K1500" i="11" l="1"/>
  <c r="K1506" i="11" s="1"/>
  <c r="K1507" i="11" s="1"/>
  <c r="K1285" i="43"/>
  <c r="K1291" i="43" s="1"/>
  <c r="K1292" i="43" s="1"/>
  <c r="L1290" i="43" s="1"/>
  <c r="K81" i="15" l="1"/>
  <c r="K55" i="24" s="1"/>
  <c r="L1505" i="11"/>
  <c r="K109" i="15"/>
  <c r="K55" i="25" l="1"/>
  <c r="K55" i="36" s="1"/>
  <c r="K83" i="24"/>
  <c r="K83" i="25" l="1"/>
  <c r="I61" i="19" l="1"/>
  <c r="Q200" i="41"/>
  <c r="K151" i="41"/>
  <c r="K357" i="41" s="1"/>
  <c r="J370" i="41" s="1"/>
  <c r="S153" i="11"/>
  <c r="L1482" i="11"/>
  <c r="Q201" i="41" l="1"/>
  <c r="Q202" i="41" s="1"/>
  <c r="H200" i="41"/>
  <c r="I201" i="41" s="1"/>
  <c r="I202" i="41" s="1"/>
  <c r="R201" i="41"/>
  <c r="R202" i="41" s="1"/>
  <c r="V153" i="11"/>
  <c r="H1482" i="11"/>
  <c r="L1498" i="11"/>
  <c r="L1494" i="11" s="1"/>
  <c r="L1484" i="11"/>
  <c r="F156" i="11"/>
  <c r="N153" i="11"/>
  <c r="M153" i="11"/>
  <c r="U153" i="11"/>
  <c r="L153" i="11"/>
  <c r="O153" i="11"/>
  <c r="R153" i="11"/>
  <c r="T153" i="11"/>
  <c r="Q153" i="11"/>
  <c r="P153" i="11"/>
  <c r="J153" i="11"/>
  <c r="K153" i="11"/>
  <c r="H202" i="41" l="1"/>
  <c r="H207" i="41" s="1"/>
  <c r="E145" i="40" s="1"/>
  <c r="I153" i="11"/>
  <c r="N158" i="11"/>
  <c r="N150" i="11" s="1"/>
  <c r="N51" i="14" s="1"/>
  <c r="N51" i="15" s="1"/>
  <c r="V158" i="11"/>
  <c r="V150" i="11" s="1"/>
  <c r="V51" i="14" s="1"/>
  <c r="V51" i="15" s="1"/>
  <c r="O158" i="11"/>
  <c r="O150" i="11" s="1"/>
  <c r="O51" i="14" s="1"/>
  <c r="O51" i="15" s="1"/>
  <c r="S158" i="11"/>
  <c r="S150" i="11" s="1"/>
  <c r="S51" i="14" s="1"/>
  <c r="S51" i="15" s="1"/>
  <c r="J158" i="11"/>
  <c r="J150" i="11" s="1"/>
  <c r="U158" i="11"/>
  <c r="U150" i="11" s="1"/>
  <c r="U51" i="14" s="1"/>
  <c r="U51" i="15" s="1"/>
  <c r="T158" i="11"/>
  <c r="T150" i="11" s="1"/>
  <c r="T51" i="14" s="1"/>
  <c r="T51" i="15" s="1"/>
  <c r="R158" i="11"/>
  <c r="R150" i="11" s="1"/>
  <c r="R51" i="14" s="1"/>
  <c r="R51" i="15" s="1"/>
  <c r="P158" i="11"/>
  <c r="P150" i="11" s="1"/>
  <c r="P51" i="14" s="1"/>
  <c r="P51" i="15" s="1"/>
  <c r="Q158" i="11"/>
  <c r="Q150" i="11" s="1"/>
  <c r="Q51" i="14" s="1"/>
  <c r="Q51" i="15" s="1"/>
  <c r="L158" i="11"/>
  <c r="L150" i="11" s="1"/>
  <c r="L51" i="14" s="1"/>
  <c r="L51" i="15" s="1"/>
  <c r="M158" i="11"/>
  <c r="M150" i="11" s="1"/>
  <c r="M51" i="14" s="1"/>
  <c r="M51" i="15" s="1"/>
  <c r="K158" i="11"/>
  <c r="K150" i="11" s="1"/>
  <c r="K51" i="14" s="1"/>
  <c r="K51" i="15" s="1"/>
  <c r="L1521" i="11"/>
  <c r="L1487" i="11"/>
  <c r="L77" i="15"/>
  <c r="L59" i="19"/>
  <c r="L44" i="19"/>
  <c r="M25" i="25" l="1"/>
  <c r="M25" i="24"/>
  <c r="M1488" i="11"/>
  <c r="M122" i="15"/>
  <c r="M71" i="15"/>
  <c r="M45" i="24" s="1"/>
  <c r="M1274" i="43"/>
  <c r="M52" i="15"/>
  <c r="K1488" i="11"/>
  <c r="K25" i="25"/>
  <c r="K122" i="15"/>
  <c r="K1274" i="43"/>
  <c r="K25" i="24"/>
  <c r="K71" i="15"/>
  <c r="K45" i="24" s="1"/>
  <c r="K52" i="15"/>
  <c r="P1274" i="43"/>
  <c r="P71" i="15"/>
  <c r="P45" i="24" s="1"/>
  <c r="P25" i="24"/>
  <c r="P1488" i="11"/>
  <c r="P122" i="15"/>
  <c r="P25" i="25"/>
  <c r="P52" i="15"/>
  <c r="U25" i="24"/>
  <c r="U71" i="15"/>
  <c r="U45" i="24" s="1"/>
  <c r="U1274" i="43"/>
  <c r="U1488" i="11"/>
  <c r="U122" i="15"/>
  <c r="U25" i="25"/>
  <c r="U52" i="15"/>
  <c r="V71" i="15"/>
  <c r="V45" i="24" s="1"/>
  <c r="V25" i="25"/>
  <c r="V1488" i="11"/>
  <c r="V1274" i="43"/>
  <c r="V122" i="15"/>
  <c r="V25" i="24"/>
  <c r="V52" i="15"/>
  <c r="L1274" i="43"/>
  <c r="L25" i="25"/>
  <c r="L122" i="15"/>
  <c r="L71" i="15"/>
  <c r="L45" i="24" s="1"/>
  <c r="L25" i="24"/>
  <c r="L1488" i="11"/>
  <c r="L52" i="15"/>
  <c r="R1488" i="11"/>
  <c r="R25" i="25"/>
  <c r="R25" i="24"/>
  <c r="R122" i="15"/>
  <c r="R71" i="15"/>
  <c r="R45" i="24" s="1"/>
  <c r="R1274" i="43"/>
  <c r="R52" i="15"/>
  <c r="S122" i="15"/>
  <c r="S1488" i="11"/>
  <c r="S71" i="15"/>
  <c r="S45" i="24" s="1"/>
  <c r="S25" i="24"/>
  <c r="S1274" i="43"/>
  <c r="S25" i="25"/>
  <c r="S52" i="15"/>
  <c r="N1274" i="43"/>
  <c r="N25" i="25"/>
  <c r="N71" i="15"/>
  <c r="N45" i="24" s="1"/>
  <c r="N25" i="24"/>
  <c r="N122" i="15"/>
  <c r="N1488" i="11"/>
  <c r="N52" i="15"/>
  <c r="Q1274" i="43"/>
  <c r="Q1488" i="11"/>
  <c r="Q71" i="15"/>
  <c r="Q45" i="24" s="1"/>
  <c r="Q25" i="25"/>
  <c r="Q122" i="15"/>
  <c r="Q25" i="24"/>
  <c r="Q52" i="15"/>
  <c r="T25" i="25"/>
  <c r="T1488" i="11"/>
  <c r="T71" i="15"/>
  <c r="T45" i="24" s="1"/>
  <c r="T122" i="15"/>
  <c r="T1274" i="43"/>
  <c r="T25" i="24"/>
  <c r="T52" i="15"/>
  <c r="O25" i="24"/>
  <c r="O71" i="15"/>
  <c r="O45" i="24" s="1"/>
  <c r="O1274" i="43"/>
  <c r="O1488" i="11"/>
  <c r="O25" i="25"/>
  <c r="O122" i="15"/>
  <c r="O52" i="15"/>
  <c r="T150" i="41"/>
  <c r="T356" i="41" s="1"/>
  <c r="U52" i="14"/>
  <c r="O52" i="14"/>
  <c r="N150" i="41"/>
  <c r="N356" i="41" s="1"/>
  <c r="N52" i="14"/>
  <c r="M150" i="41"/>
  <c r="M356" i="41" s="1"/>
  <c r="K52" i="14"/>
  <c r="J150" i="41"/>
  <c r="J356" i="41" s="1"/>
  <c r="L52" i="14"/>
  <c r="K150" i="41"/>
  <c r="K356" i="41" s="1"/>
  <c r="O150" i="41"/>
  <c r="O356" i="41" s="1"/>
  <c r="P52" i="14"/>
  <c r="Q150" i="41"/>
  <c r="Q356" i="41" s="1"/>
  <c r="R52" i="14"/>
  <c r="AC219" i="39"/>
  <c r="F57" i="39"/>
  <c r="I57" i="38"/>
  <c r="G57" i="38"/>
  <c r="H57" i="39"/>
  <c r="D133" i="39"/>
  <c r="E133" i="39"/>
  <c r="D57" i="38"/>
  <c r="F57" i="38"/>
  <c r="AF219" i="39"/>
  <c r="M219" i="39"/>
  <c r="AA219" i="39"/>
  <c r="K219" i="39"/>
  <c r="AE219" i="39"/>
  <c r="H57" i="38"/>
  <c r="N57" i="38"/>
  <c r="AJ57" i="38"/>
  <c r="J57" i="38"/>
  <c r="J219" i="39"/>
  <c r="E219" i="39"/>
  <c r="R219" i="39" s="1"/>
  <c r="Y57" i="38"/>
  <c r="N219" i="39"/>
  <c r="I219" i="39"/>
  <c r="I228" i="39" s="1"/>
  <c r="L219" i="39"/>
  <c r="I59" i="19"/>
  <c r="C57" i="38"/>
  <c r="K57" i="38"/>
  <c r="D57" i="39"/>
  <c r="Q57" i="39"/>
  <c r="H219" i="39"/>
  <c r="AB219" i="39"/>
  <c r="AD219" i="39"/>
  <c r="G219" i="39"/>
  <c r="E57" i="39"/>
  <c r="F219" i="39"/>
  <c r="E57" i="38"/>
  <c r="D219" i="39"/>
  <c r="Q219" i="39" s="1"/>
  <c r="AV57" i="38"/>
  <c r="G57" i="39"/>
  <c r="P150" i="41"/>
  <c r="P356" i="41" s="1"/>
  <c r="Q52" i="14"/>
  <c r="L51" i="24"/>
  <c r="L78" i="15"/>
  <c r="L123" i="15"/>
  <c r="L51" i="25"/>
  <c r="U150" i="41"/>
  <c r="U356" i="41" s="1"/>
  <c r="V52" i="14"/>
  <c r="L1523" i="11"/>
  <c r="L1524" i="11"/>
  <c r="L150" i="41"/>
  <c r="L356" i="41" s="1"/>
  <c r="M52" i="14"/>
  <c r="S150" i="41"/>
  <c r="S356" i="41" s="1"/>
  <c r="T52" i="14"/>
  <c r="J51" i="14"/>
  <c r="J51" i="15" s="1"/>
  <c r="I150" i="11"/>
  <c r="I158" i="11"/>
  <c r="L46" i="19"/>
  <c r="I44" i="19"/>
  <c r="G41" i="19" s="1"/>
  <c r="L45" i="19"/>
  <c r="L41" i="19"/>
  <c r="G8" i="39"/>
  <c r="G9" i="39" s="1"/>
  <c r="M42" i="19"/>
  <c r="S52" i="14"/>
  <c r="R150" i="41"/>
  <c r="R356" i="41" s="1"/>
  <c r="Q148" i="41" l="1"/>
  <c r="R63" i="14"/>
  <c r="P148" i="41"/>
  <c r="Q63" i="14"/>
  <c r="O148" i="41"/>
  <c r="P63" i="14"/>
  <c r="K148" i="41"/>
  <c r="L63" i="14"/>
  <c r="S148" i="41"/>
  <c r="T63" i="14"/>
  <c r="L148" i="41"/>
  <c r="M63" i="14"/>
  <c r="R148" i="41"/>
  <c r="S63" i="14"/>
  <c r="J148" i="41"/>
  <c r="K63" i="14"/>
  <c r="U148" i="41"/>
  <c r="V63" i="14"/>
  <c r="M148" i="41"/>
  <c r="N63" i="14"/>
  <c r="N148" i="41"/>
  <c r="O63" i="14"/>
  <c r="T148" i="41"/>
  <c r="U63" i="14"/>
  <c r="M226" i="39"/>
  <c r="M228" i="39"/>
  <c r="M223" i="39"/>
  <c r="M230" i="39"/>
  <c r="M225" i="39"/>
  <c r="M227" i="39"/>
  <c r="M222" i="39"/>
  <c r="M229" i="39"/>
  <c r="M224" i="39"/>
  <c r="J228" i="39"/>
  <c r="J223" i="39"/>
  <c r="J230" i="39"/>
  <c r="J225" i="39"/>
  <c r="J227" i="39"/>
  <c r="J222" i="39"/>
  <c r="J229" i="39"/>
  <c r="J224" i="39"/>
  <c r="J226" i="39"/>
  <c r="F230" i="39"/>
  <c r="F243" i="39"/>
  <c r="F244" i="39" s="1"/>
  <c r="F241" i="39"/>
  <c r="F242" i="39" s="1"/>
  <c r="F222" i="39"/>
  <c r="F240" i="39"/>
  <c r="F223" i="39"/>
  <c r="F224" i="39"/>
  <c r="F225" i="39"/>
  <c r="F226" i="39"/>
  <c r="F227" i="39"/>
  <c r="F228" i="39"/>
  <c r="F229" i="39"/>
  <c r="K228" i="39"/>
  <c r="K223" i="39"/>
  <c r="K230" i="39"/>
  <c r="K225" i="39"/>
  <c r="K227" i="39"/>
  <c r="K222" i="39"/>
  <c r="K229" i="39"/>
  <c r="K224" i="39"/>
  <c r="K226" i="39"/>
  <c r="L226" i="39"/>
  <c r="L228" i="39"/>
  <c r="L223" i="39"/>
  <c r="L230" i="39"/>
  <c r="L225" i="39"/>
  <c r="L227" i="39"/>
  <c r="L222" i="39"/>
  <c r="L229" i="39"/>
  <c r="L224" i="39"/>
  <c r="I223" i="39"/>
  <c r="I230" i="39"/>
  <c r="I225" i="39"/>
  <c r="I227" i="39"/>
  <c r="I222" i="39"/>
  <c r="I229" i="39"/>
  <c r="I224" i="39"/>
  <c r="I226" i="39"/>
  <c r="N224" i="39"/>
  <c r="N226" i="39"/>
  <c r="N228" i="39"/>
  <c r="N223" i="39"/>
  <c r="N230" i="39"/>
  <c r="N225" i="39"/>
  <c r="N227" i="39"/>
  <c r="N222" i="39"/>
  <c r="N229" i="39"/>
  <c r="G225" i="39"/>
  <c r="G227" i="39"/>
  <c r="G241" i="39"/>
  <c r="G222" i="39"/>
  <c r="G229" i="39"/>
  <c r="G224" i="39"/>
  <c r="G226" i="39"/>
  <c r="G228" i="39"/>
  <c r="G223" i="39"/>
  <c r="G230" i="39"/>
  <c r="H223" i="39"/>
  <c r="H230" i="39"/>
  <c r="H225" i="39"/>
  <c r="H227" i="39"/>
  <c r="H222" i="39"/>
  <c r="H229" i="39"/>
  <c r="H224" i="39"/>
  <c r="H226" i="39"/>
  <c r="H228" i="39"/>
  <c r="O55" i="15"/>
  <c r="O120" i="15"/>
  <c r="O121" i="15" s="1"/>
  <c r="O125" i="15" s="1"/>
  <c r="O128" i="15" s="1"/>
  <c r="L55" i="15"/>
  <c r="L120" i="15"/>
  <c r="L121" i="15" s="1"/>
  <c r="Q98" i="24"/>
  <c r="Q26" i="24"/>
  <c r="U98" i="25"/>
  <c r="U45" i="25"/>
  <c r="U26" i="25"/>
  <c r="Q45" i="25"/>
  <c r="Q98" i="25"/>
  <c r="Q26" i="25"/>
  <c r="N55" i="15"/>
  <c r="N120" i="15"/>
  <c r="V98" i="24"/>
  <c r="V26" i="24"/>
  <c r="N98" i="24"/>
  <c r="N26" i="24"/>
  <c r="Q120" i="15"/>
  <c r="Q55" i="15"/>
  <c r="U55" i="15"/>
  <c r="U120" i="15"/>
  <c r="O45" i="25"/>
  <c r="O98" i="25"/>
  <c r="O26" i="25"/>
  <c r="S98" i="24"/>
  <c r="S26" i="24"/>
  <c r="L98" i="25"/>
  <c r="L45" i="25"/>
  <c r="L26" i="25"/>
  <c r="O98" i="24"/>
  <c r="O26" i="24"/>
  <c r="P120" i="15"/>
  <c r="P55" i="15"/>
  <c r="T98" i="24"/>
  <c r="T26" i="24"/>
  <c r="R98" i="24"/>
  <c r="R26" i="24"/>
  <c r="P98" i="24"/>
  <c r="P26" i="24"/>
  <c r="S55" i="15"/>
  <c r="S120" i="15"/>
  <c r="K55" i="15"/>
  <c r="K120" i="15"/>
  <c r="K121" i="15" s="1"/>
  <c r="K125" i="15" s="1"/>
  <c r="K128" i="15" s="1"/>
  <c r="S98" i="25"/>
  <c r="S45" i="25"/>
  <c r="S26" i="25"/>
  <c r="L98" i="24"/>
  <c r="L26" i="24"/>
  <c r="K98" i="24"/>
  <c r="K26" i="24"/>
  <c r="K98" i="25"/>
  <c r="K45" i="25"/>
  <c r="K26" i="25"/>
  <c r="U98" i="24"/>
  <c r="U26" i="24"/>
  <c r="T55" i="15"/>
  <c r="T120" i="15"/>
  <c r="T121" i="15" s="1"/>
  <c r="T125" i="15" s="1"/>
  <c r="T128" i="15" s="1"/>
  <c r="R55" i="15"/>
  <c r="R120" i="15"/>
  <c r="V120" i="15"/>
  <c r="V121" i="15" s="1"/>
  <c r="V125" i="15" s="1"/>
  <c r="V128" i="15" s="1"/>
  <c r="V55" i="15"/>
  <c r="M55" i="15"/>
  <c r="M120" i="15"/>
  <c r="P45" i="25"/>
  <c r="P98" i="25"/>
  <c r="P26" i="25"/>
  <c r="J71" i="15"/>
  <c r="J45" i="24" s="1"/>
  <c r="J1274" i="43"/>
  <c r="J1275" i="43" s="1"/>
  <c r="K1272" i="43" s="1"/>
  <c r="K1275" i="43" s="1"/>
  <c r="L1272" i="43" s="1"/>
  <c r="L1275" i="43" s="1"/>
  <c r="M1272" i="43" s="1"/>
  <c r="M1275" i="43" s="1"/>
  <c r="N1272" i="43" s="1"/>
  <c r="N1275" i="43" s="1"/>
  <c r="O1272" i="43" s="1"/>
  <c r="O1275" i="43" s="1"/>
  <c r="P1272" i="43" s="1"/>
  <c r="P1275" i="43" s="1"/>
  <c r="Q1272" i="43" s="1"/>
  <c r="Q1275" i="43" s="1"/>
  <c r="R1272" i="43" s="1"/>
  <c r="R1275" i="43" s="1"/>
  <c r="S1272" i="43" s="1"/>
  <c r="S1275" i="43" s="1"/>
  <c r="T1272" i="43" s="1"/>
  <c r="T1275" i="43" s="1"/>
  <c r="U1272" i="43" s="1"/>
  <c r="U1275" i="43" s="1"/>
  <c r="V1272" i="43" s="1"/>
  <c r="V1275" i="43" s="1"/>
  <c r="J122" i="15"/>
  <c r="I122" i="15" s="1"/>
  <c r="J25" i="25"/>
  <c r="I25" i="25" s="1"/>
  <c r="J1488" i="11"/>
  <c r="J1489" i="11" s="1"/>
  <c r="J25" i="24"/>
  <c r="J52" i="15"/>
  <c r="I51" i="15"/>
  <c r="N45" i="25"/>
  <c r="N98" i="25"/>
  <c r="N26" i="25"/>
  <c r="R98" i="25"/>
  <c r="R45" i="25"/>
  <c r="R26" i="25"/>
  <c r="V45" i="25"/>
  <c r="V98" i="25"/>
  <c r="V26" i="25"/>
  <c r="M98" i="24"/>
  <c r="M26" i="24"/>
  <c r="T45" i="25"/>
  <c r="T98" i="25"/>
  <c r="T26" i="25"/>
  <c r="M98" i="25"/>
  <c r="M45" i="25"/>
  <c r="M26" i="25"/>
  <c r="R55" i="14"/>
  <c r="P55" i="14"/>
  <c r="E62" i="38"/>
  <c r="E59" i="38"/>
  <c r="E64" i="38"/>
  <c r="E67" i="38"/>
  <c r="E61" i="38"/>
  <c r="E65" i="38"/>
  <c r="E63" i="38"/>
  <c r="E69" i="38"/>
  <c r="E68" i="38"/>
  <c r="E58" i="38"/>
  <c r="E66" i="38"/>
  <c r="E60" i="38"/>
  <c r="E70" i="38"/>
  <c r="I41" i="19"/>
  <c r="L42" i="19"/>
  <c r="W219" i="39"/>
  <c r="D140" i="39"/>
  <c r="D142" i="39"/>
  <c r="D147" i="39"/>
  <c r="D146" i="39"/>
  <c r="D139" i="39"/>
  <c r="D138" i="39"/>
  <c r="D136" i="39"/>
  <c r="D145" i="39"/>
  <c r="D141" i="39"/>
  <c r="Q133" i="39"/>
  <c r="D144" i="39"/>
  <c r="D143" i="39"/>
  <c r="D137" i="39"/>
  <c r="AE69" i="38"/>
  <c r="AB63" i="38"/>
  <c r="AN69" i="38"/>
  <c r="AP63" i="38"/>
  <c r="C62" i="38"/>
  <c r="Y59" i="38"/>
  <c r="AD68" i="38"/>
  <c r="AQ61" i="38"/>
  <c r="AA60" i="38"/>
  <c r="AE64" i="38"/>
  <c r="AC69" i="38"/>
  <c r="AJ67" i="38"/>
  <c r="AB67" i="38"/>
  <c r="AN70" i="38"/>
  <c r="AL60" i="38"/>
  <c r="AQ69" i="38"/>
  <c r="AG68" i="38"/>
  <c r="AA66" i="38"/>
  <c r="AC60" i="38"/>
  <c r="C61" i="38"/>
  <c r="AL58" i="38"/>
  <c r="AE63" i="38"/>
  <c r="AN59" i="38"/>
  <c r="AP62" i="38"/>
  <c r="AG70" i="38"/>
  <c r="AB70" i="38"/>
  <c r="AR58" i="38"/>
  <c r="AD70" i="38"/>
  <c r="AO60" i="38"/>
  <c r="AE61" i="38"/>
  <c r="AL69" i="38"/>
  <c r="AK60" i="38"/>
  <c r="AM64" i="38"/>
  <c r="Z70" i="38"/>
  <c r="AM68" i="38"/>
  <c r="AJ63" i="38"/>
  <c r="AP65" i="38"/>
  <c r="C64" i="38"/>
  <c r="C60" i="38"/>
  <c r="AM59" i="38"/>
  <c r="Y62" i="38"/>
  <c r="AO58" i="38"/>
  <c r="AJ69" i="38"/>
  <c r="Z64" i="38"/>
  <c r="AA63" i="38"/>
  <c r="Y64" i="38"/>
  <c r="Y69" i="38"/>
  <c r="AR61" i="38"/>
  <c r="AJ70" i="38"/>
  <c r="AP61" i="38"/>
  <c r="Y63" i="38"/>
  <c r="AA62" i="38"/>
  <c r="AQ59" i="38"/>
  <c r="AB58" i="38"/>
  <c r="AP60" i="38"/>
  <c r="C67" i="38"/>
  <c r="AQ58" i="38"/>
  <c r="AL66" i="38"/>
  <c r="AC61" i="38"/>
  <c r="AK65" i="38"/>
  <c r="AJ68" i="38"/>
  <c r="AL61" i="38"/>
  <c r="AM69" i="38"/>
  <c r="Z60" i="38"/>
  <c r="AG65" i="38"/>
  <c r="AD69" i="38"/>
  <c r="AR68" i="38"/>
  <c r="AO66" i="38"/>
  <c r="AL63" i="38"/>
  <c r="AG62" i="38"/>
  <c r="AD60" i="38"/>
  <c r="AL64" i="38"/>
  <c r="AG67" i="38"/>
  <c r="AQ60" i="38"/>
  <c r="AF59" i="38"/>
  <c r="Z63" i="38"/>
  <c r="AE67" i="38"/>
  <c r="AG60" i="38"/>
  <c r="AP69" i="38"/>
  <c r="Y68" i="38"/>
  <c r="AB59" i="38"/>
  <c r="AK64" i="38"/>
  <c r="Z61" i="38"/>
  <c r="Y67" i="38"/>
  <c r="Z65" i="38"/>
  <c r="AJ60" i="38"/>
  <c r="AQ66" i="38"/>
  <c r="AB64" i="38"/>
  <c r="AF67" i="38"/>
  <c r="AN66" i="38"/>
  <c r="AK69" i="38"/>
  <c r="AR67" i="38"/>
  <c r="AN62" i="38"/>
  <c r="AR64" i="38"/>
  <c r="AD67" i="38"/>
  <c r="Y60" i="38"/>
  <c r="Z66" i="38"/>
  <c r="AO67" i="38"/>
  <c r="AA67" i="38"/>
  <c r="AC59" i="38"/>
  <c r="AL67" i="38"/>
  <c r="AF66" i="38"/>
  <c r="AM70" i="38"/>
  <c r="AO70" i="38"/>
  <c r="AA64" i="38"/>
  <c r="AO63" i="38"/>
  <c r="AN60" i="38"/>
  <c r="AM66" i="38"/>
  <c r="AF60" i="38"/>
  <c r="AL68" i="38"/>
  <c r="AC70" i="38"/>
  <c r="AO61" i="38"/>
  <c r="AG66" i="38"/>
  <c r="AL59" i="38"/>
  <c r="AD65" i="38"/>
  <c r="AG58" i="38"/>
  <c r="AN67" i="38"/>
  <c r="AN58" i="38"/>
  <c r="AJ66" i="38"/>
  <c r="AK70" i="38"/>
  <c r="AM62" i="38"/>
  <c r="AF68" i="38"/>
  <c r="AG63" i="38"/>
  <c r="Z67" i="38"/>
  <c r="AF58" i="38"/>
  <c r="AQ70" i="38"/>
  <c r="AF61" i="38"/>
  <c r="AF65" i="38"/>
  <c r="AC66" i="38"/>
  <c r="AM61" i="38"/>
  <c r="AD63" i="38"/>
  <c r="AP70" i="38"/>
  <c r="AP66" i="38"/>
  <c r="C58" i="38"/>
  <c r="AP68" i="38"/>
  <c r="AG59" i="38"/>
  <c r="AD58" i="38"/>
  <c r="C63" i="38"/>
  <c r="AA58" i="38"/>
  <c r="AA69" i="38"/>
  <c r="Y61" i="38"/>
  <c r="AR66" i="38"/>
  <c r="AB62" i="38"/>
  <c r="AL62" i="38"/>
  <c r="C69" i="38"/>
  <c r="AO64" i="38"/>
  <c r="AJ62" i="38"/>
  <c r="AE62" i="38"/>
  <c r="AA70" i="38"/>
  <c r="AE59" i="38"/>
  <c r="AK58" i="38"/>
  <c r="AR59" i="38"/>
  <c r="AP64" i="38"/>
  <c r="AB60" i="38"/>
  <c r="AG69" i="38"/>
  <c r="AM67" i="38"/>
  <c r="Z62" i="38"/>
  <c r="AR63" i="38"/>
  <c r="AL70" i="38"/>
  <c r="AD64" i="38"/>
  <c r="AN65" i="38"/>
  <c r="AN68" i="38"/>
  <c r="C65" i="38"/>
  <c r="AE60" i="38"/>
  <c r="AR60" i="38"/>
  <c r="AJ61" i="38"/>
  <c r="AQ64" i="38"/>
  <c r="AA65" i="38"/>
  <c r="AK62" i="38"/>
  <c r="Z68" i="38"/>
  <c r="AR70" i="38"/>
  <c r="Z58" i="38"/>
  <c r="Y70" i="38"/>
  <c r="AE58" i="38"/>
  <c r="AE68" i="38"/>
  <c r="AR65" i="38"/>
  <c r="AK68" i="38"/>
  <c r="Y66" i="38"/>
  <c r="C70" i="38"/>
  <c r="AN64" i="38"/>
  <c r="Z59" i="38"/>
  <c r="AC65" i="38"/>
  <c r="AL65" i="38"/>
  <c r="C68" i="38"/>
  <c r="AD66" i="38"/>
  <c r="AN63" i="38"/>
  <c r="Z69" i="38"/>
  <c r="AE66" i="38"/>
  <c r="AR69" i="38"/>
  <c r="AC68" i="38"/>
  <c r="AB61" i="38"/>
  <c r="AQ68" i="38"/>
  <c r="AO68" i="38"/>
  <c r="AK61" i="38"/>
  <c r="AD62" i="38"/>
  <c r="AE70" i="38"/>
  <c r="AP58" i="38"/>
  <c r="AF62" i="38"/>
  <c r="AM60" i="38"/>
  <c r="AC67" i="38"/>
  <c r="AK67" i="38"/>
  <c r="AK63" i="38"/>
  <c r="AM65" i="38"/>
  <c r="AG64" i="38"/>
  <c r="AB68" i="38"/>
  <c r="AF70" i="38"/>
  <c r="AO69" i="38"/>
  <c r="AC62" i="38"/>
  <c r="AO65" i="38"/>
  <c r="AA59" i="38"/>
  <c r="AQ63" i="38"/>
  <c r="AB66" i="38"/>
  <c r="AM58" i="38"/>
  <c r="AB69" i="38"/>
  <c r="AF69" i="38"/>
  <c r="AP59" i="38"/>
  <c r="AJ59" i="38"/>
  <c r="AO62" i="38"/>
  <c r="AA61" i="38"/>
  <c r="AP67" i="38"/>
  <c r="AR62" i="38"/>
  <c r="AQ65" i="38"/>
  <c r="AO59" i="38"/>
  <c r="Y65" i="38"/>
  <c r="AC64" i="38"/>
  <c r="AK66" i="38"/>
  <c r="AQ62" i="38"/>
  <c r="AQ67" i="38"/>
  <c r="AB65" i="38"/>
  <c r="AD59" i="38"/>
  <c r="AF63" i="38"/>
  <c r="AA68" i="38"/>
  <c r="AJ65" i="38"/>
  <c r="AG61" i="38"/>
  <c r="AC63" i="38"/>
  <c r="AM63" i="38"/>
  <c r="AF64" i="38"/>
  <c r="AD61" i="38"/>
  <c r="C59" i="38"/>
  <c r="AK59" i="38"/>
  <c r="AC58" i="38"/>
  <c r="AN61" i="38"/>
  <c r="AE65" i="38"/>
  <c r="AJ64" i="38"/>
  <c r="C66" i="38"/>
  <c r="M63" i="19"/>
  <c r="N63" i="19"/>
  <c r="L63" i="19"/>
  <c r="S63" i="19"/>
  <c r="T63" i="19"/>
  <c r="V63" i="19"/>
  <c r="O63" i="19"/>
  <c r="K63" i="19"/>
  <c r="K64" i="19" s="1"/>
  <c r="R63" i="19"/>
  <c r="P63" i="19"/>
  <c r="Q63" i="19"/>
  <c r="U63" i="19"/>
  <c r="J63" i="19"/>
  <c r="S55" i="14"/>
  <c r="L55" i="14"/>
  <c r="S219" i="39"/>
  <c r="I45" i="19"/>
  <c r="G14" i="39"/>
  <c r="E145" i="39"/>
  <c r="E147" i="39"/>
  <c r="E143" i="39"/>
  <c r="E144" i="39"/>
  <c r="E142" i="39"/>
  <c r="E146" i="39"/>
  <c r="E139" i="39"/>
  <c r="E140" i="39"/>
  <c r="E137" i="39"/>
  <c r="E138" i="39"/>
  <c r="R133" i="39"/>
  <c r="E141" i="39"/>
  <c r="E136" i="39"/>
  <c r="T219" i="39"/>
  <c r="G59" i="39"/>
  <c r="G58" i="39"/>
  <c r="G134" i="39"/>
  <c r="G221" i="39"/>
  <c r="G62" i="39"/>
  <c r="G63" i="39"/>
  <c r="G61" i="39"/>
  <c r="G60" i="39"/>
  <c r="G65" i="39"/>
  <c r="G70" i="39"/>
  <c r="G66" i="39"/>
  <c r="G67" i="39"/>
  <c r="G69" i="39"/>
  <c r="G220" i="39"/>
  <c r="G68" i="39"/>
  <c r="G64" i="39"/>
  <c r="G135" i="39"/>
  <c r="E134" i="39"/>
  <c r="E64" i="39"/>
  <c r="E68" i="39"/>
  <c r="E135" i="39"/>
  <c r="E220" i="39"/>
  <c r="E221" i="39"/>
  <c r="E58" i="39"/>
  <c r="E63" i="39"/>
  <c r="E59" i="39"/>
  <c r="E60" i="39"/>
  <c r="E66" i="39"/>
  <c r="E65" i="39"/>
  <c r="E67" i="39"/>
  <c r="E61" i="39"/>
  <c r="E69" i="39"/>
  <c r="E62" i="39"/>
  <c r="E70" i="39"/>
  <c r="K55" i="14"/>
  <c r="I46" i="19"/>
  <c r="G15" i="39"/>
  <c r="N55" i="14"/>
  <c r="G61" i="38"/>
  <c r="G60" i="38"/>
  <c r="G64" i="38"/>
  <c r="G65" i="38"/>
  <c r="G66" i="38"/>
  <c r="G63" i="38"/>
  <c r="G69" i="38"/>
  <c r="G68" i="38"/>
  <c r="G62" i="38"/>
  <c r="G58" i="38"/>
  <c r="G59" i="38"/>
  <c r="G67" i="38"/>
  <c r="G70" i="38"/>
  <c r="I150" i="41"/>
  <c r="I356" i="41" s="1"/>
  <c r="I51" i="14"/>
  <c r="J52" i="14"/>
  <c r="F62" i="39"/>
  <c r="F67" i="39"/>
  <c r="F135" i="39"/>
  <c r="F58" i="39"/>
  <c r="F70" i="39"/>
  <c r="F220" i="39"/>
  <c r="F64" i="39"/>
  <c r="F59" i="39"/>
  <c r="F63" i="39"/>
  <c r="F68" i="39"/>
  <c r="F65" i="39"/>
  <c r="F69" i="39"/>
  <c r="F221" i="39"/>
  <c r="F61" i="39"/>
  <c r="F60" i="39"/>
  <c r="F134" i="39"/>
  <c r="F66" i="39"/>
  <c r="U55" i="14"/>
  <c r="T55" i="14"/>
  <c r="K70" i="38"/>
  <c r="K64" i="38"/>
  <c r="K67" i="38"/>
  <c r="K63" i="38"/>
  <c r="K65" i="38"/>
  <c r="K62" i="38"/>
  <c r="K66" i="38"/>
  <c r="K59" i="38"/>
  <c r="K69" i="38"/>
  <c r="K61" i="38"/>
  <c r="K58" i="38"/>
  <c r="K60" i="38"/>
  <c r="K68" i="38"/>
  <c r="X219" i="39"/>
  <c r="M55" i="14"/>
  <c r="BC68" i="38"/>
  <c r="AX58" i="38"/>
  <c r="BC66" i="38"/>
  <c r="AW59" i="38"/>
  <c r="AW66" i="38"/>
  <c r="AZ69" i="38"/>
  <c r="AW63" i="38"/>
  <c r="BB60" i="38"/>
  <c r="BC67" i="38"/>
  <c r="AZ66" i="38"/>
  <c r="BC63" i="38"/>
  <c r="BA59" i="38"/>
  <c r="BD59" i="38"/>
  <c r="AW70" i="38"/>
  <c r="AV69" i="38"/>
  <c r="BD67" i="38"/>
  <c r="BD64" i="38"/>
  <c r="BB67" i="38"/>
  <c r="BA62" i="38"/>
  <c r="AX70" i="38"/>
  <c r="AX65" i="38"/>
  <c r="BB62" i="38"/>
  <c r="AY66" i="38"/>
  <c r="BD60" i="38"/>
  <c r="BA63" i="38"/>
  <c r="AV67" i="38"/>
  <c r="AX63" i="38"/>
  <c r="AW58" i="38"/>
  <c r="BB63" i="38"/>
  <c r="BB59" i="38"/>
  <c r="AX59" i="38"/>
  <c r="AW64" i="38"/>
  <c r="AX60" i="38"/>
  <c r="AX68" i="38"/>
  <c r="BC58" i="38"/>
  <c r="AV64" i="38"/>
  <c r="AX67" i="38"/>
  <c r="BA68" i="38"/>
  <c r="AW60" i="38"/>
  <c r="BC59" i="38"/>
  <c r="BC70" i="38"/>
  <c r="AW67" i="38"/>
  <c r="AW68" i="38"/>
  <c r="BC69" i="38"/>
  <c r="BD63" i="38"/>
  <c r="AV66" i="38"/>
  <c r="BD65" i="38"/>
  <c r="AX69" i="38"/>
  <c r="AV60" i="38"/>
  <c r="BB58" i="38"/>
  <c r="BA67" i="38"/>
  <c r="AY68" i="38"/>
  <c r="BB68" i="38"/>
  <c r="BA64" i="38"/>
  <c r="AV70" i="38"/>
  <c r="BB64" i="38"/>
  <c r="BD69" i="38"/>
  <c r="AY69" i="38"/>
  <c r="AV58" i="38"/>
  <c r="BD66" i="38"/>
  <c r="AZ61" i="38"/>
  <c r="BA60" i="38"/>
  <c r="AY60" i="38"/>
  <c r="BB65" i="38"/>
  <c r="BC62" i="38"/>
  <c r="AY64" i="38"/>
  <c r="AZ65" i="38"/>
  <c r="BA58" i="38"/>
  <c r="AX64" i="38"/>
  <c r="AZ63" i="38"/>
  <c r="BA65" i="38"/>
  <c r="BD61" i="38"/>
  <c r="AZ67" i="38"/>
  <c r="BA69" i="38"/>
  <c r="AV59" i="38"/>
  <c r="AX66" i="38"/>
  <c r="AV63" i="38"/>
  <c r="AY63" i="38"/>
  <c r="AZ59" i="38"/>
  <c r="AW62" i="38"/>
  <c r="AV61" i="38"/>
  <c r="AY58" i="38"/>
  <c r="AY59" i="38"/>
  <c r="AY70" i="38"/>
  <c r="BC60" i="38"/>
  <c r="BB66" i="38"/>
  <c r="AZ64" i="38"/>
  <c r="BA70" i="38"/>
  <c r="BB61" i="38"/>
  <c r="AW61" i="38"/>
  <c r="AW65" i="38"/>
  <c r="AY65" i="38"/>
  <c r="BA61" i="38"/>
  <c r="BA66" i="38"/>
  <c r="AV68" i="38"/>
  <c r="AX62" i="38"/>
  <c r="BC64" i="38"/>
  <c r="AV65" i="38"/>
  <c r="AW69" i="38"/>
  <c r="AV62" i="38"/>
  <c r="BC65" i="38"/>
  <c r="AY67" i="38"/>
  <c r="BD58" i="38"/>
  <c r="AZ68" i="38"/>
  <c r="BD62" i="38"/>
  <c r="AX61" i="38"/>
  <c r="BD70" i="38"/>
  <c r="AY62" i="38"/>
  <c r="BD68" i="38"/>
  <c r="AZ70" i="38"/>
  <c r="BC61" i="38"/>
  <c r="AY61" i="38"/>
  <c r="BB69" i="38"/>
  <c r="AZ58" i="38"/>
  <c r="AZ60" i="38"/>
  <c r="BB70" i="38"/>
  <c r="AZ62" i="38"/>
  <c r="N42" i="19"/>
  <c r="N47" i="19" s="1"/>
  <c r="V219" i="39"/>
  <c r="L1525" i="11"/>
  <c r="F59" i="38"/>
  <c r="F58" i="38"/>
  <c r="F63" i="38"/>
  <c r="F64" i="38"/>
  <c r="F66" i="38"/>
  <c r="F69" i="38"/>
  <c r="F65" i="38"/>
  <c r="F68" i="38"/>
  <c r="F61" i="38"/>
  <c r="F62" i="38"/>
  <c r="F70" i="38"/>
  <c r="F67" i="38"/>
  <c r="F60" i="38"/>
  <c r="V55" i="14"/>
  <c r="D62" i="38"/>
  <c r="D64" i="38"/>
  <c r="D58" i="38"/>
  <c r="D68" i="38"/>
  <c r="D67" i="38"/>
  <c r="D70" i="38"/>
  <c r="D65" i="38"/>
  <c r="D63" i="38"/>
  <c r="D59" i="38"/>
  <c r="D69" i="38"/>
  <c r="D60" i="38"/>
  <c r="D66" i="38"/>
  <c r="D61" i="38"/>
  <c r="L52" i="25"/>
  <c r="L99" i="25"/>
  <c r="I123" i="15"/>
  <c r="J61" i="38"/>
  <c r="J65" i="38"/>
  <c r="J64" i="38"/>
  <c r="J62" i="38"/>
  <c r="J70" i="38"/>
  <c r="J58" i="38"/>
  <c r="J67" i="38"/>
  <c r="J59" i="38"/>
  <c r="J60" i="38"/>
  <c r="J68" i="38"/>
  <c r="J69" i="38"/>
  <c r="J63" i="38"/>
  <c r="J66" i="38"/>
  <c r="H67" i="39"/>
  <c r="H59" i="39"/>
  <c r="H58" i="39"/>
  <c r="H61" i="39"/>
  <c r="H63" i="39"/>
  <c r="H68" i="39"/>
  <c r="H220" i="39"/>
  <c r="H60" i="39"/>
  <c r="H70" i="39"/>
  <c r="H221" i="39"/>
  <c r="H64" i="39"/>
  <c r="H135" i="39"/>
  <c r="H62" i="39"/>
  <c r="H66" i="39"/>
  <c r="H134" i="39"/>
  <c r="H65" i="39"/>
  <c r="H69" i="39"/>
  <c r="L52" i="24"/>
  <c r="L99" i="24"/>
  <c r="U219" i="39"/>
  <c r="N59" i="38"/>
  <c r="N63" i="38"/>
  <c r="N62" i="38"/>
  <c r="N61" i="38"/>
  <c r="N58" i="38"/>
  <c r="Y58" i="38"/>
  <c r="N68" i="38"/>
  <c r="N69" i="38"/>
  <c r="O57" i="38"/>
  <c r="N64" i="38"/>
  <c r="N67" i="38"/>
  <c r="N65" i="38"/>
  <c r="N60" i="38"/>
  <c r="N66" i="38"/>
  <c r="N70" i="38"/>
  <c r="AJ58" i="38"/>
  <c r="I62" i="38"/>
  <c r="I61" i="38"/>
  <c r="I70" i="38"/>
  <c r="I66" i="38"/>
  <c r="I67" i="38"/>
  <c r="I59" i="38"/>
  <c r="I69" i="38"/>
  <c r="I63" i="38"/>
  <c r="I58" i="38"/>
  <c r="I65" i="38"/>
  <c r="I68" i="38"/>
  <c r="I64" i="38"/>
  <c r="I60" i="38"/>
  <c r="O55" i="14"/>
  <c r="Q55" i="14"/>
  <c r="Q66" i="39"/>
  <c r="Q62" i="39"/>
  <c r="Q63" i="39"/>
  <c r="Q134" i="39"/>
  <c r="R57" i="39"/>
  <c r="Q135" i="39"/>
  <c r="Q68" i="39"/>
  <c r="Q70" i="39"/>
  <c r="Q69" i="39"/>
  <c r="Q65" i="39"/>
  <c r="Q220" i="39"/>
  <c r="Q221" i="39"/>
  <c r="Q58" i="39"/>
  <c r="Q64" i="39"/>
  <c r="Q59" i="39"/>
  <c r="Q60" i="39"/>
  <c r="Q61" i="39"/>
  <c r="Q67" i="39"/>
  <c r="H59" i="38"/>
  <c r="H61" i="38"/>
  <c r="H64" i="38"/>
  <c r="H67" i="38"/>
  <c r="H70" i="38"/>
  <c r="H66" i="38"/>
  <c r="H62" i="38"/>
  <c r="H58" i="38"/>
  <c r="H63" i="38"/>
  <c r="H69" i="38"/>
  <c r="H65" i="38"/>
  <c r="H60" i="38"/>
  <c r="H68" i="38"/>
  <c r="D220" i="39"/>
  <c r="D61" i="39"/>
  <c r="D60" i="39"/>
  <c r="D64" i="39"/>
  <c r="D221" i="39"/>
  <c r="D58" i="39"/>
  <c r="D70" i="39"/>
  <c r="D68" i="39"/>
  <c r="D59" i="39"/>
  <c r="D62" i="39"/>
  <c r="D134" i="39"/>
  <c r="D66" i="39"/>
  <c r="D63" i="39"/>
  <c r="D135" i="39"/>
  <c r="D67" i="39"/>
  <c r="D65" i="39"/>
  <c r="D69" i="39"/>
  <c r="L125" i="15" l="1"/>
  <c r="L128" i="15" s="1"/>
  <c r="I148" i="41"/>
  <c r="J63" i="14"/>
  <c r="U121" i="15"/>
  <c r="U125" i="15" s="1"/>
  <c r="U128" i="15" s="1"/>
  <c r="K1486" i="11"/>
  <c r="K1489" i="11" s="1"/>
  <c r="J98" i="15"/>
  <c r="J72" i="24" s="1"/>
  <c r="J72" i="25" s="1"/>
  <c r="Q121" i="15"/>
  <c r="Q125" i="15" s="1"/>
  <c r="Q128" i="15" s="1"/>
  <c r="N96" i="24"/>
  <c r="N97" i="24" s="1"/>
  <c r="N101" i="24" s="1"/>
  <c r="N104" i="24" s="1"/>
  <c r="N29" i="24"/>
  <c r="K96" i="25"/>
  <c r="K29" i="25"/>
  <c r="R96" i="25"/>
  <c r="R29" i="25"/>
  <c r="Q29" i="24"/>
  <c r="Q96" i="24"/>
  <c r="Q97" i="24" s="1"/>
  <c r="Q101" i="24" s="1"/>
  <c r="Q104" i="24" s="1"/>
  <c r="R29" i="24"/>
  <c r="R96" i="24"/>
  <c r="M29" i="25"/>
  <c r="M96" i="25"/>
  <c r="M97" i="25" s="1"/>
  <c r="M101" i="25" s="1"/>
  <c r="M104" i="25" s="1"/>
  <c r="K96" i="24"/>
  <c r="K97" i="24" s="1"/>
  <c r="K101" i="24" s="1"/>
  <c r="K104" i="24" s="1"/>
  <c r="K29" i="24"/>
  <c r="S29" i="24"/>
  <c r="S96" i="24"/>
  <c r="N121" i="15"/>
  <c r="N125" i="15" s="1"/>
  <c r="N128" i="15" s="1"/>
  <c r="S29" i="25"/>
  <c r="S96" i="25"/>
  <c r="T96" i="24"/>
  <c r="T97" i="24" s="1"/>
  <c r="T101" i="24" s="1"/>
  <c r="T104" i="24" s="1"/>
  <c r="T29" i="24"/>
  <c r="O96" i="24"/>
  <c r="O97" i="24" s="1"/>
  <c r="O101" i="24" s="1"/>
  <c r="O104" i="24" s="1"/>
  <c r="O29" i="24"/>
  <c r="L96" i="25"/>
  <c r="L97" i="25" s="1"/>
  <c r="L29" i="25"/>
  <c r="N96" i="25"/>
  <c r="N29" i="25"/>
  <c r="M121" i="15"/>
  <c r="M125" i="15" s="1"/>
  <c r="M128" i="15" s="1"/>
  <c r="J55" i="15"/>
  <c r="I55" i="15" s="1"/>
  <c r="J120" i="15"/>
  <c r="I52" i="15"/>
  <c r="R121" i="15"/>
  <c r="R125" i="15" s="1"/>
  <c r="R128" i="15" s="1"/>
  <c r="M96" i="24"/>
  <c r="M97" i="24" s="1"/>
  <c r="M101" i="24" s="1"/>
  <c r="M104" i="24" s="1"/>
  <c r="M29" i="24"/>
  <c r="J98" i="25"/>
  <c r="J45" i="25"/>
  <c r="J26" i="25"/>
  <c r="I26" i="25" s="1"/>
  <c r="P121" i="15"/>
  <c r="P125" i="15" s="1"/>
  <c r="P128" i="15" s="1"/>
  <c r="U29" i="25"/>
  <c r="U96" i="25"/>
  <c r="U97" i="25" s="1"/>
  <c r="U101" i="25" s="1"/>
  <c r="U104" i="25" s="1"/>
  <c r="P29" i="24"/>
  <c r="P96" i="24"/>
  <c r="P29" i="25"/>
  <c r="P96" i="25"/>
  <c r="L29" i="24"/>
  <c r="L96" i="24"/>
  <c r="L97" i="24" s="1"/>
  <c r="O96" i="25"/>
  <c r="O97" i="25" s="1"/>
  <c r="O101" i="25" s="1"/>
  <c r="O104" i="25" s="1"/>
  <c r="O29" i="25"/>
  <c r="Q96" i="25"/>
  <c r="Q29" i="25"/>
  <c r="J98" i="24"/>
  <c r="J26" i="24"/>
  <c r="I25" i="24"/>
  <c r="V29" i="25"/>
  <c r="V96" i="25"/>
  <c r="V97" i="25" s="1"/>
  <c r="V101" i="25" s="1"/>
  <c r="V104" i="25" s="1"/>
  <c r="U96" i="24"/>
  <c r="U29" i="24"/>
  <c r="S121" i="15"/>
  <c r="S125" i="15" s="1"/>
  <c r="S128" i="15" s="1"/>
  <c r="V96" i="24"/>
  <c r="V97" i="24" s="1"/>
  <c r="V101" i="24" s="1"/>
  <c r="V104" i="24" s="1"/>
  <c r="V29" i="24"/>
  <c r="T29" i="25"/>
  <c r="T96" i="25"/>
  <c r="T97" i="25" s="1"/>
  <c r="T101" i="25" s="1"/>
  <c r="T104" i="25" s="1"/>
  <c r="S149" i="41"/>
  <c r="S153" i="41" s="1"/>
  <c r="S156" i="41" s="1"/>
  <c r="S354" i="41"/>
  <c r="V57" i="14"/>
  <c r="V57" i="15" s="1"/>
  <c r="U149" i="41"/>
  <c r="U153" i="41" s="1"/>
  <c r="U156" i="41" s="1"/>
  <c r="U354" i="41"/>
  <c r="L149" i="41"/>
  <c r="L153" i="41" s="1"/>
  <c r="L156" i="41" s="1"/>
  <c r="L354" i="41"/>
  <c r="K149" i="41"/>
  <c r="K153" i="41"/>
  <c r="K156" i="41" s="1"/>
  <c r="K354" i="41"/>
  <c r="R139" i="39"/>
  <c r="R147" i="39"/>
  <c r="R231" i="39"/>
  <c r="R146" i="39"/>
  <c r="R230" i="39"/>
  <c r="R142" i="39"/>
  <c r="R138" i="39"/>
  <c r="R140" i="39"/>
  <c r="R222" i="39"/>
  <c r="R144" i="39"/>
  <c r="R143" i="39"/>
  <c r="R225" i="39"/>
  <c r="R227" i="39"/>
  <c r="R137" i="39"/>
  <c r="R233" i="39"/>
  <c r="R145" i="39"/>
  <c r="R223" i="39"/>
  <c r="R136" i="39"/>
  <c r="R224" i="39"/>
  <c r="R232" i="39"/>
  <c r="R226" i="39"/>
  <c r="R229" i="39"/>
  <c r="R228" i="39"/>
  <c r="R141" i="39"/>
  <c r="N354" i="41"/>
  <c r="N149" i="41"/>
  <c r="N153" i="41" s="1"/>
  <c r="N156" i="41" s="1"/>
  <c r="I52" i="14"/>
  <c r="J55" i="14"/>
  <c r="P57" i="14"/>
  <c r="O57" i="14"/>
  <c r="O42" i="19"/>
  <c r="O47" i="19" s="1"/>
  <c r="T57" i="14"/>
  <c r="T57" i="15" s="1"/>
  <c r="T149" i="41"/>
  <c r="T153" i="41" s="1"/>
  <c r="T156" i="41" s="1"/>
  <c r="T354" i="41"/>
  <c r="P354" i="41"/>
  <c r="P149" i="41"/>
  <c r="P153" i="41" s="1"/>
  <c r="P156" i="41" s="1"/>
  <c r="I63" i="19"/>
  <c r="N57" i="14"/>
  <c r="K57" i="14"/>
  <c r="K57" i="15" s="1"/>
  <c r="M57" i="14"/>
  <c r="M57" i="15" s="1"/>
  <c r="J149" i="41"/>
  <c r="J153" i="41" s="1"/>
  <c r="J156" i="41" s="1"/>
  <c r="J354" i="41"/>
  <c r="Q223" i="39"/>
  <c r="Q147" i="39"/>
  <c r="Q140" i="39"/>
  <c r="Q224" i="39"/>
  <c r="Q141" i="39"/>
  <c r="Q137" i="39"/>
  <c r="Q233" i="39"/>
  <c r="Q225" i="39"/>
  <c r="Q145" i="39"/>
  <c r="Q222" i="39"/>
  <c r="Q230" i="39"/>
  <c r="Q229" i="39"/>
  <c r="Q144" i="39"/>
  <c r="Q136" i="39"/>
  <c r="Q227" i="39"/>
  <c r="Q231" i="39"/>
  <c r="Q138" i="39"/>
  <c r="Q139" i="39"/>
  <c r="Q142" i="39"/>
  <c r="Q232" i="39"/>
  <c r="Q146" i="39"/>
  <c r="Q143" i="39"/>
  <c r="Q226" i="39"/>
  <c r="Q228" i="39"/>
  <c r="I16" i="39"/>
  <c r="I17" i="39" s="1"/>
  <c r="N48" i="19"/>
  <c r="M149" i="41"/>
  <c r="M153" i="41" s="1"/>
  <c r="M156" i="41" s="1"/>
  <c r="M354" i="41"/>
  <c r="L47" i="19"/>
  <c r="M47" i="19"/>
  <c r="R57" i="14"/>
  <c r="R57" i="15" s="1"/>
  <c r="R58" i="39"/>
  <c r="R62" i="39"/>
  <c r="R70" i="39"/>
  <c r="R59" i="39"/>
  <c r="R67" i="39"/>
  <c r="R68" i="39"/>
  <c r="R135" i="39"/>
  <c r="R134" i="39"/>
  <c r="R63" i="39"/>
  <c r="R221" i="39"/>
  <c r="R69" i="39"/>
  <c r="R66" i="39"/>
  <c r="S57" i="39"/>
  <c r="R61" i="39"/>
  <c r="R60" i="39"/>
  <c r="R220" i="39"/>
  <c r="R64" i="39"/>
  <c r="R65" i="39"/>
  <c r="L52" i="36"/>
  <c r="O61" i="38"/>
  <c r="O68" i="38"/>
  <c r="O59" i="38"/>
  <c r="O64" i="38"/>
  <c r="O67" i="38"/>
  <c r="O69" i="38"/>
  <c r="O60" i="38"/>
  <c r="O70" i="38"/>
  <c r="P57" i="38"/>
  <c r="O66" i="38"/>
  <c r="O58" i="38"/>
  <c r="O62" i="38"/>
  <c r="O63" i="38"/>
  <c r="O65" i="38"/>
  <c r="U57" i="14"/>
  <c r="L57" i="14"/>
  <c r="Q57" i="14"/>
  <c r="S57" i="14"/>
  <c r="S57" i="15" s="1"/>
  <c r="R149" i="41"/>
  <c r="R153" i="41" s="1"/>
  <c r="R156" i="41" s="1"/>
  <c r="R354" i="41"/>
  <c r="O149" i="41"/>
  <c r="O153" i="41" s="1"/>
  <c r="O156" i="41" s="1"/>
  <c r="O354" i="41"/>
  <c r="Q149" i="41"/>
  <c r="Q153" i="41" s="1"/>
  <c r="Q156" i="41" s="1"/>
  <c r="Q354" i="41"/>
  <c r="L101" i="25" l="1"/>
  <c r="L104" i="25" s="1"/>
  <c r="L101" i="24"/>
  <c r="L104" i="24" s="1"/>
  <c r="S97" i="25"/>
  <c r="S101" i="25" s="1"/>
  <c r="S104" i="25" s="1"/>
  <c r="J121" i="15"/>
  <c r="I121" i="15" s="1"/>
  <c r="I120" i="15"/>
  <c r="R97" i="25"/>
  <c r="R101" i="25" s="1"/>
  <c r="R104" i="25" s="1"/>
  <c r="J29" i="24"/>
  <c r="I29" i="24" s="1"/>
  <c r="J96" i="24"/>
  <c r="J97" i="24" s="1"/>
  <c r="J101" i="24" s="1"/>
  <c r="J104" i="24" s="1"/>
  <c r="K106" i="24" s="1"/>
  <c r="K107" i="24" s="1"/>
  <c r="K97" i="25"/>
  <c r="K101" i="25"/>
  <c r="K104" i="25" s="1"/>
  <c r="Q97" i="25"/>
  <c r="Q101" i="25" s="1"/>
  <c r="Q104" i="25" s="1"/>
  <c r="I26" i="24"/>
  <c r="P97" i="25"/>
  <c r="P101" i="25" s="1"/>
  <c r="P104" i="25" s="1"/>
  <c r="R97" i="24"/>
  <c r="R101" i="24" s="1"/>
  <c r="R104" i="24" s="1"/>
  <c r="L1486" i="11"/>
  <c r="L1489" i="11" s="1"/>
  <c r="K98" i="15"/>
  <c r="K72" i="24" s="1"/>
  <c r="K72" i="25" s="1"/>
  <c r="J29" i="25"/>
  <c r="I29" i="25" s="1"/>
  <c r="J96" i="25"/>
  <c r="J97" i="25" s="1"/>
  <c r="J101" i="25" s="1"/>
  <c r="J104" i="25" s="1"/>
  <c r="S97" i="24"/>
  <c r="S101" i="24" s="1"/>
  <c r="S104" i="24" s="1"/>
  <c r="N97" i="25"/>
  <c r="N101" i="25" s="1"/>
  <c r="N104" i="25" s="1"/>
  <c r="U97" i="24"/>
  <c r="U101" i="24" s="1"/>
  <c r="U104" i="24" s="1"/>
  <c r="P97" i="24"/>
  <c r="P101" i="24" s="1"/>
  <c r="P104" i="24" s="1"/>
  <c r="R58" i="14"/>
  <c r="R64" i="14" s="1"/>
  <c r="T58" i="14"/>
  <c r="T64" i="14" s="1"/>
  <c r="V58" i="14"/>
  <c r="V64" i="14" s="1"/>
  <c r="M58" i="14"/>
  <c r="M64" i="14" s="1"/>
  <c r="S58" i="14"/>
  <c r="S64" i="14" s="1"/>
  <c r="K58" i="14"/>
  <c r="K64" i="14" s="1"/>
  <c r="Q58" i="14"/>
  <c r="Q64" i="14" s="1"/>
  <c r="Q57" i="15"/>
  <c r="L58" i="14"/>
  <c r="L64" i="14" s="1"/>
  <c r="L57" i="15"/>
  <c r="R31" i="25"/>
  <c r="R32" i="25" s="1"/>
  <c r="R31" i="24"/>
  <c r="R32" i="24" s="1"/>
  <c r="R39" i="24" s="1"/>
  <c r="R58" i="15"/>
  <c r="M58" i="15"/>
  <c r="M31" i="25"/>
  <c r="M32" i="25" s="1"/>
  <c r="M31" i="24"/>
  <c r="M32" i="24" s="1"/>
  <c r="M39" i="24" s="1"/>
  <c r="T31" i="25"/>
  <c r="T32" i="25" s="1"/>
  <c r="T58" i="15"/>
  <c r="T31" i="24"/>
  <c r="T32" i="24" s="1"/>
  <c r="T39" i="24" s="1"/>
  <c r="V31" i="25"/>
  <c r="V32" i="25" s="1"/>
  <c r="V31" i="24"/>
  <c r="V32" i="24" s="1"/>
  <c r="V39" i="24" s="1"/>
  <c r="V58" i="15"/>
  <c r="P58" i="14"/>
  <c r="P64" i="14" s="1"/>
  <c r="P57" i="15"/>
  <c r="U58" i="14"/>
  <c r="U64" i="14" s="1"/>
  <c r="U57" i="15"/>
  <c r="N58" i="14"/>
  <c r="N64" i="14" s="1"/>
  <c r="N57" i="15"/>
  <c r="S31" i="25"/>
  <c r="S32" i="25" s="1"/>
  <c r="S31" i="24"/>
  <c r="S32" i="24" s="1"/>
  <c r="S39" i="24" s="1"/>
  <c r="S58" i="15"/>
  <c r="K31" i="25"/>
  <c r="K32" i="25" s="1"/>
  <c r="K58" i="15"/>
  <c r="K31" i="24"/>
  <c r="K32" i="24" s="1"/>
  <c r="K39" i="24" s="1"/>
  <c r="O58" i="14"/>
  <c r="O64" i="14" s="1"/>
  <c r="O57" i="15"/>
  <c r="J16" i="39"/>
  <c r="J17" i="39" s="1"/>
  <c r="O48" i="19"/>
  <c r="T355" i="41"/>
  <c r="T359" i="41" s="1"/>
  <c r="T362" i="41" s="1"/>
  <c r="N355" i="41"/>
  <c r="N359" i="41" s="1"/>
  <c r="N362" i="41" s="1"/>
  <c r="N1500" i="11"/>
  <c r="N1285" i="43"/>
  <c r="N1291" i="43" s="1"/>
  <c r="J137" i="15"/>
  <c r="D153" i="40" s="1"/>
  <c r="P63" i="38"/>
  <c r="P67" i="38"/>
  <c r="P61" i="38"/>
  <c r="P60" i="38"/>
  <c r="P66" i="38"/>
  <c r="P59" i="38"/>
  <c r="P65" i="38"/>
  <c r="P68" i="38"/>
  <c r="P64" i="38"/>
  <c r="P62" i="38"/>
  <c r="Q57" i="38"/>
  <c r="P70" i="38"/>
  <c r="P69" i="38"/>
  <c r="P58" i="38"/>
  <c r="R355" i="41"/>
  <c r="R359" i="41" s="1"/>
  <c r="R362" i="41" s="1"/>
  <c r="G16" i="39"/>
  <c r="G17" i="39" s="1"/>
  <c r="L48" i="19"/>
  <c r="J355" i="41"/>
  <c r="J359" i="41" s="1"/>
  <c r="J362" i="41" s="1"/>
  <c r="P355" i="41"/>
  <c r="P359" i="41" s="1"/>
  <c r="P362" i="41" s="1"/>
  <c r="I149" i="41"/>
  <c r="I153" i="41" s="1"/>
  <c r="I354" i="41"/>
  <c r="S355" i="41"/>
  <c r="S359" i="41" s="1"/>
  <c r="S362" i="41" s="1"/>
  <c r="I55" i="14"/>
  <c r="J57" i="14"/>
  <c r="K355" i="41"/>
  <c r="K359" i="41" s="1"/>
  <c r="K362" i="41" s="1"/>
  <c r="L355" i="41"/>
  <c r="L359" i="41" s="1"/>
  <c r="L362" i="41" s="1"/>
  <c r="O355" i="41"/>
  <c r="O359" i="41" s="1"/>
  <c r="O362" i="41" s="1"/>
  <c r="P42" i="19"/>
  <c r="U355" i="41"/>
  <c r="U359" i="41" s="1"/>
  <c r="U362" i="41" s="1"/>
  <c r="S58" i="39"/>
  <c r="S65" i="39"/>
  <c r="S70" i="39"/>
  <c r="S69" i="39"/>
  <c r="S59" i="39"/>
  <c r="T57" i="39"/>
  <c r="S64" i="39"/>
  <c r="S135" i="39"/>
  <c r="S61" i="39"/>
  <c r="S63" i="39"/>
  <c r="S67" i="39"/>
  <c r="S60" i="39"/>
  <c r="S68" i="39"/>
  <c r="S134" i="39"/>
  <c r="S66" i="39"/>
  <c r="S62" i="39"/>
  <c r="S220" i="39"/>
  <c r="S221" i="39"/>
  <c r="M48" i="19"/>
  <c r="H16" i="39"/>
  <c r="H17" i="39" s="1"/>
  <c r="Q355" i="41"/>
  <c r="Q359" i="41" s="1"/>
  <c r="Q362" i="41" s="1"/>
  <c r="M355" i="41"/>
  <c r="M359" i="41" s="1"/>
  <c r="M362" i="41" s="1"/>
  <c r="J125" i="15" l="1"/>
  <c r="J128" i="15" s="1"/>
  <c r="J113" i="24"/>
  <c r="J106" i="24"/>
  <c r="J107" i="24" s="1"/>
  <c r="K108" i="24" s="1"/>
  <c r="K109" i="24" s="1"/>
  <c r="R106" i="24"/>
  <c r="R107" i="24" s="1"/>
  <c r="U106" i="24"/>
  <c r="U107" i="24" s="1"/>
  <c r="S106" i="24"/>
  <c r="S107" i="24" s="1"/>
  <c r="Q106" i="24"/>
  <c r="Q107" i="24" s="1"/>
  <c r="V106" i="24"/>
  <c r="V107" i="24" s="1"/>
  <c r="L106" i="24"/>
  <c r="L107" i="24" s="1"/>
  <c r="P106" i="24"/>
  <c r="P107" i="24" s="1"/>
  <c r="Q108" i="24" s="1"/>
  <c r="Q109" i="24" s="1"/>
  <c r="T106" i="24"/>
  <c r="T107" i="24" s="1"/>
  <c r="M106" i="24"/>
  <c r="M107" i="24" s="1"/>
  <c r="O106" i="24"/>
  <c r="O107" i="24" s="1"/>
  <c r="N106" i="24"/>
  <c r="N107" i="24" s="1"/>
  <c r="O108" i="24" s="1"/>
  <c r="O109" i="24" s="1"/>
  <c r="J106" i="25"/>
  <c r="J107" i="25" s="1"/>
  <c r="N106" i="25"/>
  <c r="N107" i="25" s="1"/>
  <c r="T106" i="25"/>
  <c r="T107" i="25" s="1"/>
  <c r="O106" i="25"/>
  <c r="O107" i="25" s="1"/>
  <c r="Q106" i="25"/>
  <c r="Q107" i="25" s="1"/>
  <c r="P106" i="25"/>
  <c r="P107" i="25" s="1"/>
  <c r="S106" i="25"/>
  <c r="S107" i="25" s="1"/>
  <c r="M106" i="25"/>
  <c r="M107" i="25" s="1"/>
  <c r="U106" i="25"/>
  <c r="U107" i="25" s="1"/>
  <c r="V106" i="25"/>
  <c r="V107" i="25" s="1"/>
  <c r="L106" i="25"/>
  <c r="L107" i="25" s="1"/>
  <c r="R106" i="25"/>
  <c r="R107" i="25" s="1"/>
  <c r="K106" i="25"/>
  <c r="K107" i="25" s="1"/>
  <c r="J113" i="25"/>
  <c r="M1486" i="11"/>
  <c r="M1489" i="11" s="1"/>
  <c r="L98" i="15"/>
  <c r="L72" i="24" s="1"/>
  <c r="L72" i="25" s="1"/>
  <c r="K1545" i="11"/>
  <c r="K1549" i="11" s="1"/>
  <c r="K1550" i="11" s="1"/>
  <c r="K1540" i="11"/>
  <c r="K1325" i="43"/>
  <c r="K1330" i="43"/>
  <c r="K1331" i="43" s="1"/>
  <c r="K1555" i="11"/>
  <c r="K1336" i="43"/>
  <c r="K65" i="15"/>
  <c r="K1551" i="11"/>
  <c r="K70" i="15"/>
  <c r="K39" i="25"/>
  <c r="K44" i="25"/>
  <c r="K47" i="25" s="1"/>
  <c r="K50" i="36" s="1"/>
  <c r="K53" i="36" s="1"/>
  <c r="S1545" i="11"/>
  <c r="S1549" i="11" s="1"/>
  <c r="S1550" i="11" s="1"/>
  <c r="S65" i="15"/>
  <c r="S1555" i="11"/>
  <c r="S1540" i="11"/>
  <c r="S1330" i="43"/>
  <c r="S1331" i="43" s="1"/>
  <c r="S1336" i="43"/>
  <c r="S1325" i="43"/>
  <c r="S1551" i="11"/>
  <c r="S70" i="15"/>
  <c r="L58" i="15"/>
  <c r="L31" i="24"/>
  <c r="L32" i="24" s="1"/>
  <c r="L31" i="25"/>
  <c r="L32" i="25" s="1"/>
  <c r="T1545" i="11"/>
  <c r="T1549" i="11" s="1"/>
  <c r="T1550" i="11" s="1"/>
  <c r="T1555" i="11"/>
  <c r="T1330" i="43"/>
  <c r="T1331" i="43" s="1"/>
  <c r="T1551" i="11"/>
  <c r="T1540" i="11"/>
  <c r="T1336" i="43"/>
  <c r="T1325" i="43"/>
  <c r="T65" i="15"/>
  <c r="T70" i="15"/>
  <c r="T39" i="25"/>
  <c r="T44" i="25"/>
  <c r="T47" i="25" s="1"/>
  <c r="T50" i="36" s="1"/>
  <c r="T53" i="36" s="1"/>
  <c r="S44" i="25"/>
  <c r="S47" i="25" s="1"/>
  <c r="S50" i="36" s="1"/>
  <c r="S53" i="36" s="1"/>
  <c r="S39" i="25"/>
  <c r="M39" i="25"/>
  <c r="M44" i="25"/>
  <c r="M47" i="25" s="1"/>
  <c r="M50" i="36" s="1"/>
  <c r="M53" i="36" s="1"/>
  <c r="N31" i="25"/>
  <c r="N32" i="25" s="1"/>
  <c r="N58" i="15"/>
  <c r="N31" i="24"/>
  <c r="N32" i="24" s="1"/>
  <c r="N39" i="24" s="1"/>
  <c r="M1545" i="11"/>
  <c r="M1549" i="11" s="1"/>
  <c r="M1550" i="11" s="1"/>
  <c r="M70" i="15"/>
  <c r="M1330" i="43"/>
  <c r="M1331" i="43" s="1"/>
  <c r="M65" i="15"/>
  <c r="M1540" i="11"/>
  <c r="M1551" i="11"/>
  <c r="M1336" i="43"/>
  <c r="M1325" i="43"/>
  <c r="M1555" i="11"/>
  <c r="R1545" i="11"/>
  <c r="R1549" i="11" s="1"/>
  <c r="R1550" i="11" s="1"/>
  <c r="R1336" i="43"/>
  <c r="R1325" i="43"/>
  <c r="R1555" i="11"/>
  <c r="R70" i="15"/>
  <c r="R1540" i="11"/>
  <c r="R1551" i="11"/>
  <c r="R65" i="15"/>
  <c r="R1330" i="43"/>
  <c r="R1331" i="43" s="1"/>
  <c r="U31" i="24"/>
  <c r="U32" i="24" s="1"/>
  <c r="U39" i="24" s="1"/>
  <c r="U31" i="25"/>
  <c r="U32" i="25" s="1"/>
  <c r="U58" i="15"/>
  <c r="I57" i="14"/>
  <c r="J57" i="15"/>
  <c r="R44" i="25"/>
  <c r="R47" i="25" s="1"/>
  <c r="R50" i="36" s="1"/>
  <c r="R53" i="36" s="1"/>
  <c r="R39" i="25"/>
  <c r="P31" i="24"/>
  <c r="P32" i="24" s="1"/>
  <c r="P39" i="24" s="1"/>
  <c r="P31" i="25"/>
  <c r="P32" i="25" s="1"/>
  <c r="P58" i="15"/>
  <c r="O58" i="15"/>
  <c r="O31" i="24"/>
  <c r="O32" i="24" s="1"/>
  <c r="O39" i="24" s="1"/>
  <c r="O31" i="25"/>
  <c r="O32" i="25" s="1"/>
  <c r="V1545" i="11"/>
  <c r="V1549" i="11" s="1"/>
  <c r="V1550" i="11" s="1"/>
  <c r="V1555" i="11"/>
  <c r="V65" i="15"/>
  <c r="V1325" i="43"/>
  <c r="V1336" i="43"/>
  <c r="V70" i="15"/>
  <c r="V1330" i="43"/>
  <c r="V1331" i="43" s="1"/>
  <c r="V1551" i="11"/>
  <c r="V1540" i="11"/>
  <c r="Q58" i="15"/>
  <c r="Q31" i="25"/>
  <c r="Q32" i="25" s="1"/>
  <c r="Q31" i="24"/>
  <c r="Q32" i="24" s="1"/>
  <c r="Q39" i="24" s="1"/>
  <c r="V44" i="25"/>
  <c r="V47" i="25" s="1"/>
  <c r="V50" i="36" s="1"/>
  <c r="V53" i="36" s="1"/>
  <c r="V39" i="25"/>
  <c r="Q42" i="19"/>
  <c r="Q47" i="19"/>
  <c r="P47" i="19"/>
  <c r="M1285" i="43"/>
  <c r="M1291" i="43" s="1"/>
  <c r="M1500" i="11"/>
  <c r="T61" i="39"/>
  <c r="T60" i="39"/>
  <c r="T135" i="39"/>
  <c r="T134" i="39"/>
  <c r="T66" i="39"/>
  <c r="T221" i="39"/>
  <c r="T68" i="39"/>
  <c r="T69" i="39"/>
  <c r="T220" i="39"/>
  <c r="T70" i="39"/>
  <c r="T67" i="39"/>
  <c r="T63" i="39"/>
  <c r="T64" i="39"/>
  <c r="T65" i="39"/>
  <c r="T58" i="39"/>
  <c r="T62" i="39"/>
  <c r="T59" i="39"/>
  <c r="Q61" i="38"/>
  <c r="Q67" i="38"/>
  <c r="Q65" i="38"/>
  <c r="Q64" i="38"/>
  <c r="Q70" i="38"/>
  <c r="Q66" i="38"/>
  <c r="Q59" i="38"/>
  <c r="Q68" i="38"/>
  <c r="R57" i="38"/>
  <c r="Q60" i="38"/>
  <c r="Q69" i="38"/>
  <c r="Q58" i="38"/>
  <c r="Q63" i="38"/>
  <c r="Q62" i="38"/>
  <c r="N1506" i="11"/>
  <c r="N81" i="15"/>
  <c r="O1500" i="11"/>
  <c r="O1285" i="43"/>
  <c r="O1291" i="43" s="1"/>
  <c r="I355" i="41"/>
  <c r="I359" i="41" s="1"/>
  <c r="Q158" i="41"/>
  <c r="Q159" i="41" s="1"/>
  <c r="N158" i="41"/>
  <c r="N159" i="41" s="1"/>
  <c r="R158" i="41"/>
  <c r="R159" i="41" s="1"/>
  <c r="I156" i="41"/>
  <c r="H165" i="41" s="1"/>
  <c r="D146" i="40" s="1"/>
  <c r="O158" i="41"/>
  <c r="O159" i="41" s="1"/>
  <c r="S158" i="41"/>
  <c r="S159" i="41" s="1"/>
  <c r="L158" i="41"/>
  <c r="L159" i="41" s="1"/>
  <c r="J158" i="41"/>
  <c r="J159" i="41" s="1"/>
  <c r="U158" i="41"/>
  <c r="U159" i="41" s="1"/>
  <c r="M158" i="41"/>
  <c r="M159" i="41" s="1"/>
  <c r="P158" i="41"/>
  <c r="P159" i="41" s="1"/>
  <c r="K158" i="41"/>
  <c r="K159" i="41" s="1"/>
  <c r="I158" i="41"/>
  <c r="I159" i="41" s="1"/>
  <c r="T158" i="41"/>
  <c r="T159" i="41" s="1"/>
  <c r="J58" i="14"/>
  <c r="O49" i="19"/>
  <c r="M49" i="19"/>
  <c r="N49" i="19"/>
  <c r="L1285" i="43"/>
  <c r="L1291" i="43" s="1"/>
  <c r="L1292" i="43" s="1"/>
  <c r="M1290" i="43" s="1"/>
  <c r="L1500" i="11"/>
  <c r="L49" i="19"/>
  <c r="I125" i="15" l="1"/>
  <c r="S108" i="25"/>
  <c r="S109" i="25" s="1"/>
  <c r="M108" i="25"/>
  <c r="M109" i="25" s="1"/>
  <c r="U108" i="24"/>
  <c r="U109" i="24" s="1"/>
  <c r="Q108" i="25"/>
  <c r="Q109" i="25" s="1"/>
  <c r="T108" i="25"/>
  <c r="T109" i="25" s="1"/>
  <c r="R108" i="24"/>
  <c r="R109" i="24" s="1"/>
  <c r="P108" i="24"/>
  <c r="P109" i="24" s="1"/>
  <c r="O108" i="25"/>
  <c r="O109" i="25" s="1"/>
  <c r="I107" i="25"/>
  <c r="J108" i="25" s="1"/>
  <c r="J109" i="25" s="1"/>
  <c r="V108" i="25"/>
  <c r="V109" i="25" s="1"/>
  <c r="J130" i="15"/>
  <c r="J131" i="15" s="1"/>
  <c r="K130" i="15"/>
  <c r="K131" i="15" s="1"/>
  <c r="U130" i="15"/>
  <c r="U131" i="15" s="1"/>
  <c r="V130" i="15"/>
  <c r="V131" i="15" s="1"/>
  <c r="O130" i="15"/>
  <c r="O131" i="15" s="1"/>
  <c r="Q130" i="15"/>
  <c r="Q131" i="15" s="1"/>
  <c r="T130" i="15"/>
  <c r="T131" i="15" s="1"/>
  <c r="P130" i="15"/>
  <c r="P131" i="15" s="1"/>
  <c r="Q132" i="15" s="1"/>
  <c r="Q133" i="15" s="1"/>
  <c r="S130" i="15"/>
  <c r="S131" i="15" s="1"/>
  <c r="L130" i="15"/>
  <c r="L131" i="15" s="1"/>
  <c r="N130" i="15"/>
  <c r="N131" i="15" s="1"/>
  <c r="R130" i="15"/>
  <c r="R131" i="15" s="1"/>
  <c r="M130" i="15"/>
  <c r="M131" i="15" s="1"/>
  <c r="N108" i="24"/>
  <c r="N109" i="24" s="1"/>
  <c r="M108" i="24"/>
  <c r="M109" i="24" s="1"/>
  <c r="L108" i="24"/>
  <c r="L109" i="24" s="1"/>
  <c r="V108" i="24"/>
  <c r="V109" i="24" s="1"/>
  <c r="P108" i="25"/>
  <c r="P109" i="25" s="1"/>
  <c r="S108" i="24"/>
  <c r="S109" i="24" s="1"/>
  <c r="K108" i="25"/>
  <c r="K109" i="25" s="1"/>
  <c r="L108" i="25"/>
  <c r="L109" i="25" s="1"/>
  <c r="N108" i="25"/>
  <c r="N109" i="25" s="1"/>
  <c r="T108" i="24"/>
  <c r="T109" i="24" s="1"/>
  <c r="R108" i="25"/>
  <c r="R109" i="25" s="1"/>
  <c r="U160" i="41"/>
  <c r="U161" i="41" s="1"/>
  <c r="N1486" i="11"/>
  <c r="N1489" i="11" s="1"/>
  <c r="M98" i="15"/>
  <c r="M72" i="24" s="1"/>
  <c r="M72" i="25" s="1"/>
  <c r="U108" i="25"/>
  <c r="U109" i="25" s="1"/>
  <c r="I107" i="24"/>
  <c r="J108" i="24" s="1"/>
  <c r="J109" i="24" s="1"/>
  <c r="L39" i="25"/>
  <c r="L44" i="25"/>
  <c r="L47" i="25" s="1"/>
  <c r="L50" i="36" s="1"/>
  <c r="L53" i="36" s="1"/>
  <c r="K73" i="15"/>
  <c r="K44" i="24"/>
  <c r="K47" i="24" s="1"/>
  <c r="U1545" i="11"/>
  <c r="U1549" i="11" s="1"/>
  <c r="U1550" i="11" s="1"/>
  <c r="U70" i="15"/>
  <c r="U1336" i="43"/>
  <c r="U1330" i="43"/>
  <c r="U1331" i="43" s="1"/>
  <c r="U65" i="15"/>
  <c r="U1555" i="11"/>
  <c r="U1551" i="11"/>
  <c r="U1325" i="43"/>
  <c r="U1540" i="11"/>
  <c r="M160" i="41"/>
  <c r="M161" i="41" s="1"/>
  <c r="T160" i="41"/>
  <c r="T161" i="41" s="1"/>
  <c r="T73" i="15"/>
  <c r="T44" i="24"/>
  <c r="T47" i="24" s="1"/>
  <c r="O39" i="25"/>
  <c r="O44" i="25"/>
  <c r="O47" i="25" s="1"/>
  <c r="O50" i="36" s="1"/>
  <c r="O53" i="36" s="1"/>
  <c r="Q1545" i="11"/>
  <c r="Q1549" i="11" s="1"/>
  <c r="Q1550" i="11" s="1"/>
  <c r="Q70" i="15"/>
  <c r="Q1325" i="43"/>
  <c r="Q1336" i="43"/>
  <c r="Q1540" i="11"/>
  <c r="Q1330" i="43"/>
  <c r="Q1331" i="43" s="1"/>
  <c r="Q1551" i="11"/>
  <c r="Q65" i="15"/>
  <c r="Q1555" i="11"/>
  <c r="P1545" i="11"/>
  <c r="P1549" i="11" s="1"/>
  <c r="P1550" i="11" s="1"/>
  <c r="P1551" i="11"/>
  <c r="P1555" i="11"/>
  <c r="P1325" i="43"/>
  <c r="P1330" i="43"/>
  <c r="P1331" i="43" s="1"/>
  <c r="P70" i="15"/>
  <c r="P1336" i="43"/>
  <c r="P65" i="15"/>
  <c r="P1540" i="11"/>
  <c r="R44" i="24"/>
  <c r="R47" i="24" s="1"/>
  <c r="R73" i="15"/>
  <c r="P39" i="25"/>
  <c r="P44" i="25"/>
  <c r="P47" i="25" s="1"/>
  <c r="P50" i="36" s="1"/>
  <c r="P53" i="36" s="1"/>
  <c r="N1545" i="11"/>
  <c r="N1549" i="11" s="1"/>
  <c r="N1550" i="11" s="1"/>
  <c r="N1551" i="11"/>
  <c r="N1540" i="11"/>
  <c r="N70" i="15"/>
  <c r="N65" i="15"/>
  <c r="N1336" i="43"/>
  <c r="N1325" i="43"/>
  <c r="N1555" i="11"/>
  <c r="N1330" i="43"/>
  <c r="N1331" i="43" s="1"/>
  <c r="N44" i="25"/>
  <c r="N47" i="25" s="1"/>
  <c r="N50" i="36" s="1"/>
  <c r="N53" i="36" s="1"/>
  <c r="N39" i="25"/>
  <c r="V73" i="15"/>
  <c r="V44" i="24"/>
  <c r="V47" i="24" s="1"/>
  <c r="J31" i="25"/>
  <c r="J31" i="24"/>
  <c r="J58" i="15"/>
  <c r="I57" i="15"/>
  <c r="L39" i="24"/>
  <c r="L1545" i="11"/>
  <c r="L1549" i="11" s="1"/>
  <c r="L1550" i="11" s="1"/>
  <c r="L1330" i="43"/>
  <c r="L1331" i="43" s="1"/>
  <c r="L70" i="15"/>
  <c r="L1555" i="11"/>
  <c r="L1540" i="11"/>
  <c r="L1551" i="11"/>
  <c r="L1325" i="43"/>
  <c r="L65" i="15"/>
  <c r="L1336" i="43"/>
  <c r="S73" i="15"/>
  <c r="S44" i="24"/>
  <c r="S47" i="24" s="1"/>
  <c r="U39" i="25"/>
  <c r="U44" i="25"/>
  <c r="U47" i="25" s="1"/>
  <c r="U50" i="36" s="1"/>
  <c r="U53" i="36" s="1"/>
  <c r="P160" i="41"/>
  <c r="P161" i="41" s="1"/>
  <c r="Q39" i="25"/>
  <c r="Q44" i="25"/>
  <c r="Q47" i="25" s="1"/>
  <c r="Q50" i="36" s="1"/>
  <c r="Q53" i="36" s="1"/>
  <c r="O1545" i="11"/>
  <c r="O1549" i="11" s="1"/>
  <c r="O1550" i="11" s="1"/>
  <c r="O1555" i="11"/>
  <c r="O1551" i="11"/>
  <c r="O1330" i="43"/>
  <c r="O1331" i="43" s="1"/>
  <c r="O1540" i="11"/>
  <c r="O70" i="15"/>
  <c r="O1325" i="43"/>
  <c r="O65" i="15"/>
  <c r="O1336" i="43"/>
  <c r="M73" i="15"/>
  <c r="M44" i="24"/>
  <c r="M47" i="24" s="1"/>
  <c r="R364" i="41"/>
  <c r="R365" i="41" s="1"/>
  <c r="O364" i="41"/>
  <c r="O365" i="41" s="1"/>
  <c r="J364" i="41"/>
  <c r="J365" i="41" s="1"/>
  <c r="P364" i="41"/>
  <c r="P365" i="41" s="1"/>
  <c r="N364" i="41"/>
  <c r="N365" i="41" s="1"/>
  <c r="T364" i="41"/>
  <c r="T365" i="41" s="1"/>
  <c r="L364" i="41"/>
  <c r="L365" i="41" s="1"/>
  <c r="Q364" i="41"/>
  <c r="Q365" i="41" s="1"/>
  <c r="I362" i="41"/>
  <c r="H371" i="41" s="1"/>
  <c r="D151" i="40" s="1"/>
  <c r="I364" i="41"/>
  <c r="I365" i="41" s="1"/>
  <c r="M364" i="41"/>
  <c r="M365" i="41" s="1"/>
  <c r="S364" i="41"/>
  <c r="S365" i="41" s="1"/>
  <c r="K364" i="41"/>
  <c r="K365" i="41" s="1"/>
  <c r="U364" i="41"/>
  <c r="U365" i="41" s="1"/>
  <c r="J160" i="41"/>
  <c r="J161" i="41" s="1"/>
  <c r="H159" i="41"/>
  <c r="S57" i="38"/>
  <c r="R65" i="38"/>
  <c r="R59" i="38"/>
  <c r="R64" i="38"/>
  <c r="R66" i="38"/>
  <c r="R60" i="38"/>
  <c r="R61" i="38"/>
  <c r="R70" i="38"/>
  <c r="R69" i="38"/>
  <c r="R63" i="38"/>
  <c r="R67" i="38"/>
  <c r="R58" i="38"/>
  <c r="R68" i="38"/>
  <c r="R62" i="38"/>
  <c r="S160" i="41"/>
  <c r="S161" i="41" s="1"/>
  <c r="J64" i="14"/>
  <c r="I64" i="14" s="1"/>
  <c r="I58" i="14"/>
  <c r="L160" i="41"/>
  <c r="L161" i="41" s="1"/>
  <c r="M81" i="15"/>
  <c r="M1506" i="11"/>
  <c r="L16" i="39"/>
  <c r="L17" i="39" s="1"/>
  <c r="Q48" i="19"/>
  <c r="N16" i="39"/>
  <c r="N17" i="39" s="1"/>
  <c r="N55" i="24"/>
  <c r="N55" i="25"/>
  <c r="O160" i="41"/>
  <c r="O161" i="41" s="1"/>
  <c r="R160" i="41"/>
  <c r="R161" i="41" s="1"/>
  <c r="L1506" i="11"/>
  <c r="L1507" i="11" s="1"/>
  <c r="L81" i="15"/>
  <c r="Q160" i="41"/>
  <c r="Q161" i="41" s="1"/>
  <c r="O81" i="15"/>
  <c r="O1506" i="11"/>
  <c r="M1292" i="43"/>
  <c r="N1290" i="43" s="1"/>
  <c r="N1292" i="43" s="1"/>
  <c r="O1290" i="43" s="1"/>
  <c r="O1292" i="43" s="1"/>
  <c r="P1290" i="43" s="1"/>
  <c r="N160" i="41"/>
  <c r="N161" i="41" s="1"/>
  <c r="P48" i="19"/>
  <c r="K16" i="39"/>
  <c r="K17" i="39" s="1"/>
  <c r="K160" i="41"/>
  <c r="K161" i="41" s="1"/>
  <c r="R42" i="19"/>
  <c r="R47" i="19" s="1"/>
  <c r="U132" i="15" l="1"/>
  <c r="U133" i="15" s="1"/>
  <c r="M132" i="15"/>
  <c r="M133" i="15" s="1"/>
  <c r="T132" i="15"/>
  <c r="T133" i="15" s="1"/>
  <c r="O132" i="15"/>
  <c r="O133" i="15" s="1"/>
  <c r="V132" i="15"/>
  <c r="V133" i="15" s="1"/>
  <c r="S132" i="15"/>
  <c r="S133" i="15" s="1"/>
  <c r="I109" i="24"/>
  <c r="J114" i="24" s="1"/>
  <c r="I131" i="15"/>
  <c r="J132" i="15" s="1"/>
  <c r="J133" i="15" s="1"/>
  <c r="R132" i="15"/>
  <c r="R133" i="15" s="1"/>
  <c r="K132" i="15"/>
  <c r="K133" i="15" s="1"/>
  <c r="L132" i="15"/>
  <c r="L133" i="15" s="1"/>
  <c r="N98" i="15"/>
  <c r="N72" i="24" s="1"/>
  <c r="N72" i="25" s="1"/>
  <c r="O1486" i="11"/>
  <c r="O1489" i="11" s="1"/>
  <c r="P132" i="15"/>
  <c r="P133" i="15" s="1"/>
  <c r="N132" i="15"/>
  <c r="N133" i="15" s="1"/>
  <c r="I109" i="25"/>
  <c r="J114" i="25" s="1"/>
  <c r="O366" i="41"/>
  <c r="O367" i="41" s="1"/>
  <c r="L366" i="41"/>
  <c r="L367" i="41" s="1"/>
  <c r="P73" i="15"/>
  <c r="P44" i="24"/>
  <c r="P47" i="24" s="1"/>
  <c r="U44" i="24"/>
  <c r="U47" i="24" s="1"/>
  <c r="U73" i="15"/>
  <c r="N366" i="41"/>
  <c r="N367" i="41" s="1"/>
  <c r="N73" i="15"/>
  <c r="N44" i="24"/>
  <c r="N47" i="24" s="1"/>
  <c r="K1315" i="43"/>
  <c r="K1530" i="11"/>
  <c r="L44" i="24"/>
  <c r="L47" i="24" s="1"/>
  <c r="L73" i="15"/>
  <c r="L1530" i="11" s="1"/>
  <c r="Q73" i="15"/>
  <c r="Q44" i="24"/>
  <c r="Q47" i="24" s="1"/>
  <c r="T366" i="41"/>
  <c r="T367" i="41" s="1"/>
  <c r="R366" i="41"/>
  <c r="R367" i="41" s="1"/>
  <c r="O73" i="15"/>
  <c r="O1315" i="43" s="1"/>
  <c r="O44" i="24"/>
  <c r="O47" i="24" s="1"/>
  <c r="J32" i="24"/>
  <c r="I31" i="24"/>
  <c r="J1545" i="11"/>
  <c r="J1549" i="11" s="1"/>
  <c r="J1550" i="11" s="1"/>
  <c r="I1550" i="11" s="1"/>
  <c r="J1336" i="43"/>
  <c r="J1330" i="43"/>
  <c r="J1331" i="43" s="1"/>
  <c r="I1331" i="43" s="1"/>
  <c r="J65" i="15"/>
  <c r="J1555" i="11"/>
  <c r="J1551" i="11"/>
  <c r="J70" i="15"/>
  <c r="J60" i="15"/>
  <c r="J1540" i="11"/>
  <c r="J1543" i="11" s="1"/>
  <c r="J1325" i="43"/>
  <c r="J1328" i="43" s="1"/>
  <c r="K60" i="15"/>
  <c r="M60" i="15"/>
  <c r="T60" i="15"/>
  <c r="U60" i="15"/>
  <c r="L60" i="15"/>
  <c r="V60" i="15"/>
  <c r="Q60" i="15"/>
  <c r="P60" i="15"/>
  <c r="I58" i="15"/>
  <c r="N60" i="15"/>
  <c r="O60" i="15"/>
  <c r="S60" i="15"/>
  <c r="R60" i="15"/>
  <c r="J32" i="25"/>
  <c r="I31" i="25"/>
  <c r="H365" i="41"/>
  <c r="J366" i="41"/>
  <c r="J367" i="41" s="1"/>
  <c r="U366" i="41"/>
  <c r="U367" i="41" s="1"/>
  <c r="N55" i="36"/>
  <c r="L55" i="24"/>
  <c r="L55" i="25"/>
  <c r="M1530" i="11"/>
  <c r="M1315" i="43"/>
  <c r="M55" i="24"/>
  <c r="M55" i="25"/>
  <c r="P1285" i="43"/>
  <c r="P1291" i="43" s="1"/>
  <c r="P1292" i="43" s="1"/>
  <c r="Q1290" i="43" s="1"/>
  <c r="P1500" i="11"/>
  <c r="P49" i="19"/>
  <c r="Q49" i="19"/>
  <c r="M16" i="39"/>
  <c r="M17" i="39" s="1"/>
  <c r="R48" i="19"/>
  <c r="O16" i="39"/>
  <c r="O17" i="39" s="1"/>
  <c r="M366" i="41"/>
  <c r="M367" i="41" s="1"/>
  <c r="Q366" i="41"/>
  <c r="Q367" i="41" s="1"/>
  <c r="I160" i="41"/>
  <c r="I161" i="41" s="1"/>
  <c r="H161" i="41" s="1"/>
  <c r="H166" i="41" s="1"/>
  <c r="E146" i="40" s="1"/>
  <c r="P366" i="41"/>
  <c r="P367" i="41" s="1"/>
  <c r="O55" i="24"/>
  <c r="O55" i="25"/>
  <c r="Q1285" i="43"/>
  <c r="Q1291" i="43" s="1"/>
  <c r="Q1500" i="11"/>
  <c r="L109" i="15"/>
  <c r="M1505" i="11"/>
  <c r="M1507" i="11" s="1"/>
  <c r="S42" i="19"/>
  <c r="S47" i="19"/>
  <c r="S70" i="38"/>
  <c r="S65" i="38"/>
  <c r="T57" i="38"/>
  <c r="S61" i="38"/>
  <c r="S59" i="38"/>
  <c r="S58" i="38"/>
  <c r="S64" i="38"/>
  <c r="S63" i="38"/>
  <c r="S68" i="38"/>
  <c r="S60" i="38"/>
  <c r="S67" i="38"/>
  <c r="S62" i="38"/>
  <c r="S69" i="38"/>
  <c r="S66" i="38"/>
  <c r="K366" i="41"/>
  <c r="K367" i="41" s="1"/>
  <c r="S366" i="41"/>
  <c r="S367" i="41" s="1"/>
  <c r="O1530" i="11" l="1"/>
  <c r="O98" i="15"/>
  <c r="O72" i="24" s="1"/>
  <c r="O72" i="25" s="1"/>
  <c r="P1486" i="11"/>
  <c r="P1489" i="11" s="1"/>
  <c r="I133" i="15"/>
  <c r="J138" i="15" s="1"/>
  <c r="E153" i="40" s="1"/>
  <c r="L1315" i="43"/>
  <c r="J73" i="15"/>
  <c r="J44" i="24"/>
  <c r="J47" i="24" s="1"/>
  <c r="O1541" i="11"/>
  <c r="O1543" i="11" s="1"/>
  <c r="O1326" i="43"/>
  <c r="O1328" i="43" s="1"/>
  <c r="O1335" i="43"/>
  <c r="O1554" i="11"/>
  <c r="M1326" i="43"/>
  <c r="M1328" i="43" s="1"/>
  <c r="M1335" i="43"/>
  <c r="M1554" i="11"/>
  <c r="M1541" i="11"/>
  <c r="M1543" i="11" s="1"/>
  <c r="N1530" i="11"/>
  <c r="N1315" i="43"/>
  <c r="N1326" i="43"/>
  <c r="N1328" i="43" s="1"/>
  <c r="N1554" i="11"/>
  <c r="N1335" i="43"/>
  <c r="N1541" i="11"/>
  <c r="N1543" i="11" s="1"/>
  <c r="L1326" i="43"/>
  <c r="L1328" i="43" s="1"/>
  <c r="L1335" i="43"/>
  <c r="L1541" i="11"/>
  <c r="L1543" i="11" s="1"/>
  <c r="L1554" i="11"/>
  <c r="J34" i="24"/>
  <c r="J39" i="24"/>
  <c r="K34" i="24"/>
  <c r="T34" i="24"/>
  <c r="L34" i="24"/>
  <c r="U34" i="24"/>
  <c r="R34" i="24"/>
  <c r="P34" i="24"/>
  <c r="Q34" i="24"/>
  <c r="I32" i="24"/>
  <c r="S34" i="24"/>
  <c r="M34" i="24"/>
  <c r="V34" i="24"/>
  <c r="O34" i="24"/>
  <c r="N34" i="24"/>
  <c r="P1554" i="11"/>
  <c r="P1326" i="43"/>
  <c r="P1328" i="43" s="1"/>
  <c r="P1541" i="11"/>
  <c r="P1543" i="11" s="1"/>
  <c r="P1335" i="43"/>
  <c r="V1541" i="11"/>
  <c r="V1543" i="11" s="1"/>
  <c r="V1554" i="11"/>
  <c r="V1326" i="43"/>
  <c r="V1328" i="43" s="1"/>
  <c r="V1335" i="43"/>
  <c r="U1554" i="11"/>
  <c r="U1541" i="11"/>
  <c r="U1543" i="11" s="1"/>
  <c r="U1326" i="43"/>
  <c r="U1328" i="43" s="1"/>
  <c r="U1335" i="43"/>
  <c r="J34" i="25"/>
  <c r="J39" i="25"/>
  <c r="J44" i="25"/>
  <c r="J47" i="25" s="1"/>
  <c r="J50" i="36" s="1"/>
  <c r="J53" i="36" s="1"/>
  <c r="K34" i="25"/>
  <c r="T34" i="25"/>
  <c r="R34" i="25"/>
  <c r="U34" i="25"/>
  <c r="S34" i="25"/>
  <c r="Q34" i="25"/>
  <c r="N34" i="25"/>
  <c r="O34" i="25"/>
  <c r="V34" i="25"/>
  <c r="I32" i="25"/>
  <c r="L34" i="25"/>
  <c r="P34" i="25"/>
  <c r="M34" i="25"/>
  <c r="Q1541" i="11"/>
  <c r="Q1543" i="11" s="1"/>
  <c r="Q1554" i="11"/>
  <c r="Q1335" i="43"/>
  <c r="Q1326" i="43"/>
  <c r="Q1328" i="43" s="1"/>
  <c r="R1326" i="43"/>
  <c r="R1328" i="43" s="1"/>
  <c r="R1541" i="11"/>
  <c r="R1543" i="11" s="1"/>
  <c r="R1335" i="43"/>
  <c r="R1554" i="11"/>
  <c r="S1541" i="11"/>
  <c r="S1543" i="11" s="1"/>
  <c r="S1554" i="11"/>
  <c r="S1335" i="43"/>
  <c r="S1326" i="43"/>
  <c r="S1328" i="43" s="1"/>
  <c r="T1326" i="43"/>
  <c r="T1328" i="43" s="1"/>
  <c r="T1554" i="11"/>
  <c r="T1335" i="43"/>
  <c r="T1541" i="11"/>
  <c r="T1543" i="11" s="1"/>
  <c r="K1541" i="11"/>
  <c r="K1543" i="11" s="1"/>
  <c r="K1335" i="43"/>
  <c r="K1326" i="43"/>
  <c r="K1328" i="43" s="1"/>
  <c r="K1554" i="11"/>
  <c r="R1500" i="11"/>
  <c r="R1285" i="43"/>
  <c r="R1291" i="43" s="1"/>
  <c r="L55" i="36"/>
  <c r="L83" i="24"/>
  <c r="Q1292" i="43"/>
  <c r="R1290" i="43" s="1"/>
  <c r="P16" i="39"/>
  <c r="P17" i="39" s="1"/>
  <c r="S48" i="19"/>
  <c r="Q1506" i="11"/>
  <c r="Q81" i="15"/>
  <c r="S49" i="19"/>
  <c r="T66" i="38"/>
  <c r="T64" i="38"/>
  <c r="T58" i="38"/>
  <c r="T70" i="38"/>
  <c r="T65" i="38"/>
  <c r="T67" i="38"/>
  <c r="T59" i="38"/>
  <c r="T69" i="38"/>
  <c r="U57" i="38"/>
  <c r="T61" i="38"/>
  <c r="T63" i="38"/>
  <c r="T60" i="38"/>
  <c r="T62" i="38"/>
  <c r="T68" i="38"/>
  <c r="T42" i="19"/>
  <c r="T47" i="19" s="1"/>
  <c r="O55" i="36"/>
  <c r="R49" i="19"/>
  <c r="P1506" i="11"/>
  <c r="P81" i="15"/>
  <c r="N1505" i="11"/>
  <c r="N1507" i="11" s="1"/>
  <c r="M109" i="15"/>
  <c r="M55" i="36"/>
  <c r="I366" i="41"/>
  <c r="I367" i="41" s="1"/>
  <c r="H367" i="41" s="1"/>
  <c r="H372" i="41" s="1"/>
  <c r="E151" i="40" s="1"/>
  <c r="R1292" i="43" l="1"/>
  <c r="S1290" i="43" s="1"/>
  <c r="P98" i="15"/>
  <c r="P72" i="24" s="1"/>
  <c r="P72" i="25" s="1"/>
  <c r="Q1486" i="11"/>
  <c r="Q1489" i="11" s="1"/>
  <c r="J1315" i="43"/>
  <c r="J1317" i="43" s="1"/>
  <c r="J1337" i="43" s="1"/>
  <c r="J1530" i="11"/>
  <c r="J1532" i="11" s="1"/>
  <c r="J1556" i="11" s="1"/>
  <c r="O1505" i="11"/>
  <c r="O1507" i="11" s="1"/>
  <c r="N109" i="15"/>
  <c r="P1530" i="11"/>
  <c r="P55" i="24"/>
  <c r="P1315" i="43"/>
  <c r="P55" i="25"/>
  <c r="Q55" i="25"/>
  <c r="Q55" i="24"/>
  <c r="Q1315" i="43"/>
  <c r="Q1530" i="11"/>
  <c r="S1285" i="43"/>
  <c r="S1291" i="43" s="1"/>
  <c r="S1500" i="11"/>
  <c r="M83" i="24"/>
  <c r="U66" i="38"/>
  <c r="U70" i="38"/>
  <c r="U63" i="38"/>
  <c r="V57" i="38"/>
  <c r="U59" i="38"/>
  <c r="U69" i="38"/>
  <c r="U58" i="38"/>
  <c r="U62" i="38"/>
  <c r="U68" i="38"/>
  <c r="U60" i="38"/>
  <c r="U67" i="38"/>
  <c r="U65" i="38"/>
  <c r="U61" i="38"/>
  <c r="U64" i="38"/>
  <c r="L83" i="25"/>
  <c r="Q16" i="39"/>
  <c r="Q17" i="39" s="1"/>
  <c r="T48" i="19"/>
  <c r="T49" i="19" s="1"/>
  <c r="U42" i="19"/>
  <c r="U47" i="19" s="1"/>
  <c r="U48" i="19" s="1"/>
  <c r="R1506" i="11"/>
  <c r="R81" i="15"/>
  <c r="S1292" i="43" l="1"/>
  <c r="T1290" i="43" s="1"/>
  <c r="Q98" i="15"/>
  <c r="Q72" i="24" s="1"/>
  <c r="Q72" i="25" s="1"/>
  <c r="R1486" i="11"/>
  <c r="R1489" i="11" s="1"/>
  <c r="J83" i="15"/>
  <c r="J1557" i="11"/>
  <c r="J1560" i="11"/>
  <c r="J111" i="15" s="1"/>
  <c r="J1338" i="43"/>
  <c r="J1341" i="43"/>
  <c r="Q55" i="36"/>
  <c r="O109" i="15"/>
  <c r="P1505" i="11"/>
  <c r="P1507" i="11" s="1"/>
  <c r="V68" i="38"/>
  <c r="V67" i="38"/>
  <c r="V61" i="38"/>
  <c r="V65" i="38"/>
  <c r="V62" i="38"/>
  <c r="V66" i="38"/>
  <c r="V64" i="38"/>
  <c r="V63" i="38"/>
  <c r="V59" i="38"/>
  <c r="V70" i="38"/>
  <c r="V69" i="38"/>
  <c r="V60" i="38"/>
  <c r="V58" i="38"/>
  <c r="P55" i="36"/>
  <c r="R1530" i="11"/>
  <c r="R1315" i="43"/>
  <c r="R55" i="24"/>
  <c r="R55" i="25"/>
  <c r="U1500" i="11"/>
  <c r="U1285" i="43"/>
  <c r="U1291" i="43" s="1"/>
  <c r="M83" i="25"/>
  <c r="V42" i="19"/>
  <c r="V47" i="19" s="1"/>
  <c r="V48" i="19" s="1"/>
  <c r="V49" i="19" s="1"/>
  <c r="N83" i="24"/>
  <c r="S81" i="15"/>
  <c r="S1506" i="11"/>
  <c r="T1285" i="43"/>
  <c r="T1291" i="43" s="1"/>
  <c r="T1500" i="11"/>
  <c r="U49" i="19"/>
  <c r="T1292" i="43" l="1"/>
  <c r="U1290" i="43" s="1"/>
  <c r="U1292" i="43" s="1"/>
  <c r="V1290" i="43" s="1"/>
  <c r="I47" i="19"/>
  <c r="R98" i="15"/>
  <c r="R72" i="24" s="1"/>
  <c r="R72" i="25" s="1"/>
  <c r="S1486" i="11"/>
  <c r="S1489" i="11" s="1"/>
  <c r="J85" i="24"/>
  <c r="J112" i="15"/>
  <c r="J57" i="25"/>
  <c r="J58" i="25" s="1"/>
  <c r="J60" i="25" s="1"/>
  <c r="J62" i="25" s="1"/>
  <c r="J84" i="15"/>
  <c r="J86" i="15" s="1"/>
  <c r="J19" i="19"/>
  <c r="J57" i="24"/>
  <c r="J58" i="24" s="1"/>
  <c r="S1315" i="43"/>
  <c r="S1530" i="11"/>
  <c r="S55" i="25"/>
  <c r="S55" i="24"/>
  <c r="N83" i="25"/>
  <c r="O83" i="24"/>
  <c r="R55" i="36"/>
  <c r="P109" i="15"/>
  <c r="Q1505" i="11"/>
  <c r="Q1507" i="11" s="1"/>
  <c r="U1506" i="11"/>
  <c r="U81" i="15"/>
  <c r="T1506" i="11"/>
  <c r="T81" i="15"/>
  <c r="V1500" i="11"/>
  <c r="V1285" i="43"/>
  <c r="V1291" i="43" s="1"/>
  <c r="V1292" i="43" s="1"/>
  <c r="T1486" i="11" l="1"/>
  <c r="T1489" i="11" s="1"/>
  <c r="S98" i="15"/>
  <c r="S72" i="24" s="1"/>
  <c r="S72" i="25" s="1"/>
  <c r="D125" i="40"/>
  <c r="J53" i="19"/>
  <c r="D123" i="40" s="1"/>
  <c r="J60" i="19"/>
  <c r="J88" i="15"/>
  <c r="J60" i="24"/>
  <c r="J62" i="24" s="1"/>
  <c r="J64" i="24" s="1"/>
  <c r="K61" i="25"/>
  <c r="J64" i="25"/>
  <c r="J85" i="25"/>
  <c r="J86" i="25" s="1"/>
  <c r="J86" i="24"/>
  <c r="T1315" i="43"/>
  <c r="T1530" i="11"/>
  <c r="T55" i="24"/>
  <c r="T55" i="25"/>
  <c r="U1315" i="43"/>
  <c r="U55" i="25"/>
  <c r="U1530" i="11"/>
  <c r="U55" i="24"/>
  <c r="Q109" i="15"/>
  <c r="R1505" i="11"/>
  <c r="R1507" i="11" s="1"/>
  <c r="O83" i="25"/>
  <c r="P83" i="24"/>
  <c r="S55" i="36"/>
  <c r="V1506" i="11"/>
  <c r="V81" i="15"/>
  <c r="U1486" i="11" l="1"/>
  <c r="U1489" i="11" s="1"/>
  <c r="T98" i="15"/>
  <c r="T72" i="24" s="1"/>
  <c r="T72" i="25" s="1"/>
  <c r="K87" i="15"/>
  <c r="J20" i="19"/>
  <c r="J95" i="15"/>
  <c r="J90" i="15"/>
  <c r="J78" i="19"/>
  <c r="J79" i="19" s="1"/>
  <c r="D124" i="40"/>
  <c r="J64" i="19"/>
  <c r="S1505" i="11"/>
  <c r="S1507" i="11" s="1"/>
  <c r="R109" i="15"/>
  <c r="U55" i="36"/>
  <c r="Q83" i="24"/>
  <c r="V1530" i="11"/>
  <c r="V55" i="24"/>
  <c r="V1315" i="43"/>
  <c r="V55" i="25"/>
  <c r="T55" i="36"/>
  <c r="P83" i="25"/>
  <c r="U98" i="15" l="1"/>
  <c r="U72" i="24" s="1"/>
  <c r="U72" i="25" s="1"/>
  <c r="V1486" i="11"/>
  <c r="V1489" i="11" s="1"/>
  <c r="V98" i="15" s="1"/>
  <c r="V72" i="24" s="1"/>
  <c r="V72" i="25" s="1"/>
  <c r="J52" i="19"/>
  <c r="J55" i="19" s="1"/>
  <c r="J21" i="19"/>
  <c r="J85" i="19"/>
  <c r="J86" i="19"/>
  <c r="J115" i="15"/>
  <c r="J100" i="15"/>
  <c r="J114" i="15" s="1"/>
  <c r="J117" i="15" s="1"/>
  <c r="J69" i="24"/>
  <c r="K1314" i="43"/>
  <c r="K1317" i="43" s="1"/>
  <c r="K61" i="24"/>
  <c r="K1529" i="11"/>
  <c r="K1532" i="11" s="1"/>
  <c r="Q83" i="25"/>
  <c r="R83" i="24"/>
  <c r="V55" i="36"/>
  <c r="T1505" i="11"/>
  <c r="T1507" i="11" s="1"/>
  <c r="S109" i="15"/>
  <c r="K1533" i="11" l="1"/>
  <c r="K1556" i="11"/>
  <c r="J69" i="25"/>
  <c r="J74" i="24"/>
  <c r="J88" i="24" s="1"/>
  <c r="J89" i="24"/>
  <c r="K1318" i="43"/>
  <c r="K1337" i="43"/>
  <c r="S83" i="24"/>
  <c r="T109" i="15"/>
  <c r="U1505" i="11"/>
  <c r="U1507" i="11" s="1"/>
  <c r="R83" i="25"/>
  <c r="K83" i="15" l="1"/>
  <c r="K1557" i="11"/>
  <c r="K1560" i="11"/>
  <c r="K111" i="15" s="1"/>
  <c r="K1341" i="43"/>
  <c r="K1338" i="43"/>
  <c r="J74" i="25"/>
  <c r="J88" i="25" s="1"/>
  <c r="J91" i="25" s="1"/>
  <c r="J89" i="25"/>
  <c r="U109" i="15"/>
  <c r="V1505" i="11"/>
  <c r="V1507" i="11" s="1"/>
  <c r="V109" i="15" s="1"/>
  <c r="T83" i="24"/>
  <c r="S83" i="25"/>
  <c r="K85" i="24" l="1"/>
  <c r="K112" i="15"/>
  <c r="K57" i="24"/>
  <c r="K58" i="24" s="1"/>
  <c r="K84" i="15"/>
  <c r="K86" i="15" s="1"/>
  <c r="K57" i="25"/>
  <c r="K58" i="25" s="1"/>
  <c r="K60" i="25" s="1"/>
  <c r="K62" i="25" s="1"/>
  <c r="T83" i="25"/>
  <c r="V83" i="24"/>
  <c r="U83" i="24"/>
  <c r="L61" i="25" l="1"/>
  <c r="K64" i="25"/>
  <c r="K88" i="15"/>
  <c r="K60" i="24"/>
  <c r="K62" i="24" s="1"/>
  <c r="K64" i="24" s="1"/>
  <c r="K85" i="25"/>
  <c r="K86" i="25" s="1"/>
  <c r="K86" i="24"/>
  <c r="V83" i="25"/>
  <c r="U83" i="25"/>
  <c r="K78" i="19" l="1"/>
  <c r="K79" i="19" s="1"/>
  <c r="K95" i="15"/>
  <c r="L87" i="15"/>
  <c r="K90" i="15"/>
  <c r="K20" i="19"/>
  <c r="K52" i="19" l="1"/>
  <c r="K55" i="19" s="1"/>
  <c r="K21" i="19"/>
  <c r="L1529" i="11"/>
  <c r="L1532" i="11" s="1"/>
  <c r="L1556" i="11" s="1"/>
  <c r="L61" i="24"/>
  <c r="L1314" i="43"/>
  <c r="L1317" i="43" s="1"/>
  <c r="L1337" i="43" s="1"/>
  <c r="K100" i="15"/>
  <c r="K114" i="15" s="1"/>
  <c r="K115" i="15"/>
  <c r="K69" i="24"/>
  <c r="K86" i="19"/>
  <c r="K85" i="19"/>
  <c r="K89" i="24" l="1"/>
  <c r="K69" i="25"/>
  <c r="K74" i="24"/>
  <c r="K88" i="24" s="1"/>
  <c r="K116" i="15"/>
  <c r="K117" i="15"/>
  <c r="L1338" i="43"/>
  <c r="L1341" i="43"/>
  <c r="L83" i="15"/>
  <c r="L1557" i="11"/>
  <c r="L1560" i="11"/>
  <c r="L111" i="15" s="1"/>
  <c r="L85" i="24" l="1"/>
  <c r="L112" i="15"/>
  <c r="L57" i="25"/>
  <c r="L58" i="25" s="1"/>
  <c r="L60" i="25" s="1"/>
  <c r="L62" i="25" s="1"/>
  <c r="L19" i="19"/>
  <c r="L57" i="24"/>
  <c r="L58" i="24" s="1"/>
  <c r="L84" i="15"/>
  <c r="L86" i="15" s="1"/>
  <c r="K74" i="25"/>
  <c r="K88" i="25" s="1"/>
  <c r="K89" i="25"/>
  <c r="L60" i="24" l="1"/>
  <c r="L62" i="24" s="1"/>
  <c r="L64" i="24" s="1"/>
  <c r="L88" i="15"/>
  <c r="K91" i="25"/>
  <c r="K90" i="25"/>
  <c r="F125" i="40"/>
  <c r="L53" i="19"/>
  <c r="F123" i="40" s="1"/>
  <c r="L60" i="19"/>
  <c r="M61" i="25"/>
  <c r="L64" i="25"/>
  <c r="L85" i="25"/>
  <c r="L86" i="25" s="1"/>
  <c r="L86" i="24"/>
  <c r="F124" i="40" l="1"/>
  <c r="L64" i="19"/>
  <c r="L78" i="19"/>
  <c r="L79" i="19" s="1"/>
  <c r="L90" i="15"/>
  <c r="M87" i="15"/>
  <c r="L95" i="15"/>
  <c r="L20" i="19"/>
  <c r="L52" i="19" l="1"/>
  <c r="L55" i="19" s="1"/>
  <c r="L21" i="19"/>
  <c r="L100" i="15"/>
  <c r="L114" i="15" s="1"/>
  <c r="L69" i="24"/>
  <c r="L115" i="15"/>
  <c r="M1314" i="43"/>
  <c r="M1317" i="43" s="1"/>
  <c r="M1337" i="43" s="1"/>
  <c r="M1529" i="11"/>
  <c r="M1532" i="11" s="1"/>
  <c r="M1556" i="11" s="1"/>
  <c r="M61" i="24"/>
  <c r="L85" i="19"/>
  <c r="L86" i="19"/>
  <c r="M1557" i="11" l="1"/>
  <c r="M83" i="15"/>
  <c r="M1560" i="11"/>
  <c r="M111" i="15" s="1"/>
  <c r="M1338" i="43"/>
  <c r="M1341" i="43"/>
  <c r="L74" i="24"/>
  <c r="L88" i="24" s="1"/>
  <c r="L89" i="24"/>
  <c r="L69" i="25"/>
  <c r="L116" i="15"/>
  <c r="L117" i="15"/>
  <c r="L89" i="25" l="1"/>
  <c r="L74" i="25"/>
  <c r="L88" i="25" s="1"/>
  <c r="M85" i="24"/>
  <c r="M112" i="15"/>
  <c r="M19" i="19"/>
  <c r="M57" i="25"/>
  <c r="M58" i="25" s="1"/>
  <c r="M60" i="25" s="1"/>
  <c r="M62" i="25" s="1"/>
  <c r="M57" i="24"/>
  <c r="M58" i="24" s="1"/>
  <c r="M84" i="15"/>
  <c r="M86" i="15" s="1"/>
  <c r="M88" i="15" l="1"/>
  <c r="M60" i="24"/>
  <c r="M62" i="24" s="1"/>
  <c r="M64" i="24" s="1"/>
  <c r="M64" i="25"/>
  <c r="N61" i="25"/>
  <c r="M53" i="19"/>
  <c r="G123" i="40" s="1"/>
  <c r="M60" i="19"/>
  <c r="G125" i="40"/>
  <c r="M85" i="25"/>
  <c r="M86" i="25" s="1"/>
  <c r="M86" i="24"/>
  <c r="L90" i="25"/>
  <c r="L91" i="25"/>
  <c r="G124" i="40" l="1"/>
  <c r="M64" i="19"/>
  <c r="N87" i="15"/>
  <c r="M20" i="19"/>
  <c r="M78" i="19"/>
  <c r="M79" i="19" s="1"/>
  <c r="M95" i="15"/>
  <c r="M90" i="15"/>
  <c r="M100" i="15" l="1"/>
  <c r="M114" i="15" s="1"/>
  <c r="M115" i="15"/>
  <c r="M69" i="24"/>
  <c r="M86" i="19"/>
  <c r="M85" i="19"/>
  <c r="M52" i="19"/>
  <c r="M55" i="19" s="1"/>
  <c r="M21" i="19"/>
  <c r="N1529" i="11"/>
  <c r="N1532" i="11" s="1"/>
  <c r="N1556" i="11" s="1"/>
  <c r="N1314" i="43"/>
  <c r="N1317" i="43" s="1"/>
  <c r="N1337" i="43" s="1"/>
  <c r="N61" i="24"/>
  <c r="N1557" i="11" l="1"/>
  <c r="N83" i="15"/>
  <c r="N1560" i="11"/>
  <c r="N111" i="15" s="1"/>
  <c r="N1338" i="43"/>
  <c r="N1341" i="43"/>
  <c r="M74" i="24"/>
  <c r="M88" i="24" s="1"/>
  <c r="M69" i="25"/>
  <c r="M89" i="24"/>
  <c r="M117" i="15"/>
  <c r="M116" i="15"/>
  <c r="M89" i="25" l="1"/>
  <c r="M74" i="25"/>
  <c r="M88" i="25" s="1"/>
  <c r="N85" i="24"/>
  <c r="N112" i="15"/>
  <c r="N57" i="25"/>
  <c r="N58" i="25" s="1"/>
  <c r="N60" i="25" s="1"/>
  <c r="N62" i="25" s="1"/>
  <c r="N84" i="15"/>
  <c r="N86" i="15" s="1"/>
  <c r="N19" i="19"/>
  <c r="N57" i="24"/>
  <c r="N58" i="24" s="1"/>
  <c r="H125" i="40" l="1"/>
  <c r="N60" i="19"/>
  <c r="N53" i="19"/>
  <c r="H123" i="40" s="1"/>
  <c r="N88" i="15"/>
  <c r="N60" i="24"/>
  <c r="N62" i="24" s="1"/>
  <c r="N64" i="24" s="1"/>
  <c r="M90" i="25"/>
  <c r="M91" i="25"/>
  <c r="N64" i="25"/>
  <c r="O61" i="25"/>
  <c r="N86" i="24"/>
  <c r="N85" i="25"/>
  <c r="N86" i="25" s="1"/>
  <c r="N78" i="19" l="1"/>
  <c r="N79" i="19" s="1"/>
  <c r="N95" i="15"/>
  <c r="O87" i="15"/>
  <c r="N90" i="15"/>
  <c r="N20" i="19"/>
  <c r="N64" i="19"/>
  <c r="H124" i="40"/>
  <c r="N115" i="15" l="1"/>
  <c r="N69" i="24"/>
  <c r="N100" i="15"/>
  <c r="N114" i="15" s="1"/>
  <c r="N52" i="19"/>
  <c r="N55" i="19" s="1"/>
  <c r="N21" i="19"/>
  <c r="O1529" i="11"/>
  <c r="O1532" i="11" s="1"/>
  <c r="O1556" i="11" s="1"/>
  <c r="O1314" i="43"/>
  <c r="O1317" i="43" s="1"/>
  <c r="O1337" i="43" s="1"/>
  <c r="O61" i="24"/>
  <c r="N85" i="19"/>
  <c r="N86" i="19"/>
  <c r="N74" i="24" l="1"/>
  <c r="N88" i="24" s="1"/>
  <c r="N69" i="25"/>
  <c r="N89" i="24"/>
  <c r="O1338" i="43"/>
  <c r="O1341" i="43"/>
  <c r="O1557" i="11"/>
  <c r="O83" i="15"/>
  <c r="O1560" i="11"/>
  <c r="O111" i="15" s="1"/>
  <c r="N116" i="15"/>
  <c r="N117" i="15"/>
  <c r="N74" i="25" l="1"/>
  <c r="N88" i="25" s="1"/>
  <c r="N89" i="25"/>
  <c r="O85" i="24"/>
  <c r="O112" i="15"/>
  <c r="O84" i="15"/>
  <c r="O86" i="15" s="1"/>
  <c r="O57" i="25"/>
  <c r="O58" i="25" s="1"/>
  <c r="O60" i="25" s="1"/>
  <c r="O62" i="25" s="1"/>
  <c r="O19" i="19"/>
  <c r="O57" i="24"/>
  <c r="O58" i="24" s="1"/>
  <c r="O53" i="19" l="1"/>
  <c r="I123" i="40" s="1"/>
  <c r="O60" i="19"/>
  <c r="I125" i="40"/>
  <c r="O64" i="25"/>
  <c r="P61" i="25"/>
  <c r="O60" i="24"/>
  <c r="O62" i="24" s="1"/>
  <c r="O64" i="24" s="1"/>
  <c r="O88" i="15"/>
  <c r="O85" i="25"/>
  <c r="O86" i="25" s="1"/>
  <c r="O86" i="24"/>
  <c r="N91" i="25"/>
  <c r="N90" i="25"/>
  <c r="O90" i="15" l="1"/>
  <c r="O78" i="19"/>
  <c r="O79" i="19" s="1"/>
  <c r="P87" i="15"/>
  <c r="O20" i="19"/>
  <c r="O95" i="15"/>
  <c r="I124" i="40"/>
  <c r="O64" i="19"/>
  <c r="O69" i="24" l="1"/>
  <c r="O100" i="15"/>
  <c r="O114" i="15" s="1"/>
  <c r="O115" i="15"/>
  <c r="O52" i="19"/>
  <c r="O55" i="19" s="1"/>
  <c r="O21" i="19"/>
  <c r="P61" i="24"/>
  <c r="P1314" i="43"/>
  <c r="P1317" i="43" s="1"/>
  <c r="P1337" i="43" s="1"/>
  <c r="P1529" i="11"/>
  <c r="P1532" i="11" s="1"/>
  <c r="P1556" i="11" s="1"/>
  <c r="O85" i="19"/>
  <c r="O86" i="19"/>
  <c r="P1557" i="11" l="1"/>
  <c r="P83" i="15"/>
  <c r="P1560" i="11"/>
  <c r="P111" i="15" s="1"/>
  <c r="P1338" i="43"/>
  <c r="P1341" i="43"/>
  <c r="O117" i="15"/>
  <c r="O116" i="15"/>
  <c r="O69" i="25"/>
  <c r="O74" i="24"/>
  <c r="O88" i="24" s="1"/>
  <c r="O89" i="24"/>
  <c r="O74" i="25" l="1"/>
  <c r="O88" i="25" s="1"/>
  <c r="O89" i="25"/>
  <c r="P85" i="24"/>
  <c r="P112" i="15"/>
  <c r="P57" i="24"/>
  <c r="P58" i="24" s="1"/>
  <c r="P57" i="25"/>
  <c r="P58" i="25" s="1"/>
  <c r="P60" i="25" s="1"/>
  <c r="P62" i="25" s="1"/>
  <c r="P84" i="15"/>
  <c r="P86" i="15" s="1"/>
  <c r="P19" i="19"/>
  <c r="O91" i="25" l="1"/>
  <c r="O90" i="25"/>
  <c r="P53" i="19"/>
  <c r="J123" i="40" s="1"/>
  <c r="J125" i="40"/>
  <c r="P60" i="19"/>
  <c r="P60" i="24"/>
  <c r="P62" i="24" s="1"/>
  <c r="P64" i="24" s="1"/>
  <c r="P88" i="15"/>
  <c r="P64" i="25"/>
  <c r="Q61" i="25"/>
  <c r="P85" i="25"/>
  <c r="P86" i="25" s="1"/>
  <c r="P86" i="24"/>
  <c r="P90" i="15" l="1"/>
  <c r="P95" i="15"/>
  <c r="P20" i="19"/>
  <c r="P78" i="19"/>
  <c r="P79" i="19" s="1"/>
  <c r="Q87" i="15"/>
  <c r="J124" i="40"/>
  <c r="P64" i="19"/>
  <c r="Q1529" i="11" l="1"/>
  <c r="Q1532" i="11" s="1"/>
  <c r="Q1556" i="11" s="1"/>
  <c r="Q61" i="24"/>
  <c r="Q1314" i="43"/>
  <c r="Q1317" i="43" s="1"/>
  <c r="Q1337" i="43" s="1"/>
  <c r="P85" i="19"/>
  <c r="P86" i="19"/>
  <c r="P52" i="19"/>
  <c r="P55" i="19" s="1"/>
  <c r="P21" i="19"/>
  <c r="P100" i="15"/>
  <c r="P114" i="15" s="1"/>
  <c r="P115" i="15"/>
  <c r="P69" i="24"/>
  <c r="P89" i="24" l="1"/>
  <c r="P74" i="24"/>
  <c r="P88" i="24" s="1"/>
  <c r="P69" i="25"/>
  <c r="Q1338" i="43"/>
  <c r="Q1341" i="43"/>
  <c r="P117" i="15"/>
  <c r="P116" i="15"/>
  <c r="Q1557" i="11"/>
  <c r="Q83" i="15"/>
  <c r="Q1560" i="11"/>
  <c r="Q111" i="15" s="1"/>
  <c r="Q84" i="15" l="1"/>
  <c r="Q86" i="15" s="1"/>
  <c r="Q57" i="25"/>
  <c r="Q58" i="25" s="1"/>
  <c r="Q60" i="25" s="1"/>
  <c r="Q62" i="25" s="1"/>
  <c r="Q19" i="19"/>
  <c r="Q57" i="24"/>
  <c r="Q58" i="24" s="1"/>
  <c r="Q112" i="15"/>
  <c r="Q85" i="24"/>
  <c r="P89" i="25"/>
  <c r="P74" i="25"/>
  <c r="P88" i="25" s="1"/>
  <c r="Q86" i="24" l="1"/>
  <c r="Q85" i="25"/>
  <c r="Q86" i="25" s="1"/>
  <c r="P90" i="25"/>
  <c r="P91" i="25"/>
  <c r="Q60" i="19"/>
  <c r="K125" i="40"/>
  <c r="Q53" i="19"/>
  <c r="K123" i="40" s="1"/>
  <c r="Q64" i="25"/>
  <c r="R61" i="25"/>
  <c r="Q60" i="24"/>
  <c r="Q62" i="24" s="1"/>
  <c r="Q64" i="24" s="1"/>
  <c r="Q88" i="15"/>
  <c r="R87" i="15" l="1"/>
  <c r="Q20" i="19"/>
  <c r="Q78" i="19"/>
  <c r="Q79" i="19" s="1"/>
  <c r="Q95" i="15"/>
  <c r="Q90" i="15"/>
  <c r="Q64" i="19"/>
  <c r="K124" i="40"/>
  <c r="Q100" i="15" l="1"/>
  <c r="Q114" i="15" s="1"/>
  <c r="Q69" i="24"/>
  <c r="Q115" i="15"/>
  <c r="Q85" i="19"/>
  <c r="Q86" i="19"/>
  <c r="Q52" i="19"/>
  <c r="Q55" i="19" s="1"/>
  <c r="Q21" i="19"/>
  <c r="R1529" i="11"/>
  <c r="R1532" i="11" s="1"/>
  <c r="R1556" i="11" s="1"/>
  <c r="R1314" i="43"/>
  <c r="R1317" i="43" s="1"/>
  <c r="R1337" i="43" s="1"/>
  <c r="R61" i="24"/>
  <c r="R1338" i="43" l="1"/>
  <c r="R1341" i="43"/>
  <c r="R83" i="15"/>
  <c r="R1557" i="11"/>
  <c r="R1560" i="11"/>
  <c r="R111" i="15" s="1"/>
  <c r="Q89" i="24"/>
  <c r="Q74" i="24"/>
  <c r="Q88" i="24" s="1"/>
  <c r="Q69" i="25"/>
  <c r="Q117" i="15"/>
  <c r="Q116" i="15"/>
  <c r="Q74" i="25" l="1"/>
  <c r="Q88" i="25" s="1"/>
  <c r="Q89" i="25"/>
  <c r="R85" i="24"/>
  <c r="R112" i="15"/>
  <c r="R84" i="15"/>
  <c r="R86" i="15" s="1"/>
  <c r="R57" i="24"/>
  <c r="R58" i="24" s="1"/>
  <c r="R19" i="19"/>
  <c r="R57" i="25"/>
  <c r="R58" i="25" s="1"/>
  <c r="R60" i="25" s="1"/>
  <c r="R62" i="25" s="1"/>
  <c r="L125" i="40" l="1"/>
  <c r="R60" i="19"/>
  <c r="R53" i="19"/>
  <c r="L123" i="40" s="1"/>
  <c r="S61" i="25"/>
  <c r="R64" i="25"/>
  <c r="R88" i="15"/>
  <c r="R60" i="24"/>
  <c r="R62" i="24" s="1"/>
  <c r="R64" i="24" s="1"/>
  <c r="R85" i="25"/>
  <c r="R86" i="25" s="1"/>
  <c r="R86" i="24"/>
  <c r="Q91" i="25"/>
  <c r="Q90" i="25"/>
  <c r="R90" i="15" l="1"/>
  <c r="S87" i="15"/>
  <c r="R95" i="15"/>
  <c r="R78" i="19"/>
  <c r="R79" i="19" s="1"/>
  <c r="R20" i="19"/>
  <c r="L124" i="40"/>
  <c r="R64" i="19"/>
  <c r="R52" i="19" l="1"/>
  <c r="R55" i="19" s="1"/>
  <c r="R21" i="19"/>
  <c r="R85" i="19"/>
  <c r="R86" i="19"/>
  <c r="R115" i="15"/>
  <c r="R69" i="24"/>
  <c r="R100" i="15"/>
  <c r="R114" i="15" s="1"/>
  <c r="S1314" i="43"/>
  <c r="S1317" i="43" s="1"/>
  <c r="S1337" i="43" s="1"/>
  <c r="S1529" i="11"/>
  <c r="S1532" i="11" s="1"/>
  <c r="S1556" i="11" s="1"/>
  <c r="S61" i="24"/>
  <c r="S83" i="15" l="1"/>
  <c r="S1557" i="11"/>
  <c r="S1560" i="11"/>
  <c r="S111" i="15" s="1"/>
  <c r="S1338" i="43"/>
  <c r="S1341" i="43"/>
  <c r="R116" i="15"/>
  <c r="R117" i="15"/>
  <c r="R89" i="24"/>
  <c r="R74" i="24"/>
  <c r="R88" i="24" s="1"/>
  <c r="R69" i="25"/>
  <c r="R89" i="25" l="1"/>
  <c r="R74" i="25"/>
  <c r="R88" i="25" s="1"/>
  <c r="S85" i="24"/>
  <c r="S112" i="15"/>
  <c r="S84" i="15"/>
  <c r="S86" i="15" s="1"/>
  <c r="S57" i="24"/>
  <c r="S58" i="24" s="1"/>
  <c r="S57" i="25"/>
  <c r="S58" i="25" s="1"/>
  <c r="S60" i="25" s="1"/>
  <c r="S62" i="25" s="1"/>
  <c r="S19" i="19"/>
  <c r="M125" i="40" l="1"/>
  <c r="S60" i="19"/>
  <c r="S53" i="19"/>
  <c r="M123" i="40" s="1"/>
  <c r="S85" i="25"/>
  <c r="S86" i="25" s="1"/>
  <c r="S86" i="24"/>
  <c r="S64" i="25"/>
  <c r="T61" i="25"/>
  <c r="S60" i="24"/>
  <c r="S62" i="24" s="1"/>
  <c r="S64" i="24" s="1"/>
  <c r="S88" i="15"/>
  <c r="R90" i="25"/>
  <c r="R91" i="25"/>
  <c r="S20" i="19" l="1"/>
  <c r="S90" i="15"/>
  <c r="S95" i="15"/>
  <c r="T87" i="15"/>
  <c r="S78" i="19"/>
  <c r="S79" i="19" s="1"/>
  <c r="S64" i="19"/>
  <c r="M124" i="40"/>
  <c r="S85" i="19" l="1"/>
  <c r="S86" i="19"/>
  <c r="T61" i="24"/>
  <c r="T1529" i="11"/>
  <c r="T1532" i="11" s="1"/>
  <c r="T1556" i="11" s="1"/>
  <c r="T1314" i="43"/>
  <c r="T1317" i="43" s="1"/>
  <c r="T1337" i="43" s="1"/>
  <c r="S115" i="15"/>
  <c r="S69" i="24"/>
  <c r="S100" i="15"/>
  <c r="S114" i="15" s="1"/>
  <c r="S52" i="19"/>
  <c r="S55" i="19" s="1"/>
  <c r="S21" i="19"/>
  <c r="T1338" i="43" l="1"/>
  <c r="T1341" i="43"/>
  <c r="S116" i="15"/>
  <c r="S117" i="15"/>
  <c r="S74" i="24"/>
  <c r="S88" i="24" s="1"/>
  <c r="I88" i="24" s="1"/>
  <c r="S69" i="25"/>
  <c r="S89" i="24"/>
  <c r="I89" i="24" s="1"/>
  <c r="T83" i="15"/>
  <c r="T1557" i="11"/>
  <c r="T1560" i="11"/>
  <c r="T111" i="15" s="1"/>
  <c r="T57" i="25" l="1"/>
  <c r="T58" i="25" s="1"/>
  <c r="T60" i="25" s="1"/>
  <c r="T62" i="25" s="1"/>
  <c r="T57" i="24"/>
  <c r="T58" i="24" s="1"/>
  <c r="T84" i="15"/>
  <c r="T86" i="15" s="1"/>
  <c r="T19" i="19"/>
  <c r="I90" i="24"/>
  <c r="I91" i="24"/>
  <c r="T85" i="24"/>
  <c r="T112" i="15"/>
  <c r="S89" i="25"/>
  <c r="I89" i="25" s="1"/>
  <c r="S74" i="25"/>
  <c r="S88" i="25" s="1"/>
  <c r="S91" i="25" l="1"/>
  <c r="S90" i="25"/>
  <c r="I88" i="25"/>
  <c r="T85" i="25"/>
  <c r="T86" i="25" s="1"/>
  <c r="T86" i="24"/>
  <c r="N125" i="40"/>
  <c r="T60" i="19"/>
  <c r="T53" i="19"/>
  <c r="N123" i="40" s="1"/>
  <c r="O123" i="40" s="1"/>
  <c r="O122" i="40" s="1"/>
  <c r="T60" i="24"/>
  <c r="T62" i="24" s="1"/>
  <c r="T64" i="24" s="1"/>
  <c r="T88" i="15"/>
  <c r="T64" i="25"/>
  <c r="U61" i="25"/>
  <c r="T90" i="15" l="1"/>
  <c r="T20" i="19"/>
  <c r="T78" i="19"/>
  <c r="T95" i="15"/>
  <c r="U87" i="15"/>
  <c r="N124" i="40"/>
  <c r="O124" i="40" s="1"/>
  <c r="T64" i="19"/>
  <c r="I91" i="25"/>
  <c r="J90" i="25"/>
  <c r="I90" i="25"/>
  <c r="T52" i="19" l="1"/>
  <c r="T21" i="19"/>
  <c r="U61" i="24"/>
  <c r="U1529" i="11"/>
  <c r="U1532" i="11" s="1"/>
  <c r="U1556" i="11" s="1"/>
  <c r="U1314" i="43"/>
  <c r="U1317" i="43" s="1"/>
  <c r="U1337" i="43" s="1"/>
  <c r="T69" i="24"/>
  <c r="T115" i="15"/>
  <c r="T100" i="15"/>
  <c r="T114" i="15" s="1"/>
  <c r="T79" i="19"/>
  <c r="T117" i="15" l="1"/>
  <c r="T116" i="15"/>
  <c r="T86" i="19"/>
  <c r="T85" i="19"/>
  <c r="T74" i="24"/>
  <c r="T69" i="25"/>
  <c r="T74" i="25" s="1"/>
  <c r="U1338" i="43"/>
  <c r="U1341" i="43"/>
  <c r="U1557" i="11"/>
  <c r="U83" i="15"/>
  <c r="U1560" i="11"/>
  <c r="U111" i="15" s="1"/>
  <c r="T55" i="19"/>
  <c r="U19" i="19" l="1"/>
  <c r="U57" i="24"/>
  <c r="U58" i="24" s="1"/>
  <c r="U84" i="15"/>
  <c r="U86" i="15" s="1"/>
  <c r="U57" i="25"/>
  <c r="U58" i="25" s="1"/>
  <c r="U60" i="25" s="1"/>
  <c r="U62" i="25" s="1"/>
  <c r="U85" i="24"/>
  <c r="U112" i="15"/>
  <c r="U85" i="25" l="1"/>
  <c r="U86" i="25" s="1"/>
  <c r="U86" i="24"/>
  <c r="U60" i="24"/>
  <c r="U62" i="24" s="1"/>
  <c r="U64" i="24" s="1"/>
  <c r="U88" i="15"/>
  <c r="U64" i="25"/>
  <c r="V61" i="25"/>
  <c r="U60" i="19"/>
  <c r="U53" i="19"/>
  <c r="U64" i="19" l="1"/>
  <c r="U95" i="15"/>
  <c r="U90" i="15"/>
  <c r="U20" i="19"/>
  <c r="V87" i="15"/>
  <c r="U78" i="19"/>
  <c r="U79" i="19" l="1"/>
  <c r="V1529" i="11"/>
  <c r="V1532" i="11" s="1"/>
  <c r="V1556" i="11" s="1"/>
  <c r="V1314" i="43"/>
  <c r="V1317" i="43" s="1"/>
  <c r="V1337" i="43" s="1"/>
  <c r="V61" i="24"/>
  <c r="U52" i="19"/>
  <c r="U21" i="19"/>
  <c r="U69" i="24"/>
  <c r="U100" i="15"/>
  <c r="U114" i="15" s="1"/>
  <c r="U115" i="15"/>
  <c r="U74" i="24" l="1"/>
  <c r="U69" i="25"/>
  <c r="U74" i="25" s="1"/>
  <c r="V1338" i="43"/>
  <c r="I1337" i="43"/>
  <c r="V1341" i="43"/>
  <c r="U116" i="15"/>
  <c r="U117" i="15"/>
  <c r="U55" i="19"/>
  <c r="V83" i="15"/>
  <c r="V1557" i="11"/>
  <c r="V1560" i="11"/>
  <c r="V111" i="15" s="1"/>
  <c r="I1556" i="11"/>
  <c r="U86" i="19"/>
  <c r="U85" i="19"/>
  <c r="V57" i="24" l="1"/>
  <c r="V58" i="24" s="1"/>
  <c r="V57" i="25"/>
  <c r="V58" i="25" s="1"/>
  <c r="V60" i="25" s="1"/>
  <c r="V62" i="25" s="1"/>
  <c r="V64" i="25" s="1"/>
  <c r="I64" i="25" s="1"/>
  <c r="V84" i="15"/>
  <c r="V86" i="15" s="1"/>
  <c r="V19" i="19"/>
  <c r="V85" i="24"/>
  <c r="V112" i="15"/>
  <c r="V85" i="25" l="1"/>
  <c r="V86" i="25" s="1"/>
  <c r="V86" i="24"/>
  <c r="V53" i="19"/>
  <c r="I53" i="19" s="1"/>
  <c r="V60" i="19"/>
  <c r="V88" i="15"/>
  <c r="V60" i="24"/>
  <c r="V62" i="24" s="1"/>
  <c r="V64" i="24" s="1"/>
  <c r="I64" i="24" s="1"/>
  <c r="V20" i="19" l="1"/>
  <c r="V90" i="15"/>
  <c r="I90" i="15" s="1"/>
  <c r="V95" i="15"/>
  <c r="V78" i="19"/>
  <c r="V64" i="19"/>
  <c r="F66" i="19" s="1"/>
  <c r="F68" i="19" s="1"/>
  <c r="G69" i="19" s="1"/>
  <c r="I60" i="19"/>
  <c r="I64" i="19" s="1"/>
  <c r="I13" i="21" s="1"/>
  <c r="V79" i="19" l="1"/>
  <c r="I78" i="19"/>
  <c r="V69" i="24"/>
  <c r="V100" i="15"/>
  <c r="V114" i="15" s="1"/>
  <c r="V115" i="15"/>
  <c r="I115" i="15" s="1"/>
  <c r="V52" i="19"/>
  <c r="V21" i="19"/>
  <c r="V116" i="15" l="1"/>
  <c r="V117" i="15"/>
  <c r="I114" i="15"/>
  <c r="V55" i="19"/>
  <c r="I55" i="19" s="1"/>
  <c r="F72" i="19" s="1"/>
  <c r="I12" i="21" s="1"/>
  <c r="I52" i="19"/>
  <c r="V69" i="25"/>
  <c r="V74" i="25" s="1"/>
  <c r="V74" i="24"/>
  <c r="V85" i="19"/>
  <c r="I85" i="19" s="1"/>
  <c r="V86" i="19"/>
  <c r="I86" i="19" s="1"/>
  <c r="I79" i="19"/>
  <c r="J116" i="15" l="1"/>
  <c r="I116" i="15"/>
  <c r="I117" i="15"/>
  <c r="F4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Hening Puji Pangastuti</author>
  </authors>
  <commentList>
    <comment ref="D127" authorId="0" shapeId="0" xr:uid="{BDC80E39-72F9-4E31-8850-3330C914BD78}">
      <text>
        <r>
          <rPr>
            <b/>
            <sz val="9"/>
            <color indexed="81"/>
            <rFont val="Tahoma"/>
            <family val="2"/>
          </rPr>
          <t>Hening Puji Pangastuti:</t>
        </r>
        <r>
          <rPr>
            <sz val="9"/>
            <color indexed="81"/>
            <rFont val="Tahoma"/>
            <family val="2"/>
          </rPr>
          <t xml:space="preserve">
R= 27k
C=15k
S=42.5k
P=18.8K</t>
        </r>
      </text>
    </comment>
    <comment ref="D128" authorId="0" shapeId="0" xr:uid="{9C8A105A-41B0-4842-A80B-58C9CF1A6EA4}">
      <text>
        <r>
          <rPr>
            <b/>
            <sz val="9"/>
            <color indexed="81"/>
            <rFont val="Tahoma"/>
            <family val="2"/>
          </rPr>
          <t>Hening Puji Pangastuti:</t>
        </r>
        <r>
          <rPr>
            <sz val="9"/>
            <color indexed="81"/>
            <rFont val="Tahoma"/>
            <family val="2"/>
          </rPr>
          <t xml:space="preserve">
WB:2k
S:42.5k
P:18.8k</t>
        </r>
      </text>
    </comment>
    <comment ref="D130" authorId="0" shapeId="0" xr:uid="{C9BFF9CD-345D-44B8-B2A8-91B97127491B}">
      <text>
        <r>
          <rPr>
            <b/>
            <sz val="9"/>
            <color indexed="81"/>
            <rFont val="Tahoma"/>
            <family val="2"/>
          </rPr>
          <t>Hening Puji Pangastuti:</t>
        </r>
        <r>
          <rPr>
            <sz val="9"/>
            <color indexed="81"/>
            <rFont val="Tahoma"/>
            <family val="2"/>
          </rPr>
          <t xml:space="preserve">
R=30k
C=15K
S=42.5k
P=14.72k</t>
        </r>
      </text>
    </comment>
    <comment ref="D131" authorId="0" shapeId="0" xr:uid="{ADB16387-B11D-4129-9136-A60E0E827456}">
      <text>
        <r>
          <rPr>
            <b/>
            <sz val="9"/>
            <color indexed="81"/>
            <rFont val="Tahoma"/>
            <family val="2"/>
          </rPr>
          <t>Hening Puji Pangastuti:</t>
        </r>
        <r>
          <rPr>
            <sz val="9"/>
            <color indexed="81"/>
            <rFont val="Tahoma"/>
            <family val="2"/>
          </rPr>
          <t xml:space="preserve">
WB:2k
S:42.5k
P:14.72k</t>
        </r>
      </text>
    </comment>
    <comment ref="A133" authorId="0" shapeId="0" xr:uid="{A3A71280-F5DC-43EE-80EA-BAB5017FA6DE}">
      <text>
        <r>
          <rPr>
            <b/>
            <sz val="9"/>
            <color indexed="81"/>
            <rFont val="Tahoma"/>
            <family val="2"/>
          </rPr>
          <t>Hening Puji Pangastuti:</t>
        </r>
        <r>
          <rPr>
            <sz val="9"/>
            <color indexed="81"/>
            <rFont val="Tahoma"/>
            <family val="2"/>
          </rPr>
          <t xml:space="preserve">
Margin stevedoring/tariff</t>
        </r>
      </text>
    </comment>
    <comment ref="D143" authorId="0" shapeId="0" xr:uid="{0926ABEF-0CF7-4DB7-B823-D66CB2B60380}">
      <text>
        <r>
          <rPr>
            <b/>
            <sz val="9"/>
            <color indexed="81"/>
            <rFont val="Tahoma"/>
            <family val="2"/>
          </rPr>
          <t>Hening Puji Pangastuti:</t>
        </r>
        <r>
          <rPr>
            <sz val="9"/>
            <color indexed="81"/>
            <rFont val="Tahoma"/>
            <family val="2"/>
          </rPr>
          <t xml:space="preserve">
R= 27k
C=13k
S=9.2k
P=18.8K</t>
        </r>
      </text>
    </comment>
    <comment ref="D144" authorId="0" shapeId="0" xr:uid="{44305578-A721-45CD-A969-52261447F0EF}">
      <text>
        <r>
          <rPr>
            <b/>
            <sz val="9"/>
            <color indexed="81"/>
            <rFont val="Tahoma"/>
            <family val="2"/>
          </rPr>
          <t>Hening Puji Pangastuti:</t>
        </r>
        <r>
          <rPr>
            <sz val="9"/>
            <color indexed="81"/>
            <rFont val="Tahoma"/>
            <family val="2"/>
          </rPr>
          <t xml:space="preserve">
WB=2k
S:9.2k
P:18.8k</t>
        </r>
      </text>
    </comment>
    <comment ref="D146" authorId="0" shapeId="0" xr:uid="{D4709A68-9296-40BA-9CE2-8714FCC44228}">
      <text>
        <r>
          <rPr>
            <b/>
            <sz val="9"/>
            <color indexed="81"/>
            <rFont val="Tahoma"/>
            <family val="2"/>
          </rPr>
          <t>Hening Puji Pangastuti:</t>
        </r>
        <r>
          <rPr>
            <sz val="9"/>
            <color indexed="81"/>
            <rFont val="Tahoma"/>
            <family val="2"/>
          </rPr>
          <t xml:space="preserve">
R=30k
C=13K
S=13.280k
P=14.72k</t>
        </r>
      </text>
    </comment>
    <comment ref="D147" authorId="0" shapeId="0" xr:uid="{C7D7BCD6-309A-4C14-9C14-7DF45B770FEF}">
      <text>
        <r>
          <rPr>
            <b/>
            <sz val="9"/>
            <color indexed="81"/>
            <rFont val="Tahoma"/>
            <family val="2"/>
          </rPr>
          <t>Hening Puji Pangastuti:</t>
        </r>
        <r>
          <rPr>
            <sz val="9"/>
            <color indexed="81"/>
            <rFont val="Tahoma"/>
            <family val="2"/>
          </rPr>
          <t xml:space="preserve">
WB:2k
S:13.28k
P:14.72k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Hening Puji Pangastuti</author>
  </authors>
  <commentList>
    <comment ref="L5" authorId="0" shapeId="0" xr:uid="{3552BC8A-B916-4E2C-83A5-C91D50B19CEF}">
      <text>
        <r>
          <rPr>
            <b/>
            <sz val="9"/>
            <color indexed="81"/>
            <rFont val="Tahoma"/>
            <family val="2"/>
          </rPr>
          <t>Hening Puji Pangastuti:</t>
        </r>
        <r>
          <rPr>
            <sz val="9"/>
            <color indexed="81"/>
            <rFont val="Tahoma"/>
            <family val="2"/>
          </rPr>
          <t xml:space="preserve">
Duit masuk dan mulai construction</t>
        </r>
      </text>
    </comment>
    <comment ref="F132" authorId="0" shapeId="0" xr:uid="{33E47B1B-E8AD-40DB-80BA-78B2F5D3E1A8}">
      <text>
        <r>
          <rPr>
            <b/>
            <sz val="9"/>
            <color indexed="81"/>
            <rFont val="Tahoma"/>
            <family val="2"/>
          </rPr>
          <t>Hening Puji Pangastuti:</t>
        </r>
        <r>
          <rPr>
            <sz val="9"/>
            <color indexed="81"/>
            <rFont val="Tahoma"/>
            <family val="2"/>
          </rPr>
          <t xml:space="preserve">
Discuss w/ mba vero: 37K from Ci Dita based on harga sekitaran
65k samain dengan TBM
37 k ga feasible</t>
        </r>
      </text>
    </comment>
    <comment ref="F133" authorId="0" shapeId="0" xr:uid="{BE3A5005-CC15-4E1B-8EF1-C05E19ED75FB}">
      <text>
        <r>
          <rPr>
            <b/>
            <sz val="9"/>
            <color indexed="81"/>
            <rFont val="Tahoma"/>
            <family val="2"/>
          </rPr>
          <t>Hening Puji Pangastuti:</t>
        </r>
        <r>
          <rPr>
            <sz val="9"/>
            <color indexed="81"/>
            <rFont val="Tahoma"/>
            <family val="2"/>
          </rPr>
          <t xml:space="preserve">
Max capacity as per discuss with P Agus M Vero (20 Nov 2025)</t>
        </r>
      </text>
    </comment>
    <comment ref="F258" authorId="0" shapeId="0" xr:uid="{D5AE655C-D590-450B-82B3-123BD0B40A1A}">
      <text>
        <r>
          <rPr>
            <b/>
            <sz val="9"/>
            <color indexed="81"/>
            <rFont val="Tahoma"/>
            <family val="2"/>
          </rPr>
          <t>Hening Puji Pangastuti:</t>
        </r>
        <r>
          <rPr>
            <sz val="9"/>
            <color indexed="81"/>
            <rFont val="Tahoma"/>
            <family val="2"/>
          </rPr>
          <t xml:space="preserve">
Volume dari lampung - soybean</t>
        </r>
      </text>
    </comment>
    <comment ref="O1102" authorId="0" shapeId="0" xr:uid="{47E786C0-9EF4-4277-BE21-C63DB047E82E}">
      <text>
        <r>
          <rPr>
            <b/>
            <sz val="9"/>
            <color indexed="81"/>
            <rFont val="Tahoma"/>
            <family val="2"/>
          </rPr>
          <t>Hening Puji Pangastuti:</t>
        </r>
        <r>
          <rPr>
            <sz val="9"/>
            <color indexed="81"/>
            <rFont val="Tahoma"/>
            <family val="2"/>
          </rPr>
          <t xml:space="preserve">
1,6 from existing business (50%)</t>
        </r>
      </text>
    </comment>
    <comment ref="B1113" authorId="0" shapeId="0" xr:uid="{EA407B61-B5A5-454F-A13C-63A65F535D3F}">
      <text>
        <r>
          <rPr>
            <b/>
            <sz val="9"/>
            <color indexed="81"/>
            <rFont val="Tahoma"/>
            <family val="2"/>
          </rPr>
          <t>Hening Puji Pangastuti:</t>
        </r>
        <r>
          <rPr>
            <sz val="9"/>
            <color indexed="81"/>
            <rFont val="Tahoma"/>
            <family val="2"/>
          </rPr>
          <t xml:space="preserve">
Charge mindahin barang ke truck</t>
        </r>
      </text>
    </comment>
    <comment ref="E1152" authorId="0" shapeId="0" xr:uid="{9F61A430-2432-4319-A080-FF43CE261CA5}">
      <text>
        <r>
          <rPr>
            <b/>
            <sz val="9"/>
            <color indexed="81"/>
            <rFont val="Tahoma"/>
            <family val="2"/>
          </rPr>
          <t>Hening Puji Pangastuti:</t>
        </r>
        <r>
          <rPr>
            <sz val="9"/>
            <color indexed="81"/>
            <rFont val="Tahoma"/>
            <family val="2"/>
          </rPr>
          <t xml:space="preserve">
240K PER Cyle (1,5 Bulan)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Hening Puji Pangastuti</author>
  </authors>
  <commentList>
    <comment ref="H61" authorId="0" shapeId="0" xr:uid="{8BBA4082-DB4E-484C-9085-E83162710F6E}">
      <text>
        <r>
          <rPr>
            <b/>
            <sz val="9"/>
            <color indexed="81"/>
            <rFont val="Tahoma"/>
            <family val="2"/>
          </rPr>
          <t>Hening Puji Pangastuti:</t>
        </r>
        <r>
          <rPr>
            <sz val="9"/>
            <color indexed="81"/>
            <rFont val="Tahoma"/>
            <family val="2"/>
          </rPr>
          <t xml:space="preserve">
Additional volume</t>
        </r>
      </text>
    </comment>
    <comment ref="H78" authorId="0" shapeId="0" xr:uid="{1274C975-2A0F-478A-AB1D-D9C2BEE12D17}">
      <text>
        <r>
          <rPr>
            <b/>
            <sz val="9"/>
            <color indexed="81"/>
            <rFont val="Tahoma"/>
            <family val="2"/>
          </rPr>
          <t>Hening Puji Pangastuti:</t>
        </r>
        <r>
          <rPr>
            <sz val="9"/>
            <color indexed="81"/>
            <rFont val="Tahoma"/>
            <family val="2"/>
          </rPr>
          <t xml:space="preserve">
Prev $8 mio -&gt; additional volume from ethanol</t>
        </r>
      </text>
    </comment>
  </commentList>
</comments>
</file>

<file path=xl/sharedStrings.xml><?xml version="1.0" encoding="utf-8"?>
<sst xmlns="http://schemas.openxmlformats.org/spreadsheetml/2006/main" count="6986" uniqueCount="1123">
  <si>
    <t>Land Transportation</t>
  </si>
  <si>
    <t>Served</t>
  </si>
  <si>
    <t>Potential</t>
  </si>
  <si>
    <t>Pipeline</t>
  </si>
  <si>
    <t>DT</t>
  </si>
  <si>
    <t>Internal</t>
  </si>
  <si>
    <t>Total Value</t>
  </si>
  <si>
    <t>External</t>
  </si>
  <si>
    <t>WB</t>
  </si>
  <si>
    <t>Revenue</t>
  </si>
  <si>
    <t>CDD</t>
  </si>
  <si>
    <t>Contract Logistic</t>
  </si>
  <si>
    <t>Storage</t>
  </si>
  <si>
    <t>Handling</t>
  </si>
  <si>
    <t>Freight Forwarding (FF)</t>
  </si>
  <si>
    <t>Import</t>
  </si>
  <si>
    <t>Domestic</t>
  </si>
  <si>
    <t>Call right price for 49%, assuming that the investor receives dividends from FSL throughout the year</t>
  </si>
  <si>
    <t>Year Buyback</t>
  </si>
  <si>
    <t>Appendix</t>
  </si>
  <si>
    <t>Additional cash required to buy back the investor's 49% shares at a specific period and IRR, assuming FSL pays dividends throughout the year</t>
  </si>
  <si>
    <t>with earn out</t>
  </si>
  <si>
    <t>Call right price for 49% - Initial investment of 110, assuming:
1. The investor does not receive any dividends from FSL throughout the year.
2. The investor does not disburse any earn-out to MA.</t>
  </si>
  <si>
    <t>Notes: The purpose of this calculation scenario is to consider the case where MA does not have an investor, and the initial investment of $110 billion will instead be financed through a bank loan. Consequently, no dividends will be received by the investor, and no earn-out will be received by MA.</t>
  </si>
  <si>
    <t>The implied simple interest rate is derived from the total cash outflow (principal and interest) that MA needs to pay to the bank (please refer to Table 4), considering a $110 million loan drawdown.</t>
  </si>
  <si>
    <t>Notes: We highlight an interest rate of 10% as we estimate the cost of funds incurred from the bank will be Margin + SOFR:
1. Indonesian banks typically set their margin around 4%-5%.
2. SOFR is expected to range between 4.5%-5% in the upcoming years.</t>
  </si>
  <si>
    <t>Call right price for 49%, assuming that the investor does not receive any dividends from FSL throughout the year</t>
  </si>
  <si>
    <t>Call right price - initial investment of 40, assuming:
1. The investor does not receive any dividends from FSL throughout the year.
2. The investor does not disburse any earn-out to MA.</t>
  </si>
  <si>
    <t>Call Rights - Calculation</t>
  </si>
  <si>
    <t>Scenario</t>
  </si>
  <si>
    <t>Period Start</t>
  </si>
  <si>
    <t>Period End</t>
  </si>
  <si>
    <t>Year</t>
  </si>
  <si>
    <t>Days</t>
  </si>
  <si>
    <t>Start</t>
  </si>
  <si>
    <t>End</t>
  </si>
  <si>
    <t>Projection Period</t>
  </si>
  <si>
    <t>Operation Period</t>
  </si>
  <si>
    <t>Cummulative Year</t>
  </si>
  <si>
    <t>Financing</t>
  </si>
  <si>
    <t>Period</t>
  </si>
  <si>
    <t>Year Starr</t>
  </si>
  <si>
    <t>Year End</t>
  </si>
  <si>
    <t>Year Buy Back</t>
  </si>
  <si>
    <t>Cash In Flow</t>
  </si>
  <si>
    <t>Flag</t>
  </si>
  <si>
    <t>Total Fund Raised</t>
  </si>
  <si>
    <t>Debt Portion</t>
  </si>
  <si>
    <t>Equity Portion</t>
  </si>
  <si>
    <t>1. Equity Financing</t>
  </si>
  <si>
    <t>Equity Disbursement</t>
  </si>
  <si>
    <t>Interest Paid</t>
  </si>
  <si>
    <t>Exit Value</t>
  </si>
  <si>
    <t>Total</t>
  </si>
  <si>
    <t>IRR</t>
  </si>
  <si>
    <t>NPV</t>
  </si>
  <si>
    <t>Interest Payment</t>
  </si>
  <si>
    <t>Beginning Balance</t>
  </si>
  <si>
    <t>Addition</t>
  </si>
  <si>
    <t>Interest Payable</t>
  </si>
  <si>
    <t>Ending Balance</t>
  </si>
  <si>
    <t>Interest Payment - Calculation</t>
  </si>
  <si>
    <t>Interest Payment - Applied</t>
  </si>
  <si>
    <t>2. Loan Financing</t>
  </si>
  <si>
    <t>100% Loan</t>
  </si>
  <si>
    <t>Loan Reapayment</t>
  </si>
  <si>
    <t>Loan</t>
  </si>
  <si>
    <t>Repayment</t>
  </si>
  <si>
    <t>Wth earn out</t>
  </si>
  <si>
    <t>No Dividend</t>
  </si>
  <si>
    <t>Additional Cash:
1. The investor does not receive any dividends from FSL throughout the year.
2. The investor does not disburse any earn-out to MA.</t>
  </si>
  <si>
    <t>Wthout earn out</t>
  </si>
  <si>
    <t>Exit Value price for 49% - Initial investment of 110, assuming:
1. The investor does not receive any dividends from FSL throughout the year.
2. The investor does not disburse any earn-out to MA.</t>
  </si>
  <si>
    <t>WithDividend</t>
  </si>
  <si>
    <t>Buyback
25 - With Dividend - Post Tax</t>
  </si>
  <si>
    <t>Buyback
25 - With Dividend - Before Tax</t>
  </si>
  <si>
    <t>25 - With Dividend - After Tax</t>
  </si>
  <si>
    <t>25 - Without Dividend</t>
  </si>
  <si>
    <t>Invest
25 to 110 - With Dividend - Post Tax</t>
  </si>
  <si>
    <t>Invest
25 to 110 - With Dividend - Before Tax</t>
  </si>
  <si>
    <t>Call Rights - Calculation - USD Mio</t>
  </si>
  <si>
    <t>Cash Flow Statement ($ Mio)</t>
  </si>
  <si>
    <t>All in</t>
  </si>
  <si>
    <t>FSL Dividend</t>
  </si>
  <si>
    <t>FSL Ending Balance</t>
  </si>
  <si>
    <t>Cash Flow available for Equity Holders</t>
  </si>
  <si>
    <t>Scenario Ownership of MA</t>
  </si>
  <si>
    <t>BuyBack</t>
  </si>
  <si>
    <t>Invest</t>
  </si>
  <si>
    <t>Initial Plan</t>
  </si>
  <si>
    <t>Structure of Investors</t>
  </si>
  <si>
    <t>Primary</t>
  </si>
  <si>
    <t>Secondary</t>
  </si>
  <si>
    <t>Value at Entry</t>
  </si>
  <si>
    <t>Post Money</t>
  </si>
  <si>
    <t>MA's initial value</t>
  </si>
  <si>
    <t>Accumulated Value</t>
  </si>
  <si>
    <t>Capital flow to MA</t>
  </si>
  <si>
    <t xml:space="preserve">Through Primary </t>
  </si>
  <si>
    <t>Through Secondary</t>
  </si>
  <si>
    <t>Capital Gain Tax</t>
  </si>
  <si>
    <t>Acc Capital</t>
  </si>
  <si>
    <t>MA Cash Flow</t>
  </si>
  <si>
    <t>MA Free Cash Flow</t>
  </si>
  <si>
    <t>MA dividend - After Tax</t>
  </si>
  <si>
    <t>MA earnout - After Tax</t>
  </si>
  <si>
    <t>Ruby Cash Flow</t>
  </si>
  <si>
    <t>Ownership Scenario</t>
  </si>
  <si>
    <t>1 = BuyBack</t>
  </si>
  <si>
    <t>Buyback Scenario</t>
  </si>
  <si>
    <t>Tax Scenario</t>
  </si>
  <si>
    <t>Ruby investment</t>
  </si>
  <si>
    <t>2 = Invest</t>
  </si>
  <si>
    <t>0 = Without Tax</t>
  </si>
  <si>
    <t>Ruby dividend</t>
  </si>
  <si>
    <t>3 = Initial Plan</t>
  </si>
  <si>
    <t>1 = With Tax</t>
  </si>
  <si>
    <t>Ruby cash flow (flush out)</t>
  </si>
  <si>
    <t>4 = 75 Cash In</t>
  </si>
  <si>
    <t>Exit value (49%)</t>
  </si>
  <si>
    <t>Capital gain tax</t>
  </si>
  <si>
    <t>Cash Flow</t>
  </si>
  <si>
    <t>Target IRR</t>
  </si>
  <si>
    <t>Delta</t>
  </si>
  <si>
    <t>Tenor 4+1 USD</t>
  </si>
  <si>
    <t>Target</t>
  </si>
  <si>
    <t>Tenor 5 IDR</t>
  </si>
  <si>
    <t>SOFR + berapa?</t>
  </si>
  <si>
    <t>10%-11%</t>
  </si>
  <si>
    <t>Additional Cash</t>
  </si>
  <si>
    <t>Exit Multiple</t>
  </si>
  <si>
    <t>Required Project Equity Value</t>
  </si>
  <si>
    <t>Call Right</t>
  </si>
  <si>
    <t>Debt</t>
  </si>
  <si>
    <t>FMV</t>
  </si>
  <si>
    <t>Shareholders Loan</t>
  </si>
  <si>
    <t>150% of FMV</t>
  </si>
  <si>
    <t>Cash</t>
  </si>
  <si>
    <t>Total Enterprise Value</t>
  </si>
  <si>
    <t>EBITDA</t>
  </si>
  <si>
    <t>Multiple</t>
  </si>
  <si>
    <t>EV/Revenue</t>
  </si>
  <si>
    <t>EV/EBITDA</t>
  </si>
  <si>
    <t>SGT</t>
  </si>
  <si>
    <t>SGT 2</t>
  </si>
  <si>
    <t>NPLOg</t>
  </si>
  <si>
    <t>WIC</t>
  </si>
  <si>
    <t>WIM</t>
  </si>
  <si>
    <t>WIN Medan</t>
  </si>
  <si>
    <t>WIN SBY</t>
  </si>
  <si>
    <t>bio</t>
  </si>
  <si>
    <t>Entry Scenario</t>
  </si>
  <si>
    <t>1. Primary</t>
  </si>
  <si>
    <t>Capital flow to FSL</t>
  </si>
  <si>
    <t>Total Net Capital Proceed from Investor</t>
  </si>
  <si>
    <t>2. Primary &amp; Secondary</t>
  </si>
  <si>
    <t>Exit Value - Investment 25 Bio</t>
  </si>
  <si>
    <t>1. Exit Value</t>
  </si>
  <si>
    <t>2. Without Dividend</t>
  </si>
  <si>
    <t>2. Value by Ownership</t>
  </si>
  <si>
    <t>Exit Value - Investment 25-110 Bio</t>
  </si>
  <si>
    <t>Value (7x EV/EBITDA)</t>
  </si>
  <si>
    <t>3. EBITDA Multiple</t>
  </si>
  <si>
    <t>Investment - Capital</t>
  </si>
  <si>
    <t>1. Sapphire</t>
  </si>
  <si>
    <t>2. No Sapphire - Call Option Only</t>
  </si>
  <si>
    <t>3. No Sapphire - Call + Put</t>
  </si>
  <si>
    <t>Exit Value - Investment 55-110 Bio</t>
  </si>
  <si>
    <t>Implied Interest Rate</t>
  </si>
  <si>
    <t>Buyback Price</t>
  </si>
  <si>
    <t>Investor IRR</t>
  </si>
  <si>
    <t>Update Table</t>
  </si>
  <si>
    <t>Buy Back</t>
  </si>
  <si>
    <t>Saphire Loan Balance - As of Q223</t>
  </si>
  <si>
    <t>Total Assets</t>
  </si>
  <si>
    <t>IDR Mio</t>
  </si>
  <si>
    <t>USD Mio</t>
  </si>
  <si>
    <t>Asset Free Loan</t>
  </si>
  <si>
    <t>Collateral - Proportionate based on FKS Ownership</t>
  </si>
  <si>
    <t>CFADS</t>
  </si>
  <si>
    <t>CFO</t>
  </si>
  <si>
    <t>(+) Interest</t>
  </si>
  <si>
    <t>CFI</t>
  </si>
  <si>
    <t>Free Cash Flow</t>
  </si>
  <si>
    <t>Equity Drawdown</t>
  </si>
  <si>
    <t>Loan Drawdown</t>
  </si>
  <si>
    <t>Teluk Lamong</t>
  </si>
  <si>
    <t>PT Sentral Grain Terminal</t>
  </si>
  <si>
    <t>PT Sentral Gudang Terminal</t>
  </si>
  <si>
    <t>WIN Combine (Incl. WIN Cilegon, WIN Medan, WIN Surabaya, WIN Makassar; Excl. WIN Tapin)</t>
  </si>
  <si>
    <t>Consolidation</t>
  </si>
  <si>
    <t>In IDR Mio</t>
  </si>
  <si>
    <t>YTD 30Apr24</t>
  </si>
  <si>
    <t>YTD Dec23</t>
  </si>
  <si>
    <t>Description</t>
  </si>
  <si>
    <t>Assets</t>
  </si>
  <si>
    <t xml:space="preserve">ASET </t>
  </si>
  <si>
    <t>Current Assets</t>
  </si>
  <si>
    <t>Cash and Cash Equivalents</t>
  </si>
  <si>
    <t>Cash and cash equivalents</t>
  </si>
  <si>
    <t>Time Deposit</t>
  </si>
  <si>
    <t>Account Receivable</t>
  </si>
  <si>
    <t>Trade receivables</t>
  </si>
  <si>
    <t>Inventories</t>
  </si>
  <si>
    <t>Inventory</t>
  </si>
  <si>
    <t>Advances</t>
  </si>
  <si>
    <t>Other current assets</t>
  </si>
  <si>
    <t>Prepaid</t>
  </si>
  <si>
    <t>Prepaid Expense</t>
  </si>
  <si>
    <t>Deffered Tax Assets</t>
  </si>
  <si>
    <t>Prepaid Tax</t>
  </si>
  <si>
    <t>Prepaid Taxes</t>
  </si>
  <si>
    <t>Other Current Assets</t>
  </si>
  <si>
    <t>Other Trade receivables</t>
  </si>
  <si>
    <t>Total Current Assets</t>
  </si>
  <si>
    <t>Noncurrent Assets</t>
  </si>
  <si>
    <t>Non Current Assets</t>
  </si>
  <si>
    <t>Fix Assets</t>
  </si>
  <si>
    <t>Fixed Assets</t>
  </si>
  <si>
    <t>Investment</t>
  </si>
  <si>
    <t>Acc Depreciation of Fixed Assets</t>
  </si>
  <si>
    <t>Fixed Assets (Net)</t>
  </si>
  <si>
    <t>Asset In Progress</t>
  </si>
  <si>
    <t>Assets in Progress</t>
  </si>
  <si>
    <t>Intangible Assets</t>
  </si>
  <si>
    <t>Non Current Asset</t>
  </si>
  <si>
    <t>Acc Depreciation of Intangible Assets</t>
  </si>
  <si>
    <t>Intangible Assets (Net)</t>
  </si>
  <si>
    <t>Other Non Current Asset</t>
  </si>
  <si>
    <t>Other Non Current Assets</t>
  </si>
  <si>
    <t>Total Noncurrent Assets</t>
  </si>
  <si>
    <t>Total Non Current Assets</t>
  </si>
  <si>
    <t>Other Ussets</t>
  </si>
  <si>
    <t>ROU</t>
  </si>
  <si>
    <t xml:space="preserve">TOTAL ASSET </t>
  </si>
  <si>
    <t>Akumulasi Depresiasi ROU</t>
  </si>
  <si>
    <t>LIABILITIES &amp; EQUITY</t>
  </si>
  <si>
    <t>Long-term Security Deposit</t>
  </si>
  <si>
    <t>Current liabilities</t>
  </si>
  <si>
    <t>Liabilities and Equity</t>
  </si>
  <si>
    <t>Account Payable</t>
  </si>
  <si>
    <t>Deferred Tax Asset</t>
  </si>
  <si>
    <t>Trade Payable</t>
  </si>
  <si>
    <t>Current Liabilities</t>
  </si>
  <si>
    <t>Claim for PPh 25/29 Refund</t>
  </si>
  <si>
    <t>Other Payables</t>
  </si>
  <si>
    <t>Other Liability</t>
  </si>
  <si>
    <t>Accrued Expenses</t>
  </si>
  <si>
    <t>Total Lliability</t>
  </si>
  <si>
    <t>Tax Payable</t>
  </si>
  <si>
    <t>Taxes Payable</t>
  </si>
  <si>
    <t>Other Payable</t>
  </si>
  <si>
    <t>Other Account Payable</t>
  </si>
  <si>
    <t>Other current liabilities</t>
  </si>
  <si>
    <t>Other Account Payable - Intercompany</t>
  </si>
  <si>
    <t>Equity</t>
  </si>
  <si>
    <t>Apr'24 A</t>
  </si>
  <si>
    <t>Employment benefits liabilities</t>
  </si>
  <si>
    <t>Short Term Liabilities</t>
  </si>
  <si>
    <t>Retained Earnings</t>
  </si>
  <si>
    <t>Deffered Tax Liabilities</t>
  </si>
  <si>
    <t>Employee Benefit Liabilities</t>
  </si>
  <si>
    <t>Total Equity</t>
  </si>
  <si>
    <t>Total Current Liabilities</t>
  </si>
  <si>
    <t>Deferred Tax Liabilities</t>
  </si>
  <si>
    <t>Short-term Bank Loan</t>
  </si>
  <si>
    <t>Noncurrent Liabilities</t>
  </si>
  <si>
    <t>Dividend Payable</t>
  </si>
  <si>
    <t>Long term liabilities</t>
  </si>
  <si>
    <t>Short Term Liabilities ROU</t>
  </si>
  <si>
    <t>Total Noncurrent Liabilities</t>
  </si>
  <si>
    <t>Non Current Liabilities</t>
  </si>
  <si>
    <t>Total Liabilities</t>
  </si>
  <si>
    <t>Long Term Liabilities</t>
  </si>
  <si>
    <t>Total Non Current Liabilities</t>
  </si>
  <si>
    <t>Capital Stock</t>
  </si>
  <si>
    <t>Retained Earning</t>
  </si>
  <si>
    <t>Short Term Lease Liability</t>
  </si>
  <si>
    <t>Current Year Profit/(Loss)</t>
  </si>
  <si>
    <t>Long Term Liabilities ROU</t>
  </si>
  <si>
    <t>Employee Benefit Liabilities - Short</t>
  </si>
  <si>
    <t>Other Comprehensive Income</t>
  </si>
  <si>
    <t>TOTAL LIABILITIES &amp; EQUITY</t>
  </si>
  <si>
    <t>Additional Paid in Capital</t>
  </si>
  <si>
    <t>Long-term Bank Loan</t>
  </si>
  <si>
    <t>Long-term Liabilities</t>
  </si>
  <si>
    <t>Long-term Lease Liability</t>
  </si>
  <si>
    <t>Total Liabilities and Equity</t>
  </si>
  <si>
    <t>Check</t>
  </si>
  <si>
    <t>FM Sapphire - After Elimination</t>
  </si>
  <si>
    <t>in IDR Bio</t>
  </si>
  <si>
    <t>Saphire Acquisition Cost</t>
  </si>
  <si>
    <t>Revenue Scenario</t>
  </si>
  <si>
    <t>Cigading existing (D1)</t>
  </si>
  <si>
    <t>Cigading Expansion: Wharf 2</t>
  </si>
  <si>
    <t>Cigading Expansion: Cigading Extended Conveyor</t>
  </si>
  <si>
    <t>Belawan (incl. expansion)</t>
  </si>
  <si>
    <t>Ciwandan</t>
  </si>
  <si>
    <t>WIN</t>
  </si>
  <si>
    <t>TBM</t>
  </si>
  <si>
    <t>Working Capital</t>
  </si>
  <si>
    <t>Initial Working Capital</t>
  </si>
  <si>
    <t>1. Account Receivables</t>
  </si>
  <si>
    <t>AR Days</t>
  </si>
  <si>
    <t>Account Receivables</t>
  </si>
  <si>
    <t>AR - Re-Calculate</t>
  </si>
  <si>
    <t>2. Inventory</t>
  </si>
  <si>
    <t>COGS</t>
  </si>
  <si>
    <t>Inventory Days</t>
  </si>
  <si>
    <t>3. Account Payable</t>
  </si>
  <si>
    <t>AP Days</t>
  </si>
  <si>
    <t>Change in NWC</t>
  </si>
  <si>
    <t>Capex - S-Curve</t>
  </si>
  <si>
    <t xml:space="preserve"> </t>
  </si>
  <si>
    <t>Sapphire Capex</t>
  </si>
  <si>
    <t>IDR Bio</t>
  </si>
  <si>
    <t>Total Investment</t>
  </si>
  <si>
    <t>Depreciated Capex</t>
  </si>
  <si>
    <t>Other Assets</t>
  </si>
  <si>
    <t>Proceed Investment</t>
  </si>
  <si>
    <t>Proceed from Investor</t>
  </si>
  <si>
    <t>Proceed for Earnout</t>
  </si>
  <si>
    <t>Paid in Capital</t>
  </si>
  <si>
    <t>Loan Repayment - Existing</t>
  </si>
  <si>
    <t>Capex</t>
  </si>
  <si>
    <t>%</t>
  </si>
  <si>
    <t>Total Injection</t>
  </si>
  <si>
    <t>Dividend paid - cash based</t>
  </si>
  <si>
    <t>Beginning Cash Balance</t>
  </si>
  <si>
    <t>Cash Movement</t>
  </si>
  <si>
    <t>Minimum Cash Balance</t>
  </si>
  <si>
    <t>Maximum Dividend Paid</t>
  </si>
  <si>
    <t>Dividend Paid</t>
  </si>
  <si>
    <t>Minimum Reserve</t>
  </si>
  <si>
    <t>Net Income</t>
  </si>
  <si>
    <t>Beginning Retained Earnings</t>
  </si>
  <si>
    <t>Minimum Retained Earnings</t>
  </si>
  <si>
    <t>Maximum Dividends Paid</t>
  </si>
  <si>
    <t>Reserve Calculation</t>
  </si>
  <si>
    <t>Equity Revolver</t>
  </si>
  <si>
    <t>Dividend Calculation</t>
  </si>
  <si>
    <t>Dividend Assumption</t>
  </si>
  <si>
    <t>Volume assumption (as-is scenario)</t>
  </si>
  <si>
    <t>KS</t>
  </si>
  <si>
    <t>KS Group</t>
  </si>
  <si>
    <t>3rd party</t>
  </si>
  <si>
    <t>Volume growth</t>
  </si>
  <si>
    <t>Indicative blended price per ton</t>
  </si>
  <si>
    <t>Price growth</t>
  </si>
  <si>
    <t>Volume assumption (upside scenario)</t>
  </si>
  <si>
    <t>Additional volume (upside vs. as-is)</t>
  </si>
  <si>
    <t>Upside volume achievement assumption</t>
  </si>
  <si>
    <t>Total volume</t>
  </si>
  <si>
    <t>Value creation</t>
  </si>
  <si>
    <t>Additional volume food and feed</t>
  </si>
  <si>
    <t>Additional revenue from food and feed</t>
  </si>
  <si>
    <t>Additional EBITDA from food and feed</t>
  </si>
  <si>
    <t>Additional revenue from upside scenario</t>
  </si>
  <si>
    <t>Additional EBITDA from upside scenario</t>
  </si>
  <si>
    <t>Adjusted total revenue</t>
  </si>
  <si>
    <t>EBITDA margin improvement</t>
  </si>
  <si>
    <t>Adjusted EBITDA</t>
  </si>
  <si>
    <t>Original EBITDA (incl. value creation)</t>
  </si>
  <si>
    <t>Additional EBITDA from margin improvement</t>
  </si>
  <si>
    <t>EBITDA margin before vs. after</t>
  </si>
  <si>
    <t>Net income to EBITDA</t>
  </si>
  <si>
    <t>Adjusted net income</t>
  </si>
  <si>
    <t>Increment vs. original net income</t>
  </si>
  <si>
    <t>Adjusted dividend</t>
  </si>
  <si>
    <t>Investment Return</t>
  </si>
  <si>
    <t>Entry equity value (post-DD)</t>
  </si>
  <si>
    <t>Net debt</t>
  </si>
  <si>
    <t>Enterprise value</t>
  </si>
  <si>
    <t>Adjusted EBITDA LTM2023</t>
  </si>
  <si>
    <t>FKS ownership</t>
  </si>
  <si>
    <t>Selected entry equity value</t>
  </si>
  <si>
    <t>Original</t>
  </si>
  <si>
    <t>Value Creation</t>
  </si>
  <si>
    <t>Food &amp; feed</t>
  </si>
  <si>
    <t>Other Cargo</t>
  </si>
  <si>
    <t>Improvement</t>
  </si>
  <si>
    <t>EBITDA 2027</t>
  </si>
  <si>
    <t>Equity value</t>
  </si>
  <si>
    <t>Original scenario (investment only)</t>
  </si>
  <si>
    <t>Share purchase</t>
  </si>
  <si>
    <t>Dividend</t>
  </si>
  <si>
    <t>Exit value</t>
  </si>
  <si>
    <t>Cash flow</t>
  </si>
  <si>
    <t>Value creation scenario</t>
  </si>
  <si>
    <t>Cigading</t>
  </si>
  <si>
    <t>Belawan</t>
  </si>
  <si>
    <t>Dumai</t>
  </si>
  <si>
    <t>SOE</t>
  </si>
  <si>
    <t>FKS</t>
  </si>
  <si>
    <t>Existing</t>
  </si>
  <si>
    <t>Stevedoring</t>
  </si>
  <si>
    <t>Port Operation</t>
  </si>
  <si>
    <t>v</t>
  </si>
  <si>
    <t>Port Maintenance</t>
  </si>
  <si>
    <t>Ship Unloader &amp; Hopper</t>
  </si>
  <si>
    <t>PBM</t>
  </si>
  <si>
    <t>Cargodoring</t>
  </si>
  <si>
    <t>Receiving &amp; Delivery</t>
  </si>
  <si>
    <t>inc</t>
  </si>
  <si>
    <t>Loading</t>
  </si>
  <si>
    <t>Weighing Service</t>
  </si>
  <si>
    <t>New</t>
  </si>
  <si>
    <t>Volume</t>
  </si>
  <si>
    <t>Existing Business</t>
  </si>
  <si>
    <t>Opeartorship with SOEs</t>
  </si>
  <si>
    <t>Cigading Warehouse Revitalization</t>
  </si>
  <si>
    <t>New Scope</t>
  </si>
  <si>
    <t>DMS</t>
  </si>
  <si>
    <t>Total Belawan</t>
  </si>
  <si>
    <t>Cigading Expansion*</t>
  </si>
  <si>
    <t>Total Fund Commitment</t>
  </si>
  <si>
    <t>FY25 - 26</t>
  </si>
  <si>
    <t>FY27 - Onwards</t>
  </si>
  <si>
    <t>Co-Investment</t>
  </si>
  <si>
    <t>27 - Onwards</t>
  </si>
  <si>
    <t>25 - 26</t>
  </si>
  <si>
    <t>KBS</t>
  </si>
  <si>
    <t>USD M</t>
  </si>
  <si>
    <t>Existing (Before JO)</t>
  </si>
  <si>
    <t>After JO</t>
  </si>
  <si>
    <t>New Projects</t>
  </si>
  <si>
    <t>Additional Revenue</t>
  </si>
  <si>
    <t>Total (After JO)</t>
  </si>
  <si>
    <t>Additional EBITDA</t>
  </si>
  <si>
    <t>Consol</t>
  </si>
  <si>
    <t>Pelindo</t>
  </si>
  <si>
    <t>PELINDO</t>
  </si>
  <si>
    <t>Existing Business (IDR Bio)</t>
  </si>
  <si>
    <t>Est. Revenue</t>
  </si>
  <si>
    <t>EBIT</t>
  </si>
  <si>
    <t>JO</t>
  </si>
  <si>
    <t>1. SCD</t>
  </si>
  <si>
    <t>2. Warehouse</t>
  </si>
  <si>
    <t>3. DMS</t>
  </si>
  <si>
    <t>Impact Additional Volume</t>
  </si>
  <si>
    <t>Additional</t>
  </si>
  <si>
    <t>Cost Savings</t>
  </si>
  <si>
    <t>Waterfall - KBS Teluk Lamong</t>
  </si>
  <si>
    <t>FY25</t>
  </si>
  <si>
    <t>FY34</t>
  </si>
  <si>
    <t>Ebitda '25</t>
  </si>
  <si>
    <t>New Business</t>
  </si>
  <si>
    <t>2. DMS</t>
  </si>
  <si>
    <t>Sugar</t>
  </si>
  <si>
    <t>G&amp;M</t>
  </si>
  <si>
    <t>Expenses</t>
  </si>
  <si>
    <t>(Potensi Export)</t>
  </si>
  <si>
    <t>Tariff</t>
  </si>
  <si>
    <t>Consol Pelindo</t>
  </si>
  <si>
    <t>Total Revenue</t>
  </si>
  <si>
    <t>Total EBITDA</t>
  </si>
  <si>
    <t>New Scheme</t>
  </si>
  <si>
    <t>System</t>
  </si>
  <si>
    <t>Waterfall - PELINDO</t>
  </si>
  <si>
    <t>Calculation</t>
  </si>
  <si>
    <t>In IDR Bio unless stated otherwise</t>
  </si>
  <si>
    <t>USD/IDR</t>
  </si>
  <si>
    <t>Revenue Teluk Lamong</t>
  </si>
  <si>
    <t>Meals Volume Index</t>
  </si>
  <si>
    <t>Meals Volume</t>
  </si>
  <si>
    <t>Price Index</t>
  </si>
  <si>
    <t>Revenue Meals</t>
  </si>
  <si>
    <t>Grains Volume Index</t>
  </si>
  <si>
    <t>Grains Volume</t>
  </si>
  <si>
    <t>Revenue Grains</t>
  </si>
  <si>
    <t>Addition Volume Index</t>
  </si>
  <si>
    <t>Total Volume</t>
  </si>
  <si>
    <t>Sales</t>
  </si>
  <si>
    <t>Cost of Sales</t>
  </si>
  <si>
    <t>1. Depreciation</t>
  </si>
  <si>
    <t>Base</t>
  </si>
  <si>
    <t>Depreciation Cost</t>
  </si>
  <si>
    <t>2. Employee Cost</t>
  </si>
  <si>
    <t>Index</t>
  </si>
  <si>
    <t>Base Price</t>
  </si>
  <si>
    <t>Revenue From System</t>
  </si>
  <si>
    <t>3. Electricity</t>
  </si>
  <si>
    <t xml:space="preserve">Total Volume </t>
  </si>
  <si>
    <t>Cost/Ton</t>
  </si>
  <si>
    <t>Consumption - 2023</t>
  </si>
  <si>
    <t>IDR/Ton</t>
  </si>
  <si>
    <t>Cost - 2023</t>
  </si>
  <si>
    <t>4. Fuel Expenses</t>
  </si>
  <si>
    <t>5. Security Expense</t>
  </si>
  <si>
    <t>6. Repair &amp; Maintenance</t>
  </si>
  <si>
    <t>7. Employee costs - ops - Overtime (variable)</t>
  </si>
  <si>
    <t>8. Insurance</t>
  </si>
  <si>
    <t>Depreciation</t>
  </si>
  <si>
    <t>9. Labor - Variable</t>
  </si>
  <si>
    <t>10. Ops other expense (variable)</t>
  </si>
  <si>
    <t>Index Operating Cost</t>
  </si>
  <si>
    <t>Legal and professional fees (fixed)</t>
  </si>
  <si>
    <t>Staff costs - G&amp;A (fixed)</t>
  </si>
  <si>
    <t>Tax fees (fixed)</t>
  </si>
  <si>
    <t>Travelling and entertainment costs (fixed)</t>
  </si>
  <si>
    <t>Office expenses (fixed)</t>
  </si>
  <si>
    <t>Other administrative expenses (fixed)</t>
  </si>
  <si>
    <t>Rental expenses - G&amp;A (fixed)</t>
  </si>
  <si>
    <t>Depreciation - G&amp;A (fixed)</t>
  </si>
  <si>
    <t>Communication expenses - G&amp;A (fixed)</t>
  </si>
  <si>
    <t>Security Services / Outsourcing expenses (fixed)</t>
  </si>
  <si>
    <t>Donation &amp; CSR (fixed)</t>
  </si>
  <si>
    <t>Utility expenses (fixed)</t>
  </si>
  <si>
    <t>Total Operating Cost</t>
  </si>
  <si>
    <t>Teluk Lamong: Bagging</t>
  </si>
  <si>
    <t>Revenue Bagging</t>
  </si>
  <si>
    <t>Volume Index</t>
  </si>
  <si>
    <t>Revenue Flat Storage</t>
  </si>
  <si>
    <t>1. Depreciation - building assets (fixed)</t>
  </si>
  <si>
    <t>Useful Life</t>
  </si>
  <si>
    <t>Capex Amount</t>
  </si>
  <si>
    <t>Capex Up to 2025</t>
  </si>
  <si>
    <t>Proportion</t>
  </si>
  <si>
    <t>2. Depreciation - equipment assets (fixed)</t>
  </si>
  <si>
    <t>Proportion vs existing</t>
  </si>
  <si>
    <t>5. Insurance</t>
  </si>
  <si>
    <t xml:space="preserve">Cost </t>
  </si>
  <si>
    <t>Cigading Existing</t>
  </si>
  <si>
    <t>Revenue Cigading Existing</t>
  </si>
  <si>
    <t>Volume - GM</t>
  </si>
  <si>
    <t>Ethanol</t>
  </si>
  <si>
    <t>Cost of Sales - Non Depre</t>
  </si>
  <si>
    <t>4. Security Expense</t>
  </si>
  <si>
    <t>5. Repair &amp; Maintenance</t>
  </si>
  <si>
    <t>6. Insurance</t>
  </si>
  <si>
    <t>7. Solar-Heavy equipment rental (variable)</t>
  </si>
  <si>
    <t>8. Ops other expense (variable)</t>
  </si>
  <si>
    <t>9.Employee costs - ops - Overtime (variable)</t>
  </si>
  <si>
    <t>10. Labor Variable</t>
  </si>
  <si>
    <t>11. Ops other expense - pest control (fixed)</t>
  </si>
  <si>
    <t>Operating Expense</t>
  </si>
  <si>
    <t>Operating Cost - Non Depre</t>
  </si>
  <si>
    <t>Revenue Cigading Expansion Wharf 2</t>
  </si>
  <si>
    <t>4. Solar-Heavy equipment rental (variable)</t>
  </si>
  <si>
    <t>Cigading Expansion: Extended Conveyor</t>
  </si>
  <si>
    <t>Revenue Cigading Extended Conveyor</t>
  </si>
  <si>
    <t>Cigading Expansion: Warehouse Revitalization</t>
  </si>
  <si>
    <t>Additional Services</t>
  </si>
  <si>
    <t>Ton</t>
  </si>
  <si>
    <t>Handling Bagging</t>
  </si>
  <si>
    <t>Ton/Month</t>
  </si>
  <si>
    <t>Weighing</t>
  </si>
  <si>
    <t>Opex</t>
  </si>
  <si>
    <t>Ciwandan Expansion</t>
  </si>
  <si>
    <t>Revenue Ciwandan Expansion</t>
  </si>
  <si>
    <t>3. Other Cost of Sales</t>
  </si>
  <si>
    <t>Proportion to Revenue</t>
  </si>
  <si>
    <t xml:space="preserve">Revenue </t>
  </si>
  <si>
    <t>Belawan (incl. Belawan Expansion)</t>
  </si>
  <si>
    <t>Revenue Belawan (incl. Belawan Expansion)</t>
  </si>
  <si>
    <t>1. Depreciation - Existing</t>
  </si>
  <si>
    <t>2. Depreciation - new building assets (fixed)</t>
  </si>
  <si>
    <t>2. Depreciation - new equipment assets (fixed)</t>
  </si>
  <si>
    <t>Total Depreciation</t>
  </si>
  <si>
    <t>3. Employee Cost</t>
  </si>
  <si>
    <t>5. Fuel Expense</t>
  </si>
  <si>
    <t>6. Utilities Cost</t>
  </si>
  <si>
    <t>7. Consession Fee (variable)</t>
  </si>
  <si>
    <t>% to Revenue</t>
  </si>
  <si>
    <t>9. Repair &amp; Maintenance</t>
  </si>
  <si>
    <t>10. Employee costs - ops - Overtime (variable)</t>
  </si>
  <si>
    <t>11. Insurance</t>
  </si>
  <si>
    <t>12. Insurance - new assets (fixed)</t>
  </si>
  <si>
    <t>13. Labor (variable)</t>
  </si>
  <si>
    <t>Audit fees (fixed)</t>
  </si>
  <si>
    <t>Operating Cost</t>
  </si>
  <si>
    <t>Stevedoring - WIN Cilegon</t>
  </si>
  <si>
    <t>Revenue Expansion</t>
  </si>
  <si>
    <t>1. Corn</t>
  </si>
  <si>
    <t>2. SBM</t>
  </si>
  <si>
    <t>3. Soybean</t>
  </si>
  <si>
    <t>4. Sugar</t>
  </si>
  <si>
    <t>5. Wheat</t>
  </si>
  <si>
    <t>Total Sales</t>
  </si>
  <si>
    <t>1. Depreciation - (fixed)</t>
  </si>
  <si>
    <t>Depre Amount</t>
  </si>
  <si>
    <t>Dock &amp; port facilities fee (variable)</t>
  </si>
  <si>
    <t>2. Total Blended Cost</t>
  </si>
  <si>
    <t>Total Cost Based on per Commodity</t>
  </si>
  <si>
    <t>Employee Cost</t>
  </si>
  <si>
    <t>Maintenance</t>
  </si>
  <si>
    <t>Insurance</t>
  </si>
  <si>
    <t>% of Revenue</t>
  </si>
  <si>
    <t>Stevedoring - WIN Makassar</t>
  </si>
  <si>
    <t>Revenue WIN Makassar</t>
  </si>
  <si>
    <t>1. Sugar</t>
  </si>
  <si>
    <t>2. Wheat</t>
  </si>
  <si>
    <t>1. Dock &amp; port facilities fee (variable)</t>
  </si>
  <si>
    <t>Stevedoring - WIN Surabaya</t>
  </si>
  <si>
    <t>Revenue WIN Surabaya</t>
  </si>
  <si>
    <t>1. SBM</t>
  </si>
  <si>
    <t>2. Soybean</t>
  </si>
  <si>
    <t>Stevedoring - WIN Medan</t>
  </si>
  <si>
    <t>Revenue WIN Medan</t>
  </si>
  <si>
    <t>4. Wheat</t>
  </si>
  <si>
    <t>Rental expenses (fixed)</t>
  </si>
  <si>
    <t>Revenue TBM</t>
  </si>
  <si>
    <t>1. Land Lease</t>
  </si>
  <si>
    <t>Sqm</t>
  </si>
  <si>
    <t>IDR/Sqm/Month</t>
  </si>
  <si>
    <t>2. Warehouse Rental - Flat Storage</t>
  </si>
  <si>
    <t>% of Teluk Lamong</t>
  </si>
  <si>
    <t>Volume Teluk Lamong</t>
  </si>
  <si>
    <t>Tons</t>
  </si>
  <si>
    <t>Annual Volume</t>
  </si>
  <si>
    <t>IDR/Ton/Month</t>
  </si>
  <si>
    <t>3. Warehouse Rental - Silo</t>
  </si>
  <si>
    <t>4. Cargo Handling</t>
  </si>
  <si>
    <t>Depreciation Expenses</t>
  </si>
  <si>
    <t>Depreciation Incurred</t>
  </si>
  <si>
    <t>1. Depreciation - Land assets (fixed)</t>
  </si>
  <si>
    <t>2. Depreciation - Building assets (fixed)</t>
  </si>
  <si>
    <t>3. Depreciation - Equipment assets (fixed)</t>
  </si>
  <si>
    <t>Cost of Warehouse Rental</t>
  </si>
  <si>
    <t>Warehouse Sales</t>
  </si>
  <si>
    <t>% of Warehouse Sales</t>
  </si>
  <si>
    <t>Cost of sales cargo handling</t>
  </si>
  <si>
    <t>Cargo Handling Sales</t>
  </si>
  <si>
    <t>Net Sales</t>
  </si>
  <si>
    <t>Operatorship with Pelindo</t>
  </si>
  <si>
    <t>1. Current Scheme</t>
  </si>
  <si>
    <t>Revenue Stevedoring - PELINDO</t>
  </si>
  <si>
    <t>Tariff/ton</t>
  </si>
  <si>
    <t>Grains</t>
  </si>
  <si>
    <t>1. Dermaga</t>
  </si>
  <si>
    <t>2. Biaya OPP/OPT</t>
  </si>
  <si>
    <t>3. Ship Unloader, Graber, Hopper</t>
  </si>
  <si>
    <t>4. Sewa Conveyor</t>
  </si>
  <si>
    <t>5. Throughput Fee</t>
  </si>
  <si>
    <t>6. Dana Sosial &amp; APBMI</t>
  </si>
  <si>
    <t>7. Cargodoring &amp; Delivery</t>
  </si>
  <si>
    <t>Depre</t>
  </si>
  <si>
    <t>Overhead &amp; Others</t>
  </si>
  <si>
    <t>Operation + MTC</t>
  </si>
  <si>
    <t>Others</t>
  </si>
  <si>
    <t>Total Cost</t>
  </si>
  <si>
    <t>Meals</t>
  </si>
  <si>
    <t>Cost</t>
  </si>
  <si>
    <t>Total EBIT</t>
  </si>
  <si>
    <t>2. Proposal - New Scheme</t>
  </si>
  <si>
    <t>Grains (Current Scheme)</t>
  </si>
  <si>
    <t>Grains (New Scheme)</t>
  </si>
  <si>
    <t>7. Cargodoring</t>
  </si>
  <si>
    <t>Cost Structure</t>
  </si>
  <si>
    <t>OH + Others</t>
  </si>
  <si>
    <t>Pengadaan 2 unit GSU</t>
  </si>
  <si>
    <t>Pembangunan Conveyor</t>
  </si>
  <si>
    <t>Meals (Current Scheme)</t>
  </si>
  <si>
    <t>Meals (New Scheme)</t>
  </si>
  <si>
    <t>Initial</t>
  </si>
  <si>
    <t>Operatorship with KBS</t>
  </si>
  <si>
    <t>Revenue Stevedoring - KBS</t>
  </si>
  <si>
    <t>Tariff/ton - All</t>
  </si>
  <si>
    <t>Pengadaan Crane</t>
  </si>
  <si>
    <t>New Scheme Vs Initial</t>
  </si>
  <si>
    <t>Operatorship with Belawan</t>
  </si>
  <si>
    <t>Operatorship with Ciwandan</t>
  </si>
  <si>
    <t>Initial Scheme</t>
  </si>
  <si>
    <t>FKS PART</t>
  </si>
  <si>
    <t>1. NPLOG - PELINDO</t>
  </si>
  <si>
    <t>Revenue - Grains</t>
  </si>
  <si>
    <t>Price</t>
  </si>
  <si>
    <t>Revenue - Meals</t>
  </si>
  <si>
    <t>2. KBS</t>
  </si>
  <si>
    <t>Teluk Lamong - Bagging Facilities</t>
  </si>
  <si>
    <t>Cigading Expansion Wharf 2</t>
  </si>
  <si>
    <t>Operatorship</t>
  </si>
  <si>
    <t>Belawan (Inc Belawan Expansion)</t>
  </si>
  <si>
    <t>Scenario - Applied</t>
  </si>
  <si>
    <t>BI Rate 19/02/25</t>
  </si>
  <si>
    <t>No</t>
  </si>
  <si>
    <t>SoW</t>
  </si>
  <si>
    <t>Details</t>
  </si>
  <si>
    <t>EXISTING</t>
  </si>
  <si>
    <t>PLAN</t>
  </si>
  <si>
    <t>CGD</t>
  </si>
  <si>
    <t>TTL</t>
  </si>
  <si>
    <t>BLW</t>
  </si>
  <si>
    <t>CWD</t>
  </si>
  <si>
    <t>TBM (KSO)</t>
  </si>
  <si>
    <t>TBM (BUP)</t>
  </si>
  <si>
    <t>Port Operator (Jasa Kapal)</t>
  </si>
  <si>
    <t>1.. Labuh &amp; Tambat
2. Pemanduan
3. Penundaan &amp; Pengepilan
4. Air bersih untuk kapal</t>
  </si>
  <si>
    <t xml:space="preserve">Similar to TTL </t>
  </si>
  <si>
    <t>TBM / PELINDO</t>
  </si>
  <si>
    <t>Port Operator (Jasa Barang) - Stevedoring</t>
  </si>
  <si>
    <t>Operasional Dermaga + Fasilitas Pelabuhan</t>
  </si>
  <si>
    <t>Operasional SU + Grab + Hopper</t>
  </si>
  <si>
    <t>FSL</t>
  </si>
  <si>
    <t>NPLOG</t>
  </si>
  <si>
    <t>Operasional Bongkar Muat + Alat Berat</t>
  </si>
  <si>
    <t>Port Operator (Jasa Barang) - Cargodoring</t>
  </si>
  <si>
    <t>Operasional Conveyor</t>
  </si>
  <si>
    <t>Notes:</t>
  </si>
  <si>
    <t>1. WIN only serve for group (stevedoring)</t>
  </si>
  <si>
    <t>Operasional Gudang Transit (IWH)</t>
  </si>
  <si>
    <t>2. LT WH in TTL only for MA</t>
  </si>
  <si>
    <t>Port Operator (Jasa Barang) - Delivery</t>
  </si>
  <si>
    <t>Pemuatan Kargo</t>
  </si>
  <si>
    <t>3. SGT 1 only for MA &amp; little of Bungasari</t>
  </si>
  <si>
    <t>Penimbangan Kargo</t>
  </si>
  <si>
    <t>4. Request PELINDO to build 2nd wharf in TTL</t>
  </si>
  <si>
    <t>Pengiriman (Trucking)</t>
  </si>
  <si>
    <t>FTU (Group)</t>
  </si>
  <si>
    <t>3rd Party</t>
  </si>
  <si>
    <t>5. TBM will need to find contigency plan if BFMI &amp; TEFI will not build factory there</t>
  </si>
  <si>
    <t>Support Services</t>
  </si>
  <si>
    <t>Tenaga Kerja Bongkar Muat</t>
  </si>
  <si>
    <t>Pengurusan Muatan &amp; Dokumen</t>
  </si>
  <si>
    <t>Air &amp; Listrik</t>
  </si>
  <si>
    <t>Pengerukan (Kolam &amp; Alur)</t>
  </si>
  <si>
    <t>System &amp; IT</t>
  </si>
  <si>
    <t>PTI</t>
  </si>
  <si>
    <t>Storage (Long Term)</t>
  </si>
  <si>
    <t>Bagging , Handling &amp; Storage</t>
  </si>
  <si>
    <t>MA</t>
  </si>
  <si>
    <t>TBC</t>
  </si>
  <si>
    <t>Space Rental</t>
  </si>
  <si>
    <t>Leasing / Selling</t>
  </si>
  <si>
    <t>1. Land
2. Building
3. Transport
4. Equipment</t>
  </si>
  <si>
    <t>Legal Entity</t>
  </si>
  <si>
    <t>Scope of Work / Services of the legal entity</t>
  </si>
  <si>
    <t>Licenses</t>
  </si>
  <si>
    <t>Agreement / BAST</t>
  </si>
  <si>
    <t>Execution / Ops on the ground</t>
  </si>
  <si>
    <t>Exisiting</t>
  </si>
  <si>
    <t>4 jt ton</t>
  </si>
  <si>
    <t>ini uda di Jiipe , Tj Perak</t>
  </si>
  <si>
    <t xml:space="preserve">Total Volume TTL </t>
  </si>
  <si>
    <t>3,6 jt ton</t>
  </si>
  <si>
    <t>Service</t>
  </si>
  <si>
    <t>50 TTL / 50 NPLOG</t>
  </si>
  <si>
    <t>Delivery</t>
  </si>
  <si>
    <t>Products</t>
  </si>
  <si>
    <t>Grain</t>
  </si>
  <si>
    <t>Wheat</t>
  </si>
  <si>
    <t>Non Group</t>
  </si>
  <si>
    <t>Corn</t>
  </si>
  <si>
    <t>Soybean</t>
  </si>
  <si>
    <t>Group (MA)</t>
  </si>
  <si>
    <t>SBM</t>
  </si>
  <si>
    <t>Group &amp; Non Group</t>
  </si>
  <si>
    <t>Grain &amp; Meals Group (MA)</t>
  </si>
  <si>
    <t>-&gt; 300rb an grain smua di IWF 1.8 dan 500 rb meals di Romokalisari yg mau di pindah ke Tanjung Batu</t>
  </si>
  <si>
    <t>jt ton</t>
  </si>
  <si>
    <t xml:space="preserve">Dari 1.6 jt ton </t>
  </si>
  <si>
    <t>0.3 jt ton disimpen di IWF (TL 1.8)</t>
  </si>
  <si>
    <t>Sisa potensi Grain utk Silo</t>
  </si>
  <si>
    <t>1.3 jt ton</t>
  </si>
  <si>
    <t>Untuk meals 2.4 jt ton itu blm ada LT WH, jd lsg smua ke masing2 WH</t>
  </si>
  <si>
    <t>So basically, untuk exisiting business potential: Silo : 1.3 + Flat Storage 1.2 (50% dr 2.4) -&gt; Stage 1</t>
  </si>
  <si>
    <t>Utk Stage 2, br ad additional volume dr new industry</t>
  </si>
  <si>
    <t>yg hrs di cek: WH space yg mau dibangun brp krna utk FS itu potensi businessnya uda gede skg</t>
  </si>
  <si>
    <t>FCFF</t>
  </si>
  <si>
    <t>Tax</t>
  </si>
  <si>
    <t>+ Depreciation</t>
  </si>
  <si>
    <t>Free cash flow to firm</t>
  </si>
  <si>
    <t>Adjusted Free Cash Flow</t>
  </si>
  <si>
    <t>Cummulative FCFF</t>
  </si>
  <si>
    <t>Negative Flag</t>
  </si>
  <si>
    <t>Positive Start Flag</t>
  </si>
  <si>
    <t>Payback Period Adjustment</t>
  </si>
  <si>
    <t>Investment Results</t>
  </si>
  <si>
    <t>Payback Period</t>
  </si>
  <si>
    <t>3.Cigading Expansion: Cigading Extended Conveyor</t>
  </si>
  <si>
    <t>5. Warehouse Revitalization</t>
  </si>
  <si>
    <t>5. Belawan (incl. expansion)</t>
  </si>
  <si>
    <t>6. Ciwandan</t>
  </si>
  <si>
    <t>7. TBM</t>
  </si>
  <si>
    <t>CONSOL - ALL NEW</t>
  </si>
  <si>
    <t>2024A</t>
  </si>
  <si>
    <t>2025F</t>
  </si>
  <si>
    <t>2026F</t>
  </si>
  <si>
    <t>2027F</t>
  </si>
  <si>
    <t>2028F</t>
  </si>
  <si>
    <t>Exisiting Business</t>
  </si>
  <si>
    <t>Pelindo (Grains)</t>
  </si>
  <si>
    <t>Pelindo (Meals)</t>
  </si>
  <si>
    <t>FKS KBS</t>
  </si>
  <si>
    <t>FKS Pelindo</t>
  </si>
  <si>
    <t>Cargodoring &amp; Delivery</t>
  </si>
  <si>
    <t>Operation &amp; Maintenance</t>
  </si>
  <si>
    <t>Operating Profit</t>
  </si>
  <si>
    <t>OP Margin</t>
  </si>
  <si>
    <t>With JO</t>
  </si>
  <si>
    <t>Y0</t>
  </si>
  <si>
    <t>Operation Period - New Business</t>
  </si>
  <si>
    <t>V</t>
  </si>
  <si>
    <t>Teluk Lamong: Trucking DMS</t>
  </si>
  <si>
    <t>IWF</t>
  </si>
  <si>
    <t>Total Teluk Lamong Volume</t>
  </si>
  <si>
    <t>Revenue DMS</t>
  </si>
  <si>
    <t>Cost Trucking</t>
  </si>
  <si>
    <t>IDR / Ton</t>
  </si>
  <si>
    <t>Service Fee</t>
  </si>
  <si>
    <t>USD mio</t>
  </si>
  <si>
    <t>i</t>
  </si>
  <si>
    <t>Cigading Expansion: KBS Warehouse Revitalization</t>
  </si>
  <si>
    <t>Total Cigading Volume</t>
  </si>
  <si>
    <t>Revenue Cigading Warehouse Revitalization</t>
  </si>
  <si>
    <t>Revenue KBS</t>
  </si>
  <si>
    <t>Revenue - FKS</t>
  </si>
  <si>
    <t xml:space="preserve">Initial </t>
  </si>
  <si>
    <t>Cigading Expansion: Trucking DMS</t>
  </si>
  <si>
    <t>KBS Portion</t>
  </si>
  <si>
    <t>FKS Portion</t>
  </si>
  <si>
    <t>Ciwandan: Trucking DMS</t>
  </si>
  <si>
    <t>38k</t>
  </si>
  <si>
    <t>Belawan: Trucking DMS</t>
  </si>
  <si>
    <t>Land Lease Cost</t>
  </si>
  <si>
    <t>Capacity (Pak Tri)</t>
  </si>
  <si>
    <t>Luasan (Pak Tri)</t>
  </si>
  <si>
    <t>Flat Storage</t>
  </si>
  <si>
    <t>Silo</t>
  </si>
  <si>
    <t>Additional Volume</t>
  </si>
  <si>
    <t>Ebitda</t>
  </si>
  <si>
    <t>Tariff Port</t>
  </si>
  <si>
    <t>Tariff SU</t>
  </si>
  <si>
    <t>Overhead</t>
  </si>
  <si>
    <t>ONM</t>
  </si>
  <si>
    <t>3. Belawan</t>
  </si>
  <si>
    <t>Teluk Lamong - Silo</t>
  </si>
  <si>
    <t>Ass Oct 2025</t>
  </si>
  <si>
    <t>Net Income Consol (ex. Teluk Lamong)</t>
  </si>
  <si>
    <t>Net Income - Teluk Lamong</t>
  </si>
  <si>
    <t>Net Income (inc. Teluk Lamong 65%)</t>
  </si>
  <si>
    <t>Net Income - Clean</t>
  </si>
  <si>
    <t>Input</t>
  </si>
  <si>
    <t>Construction Period</t>
  </si>
  <si>
    <t>General</t>
  </si>
  <si>
    <t>Inflation</t>
  </si>
  <si>
    <t>xx</t>
  </si>
  <si>
    <t>GDP</t>
  </si>
  <si>
    <t>1. Meals</t>
  </si>
  <si>
    <t>Volume Growth</t>
  </si>
  <si>
    <t>Baseline</t>
  </si>
  <si>
    <t>Volume Base FY23</t>
  </si>
  <si>
    <t>Price - Meals</t>
  </si>
  <si>
    <t>2. Grains</t>
  </si>
  <si>
    <t>Price - Grains</t>
  </si>
  <si>
    <t>Electricity</t>
  </si>
  <si>
    <t>Fuel Expenses</t>
  </si>
  <si>
    <t>Security Expenses</t>
  </si>
  <si>
    <t>Repair &amp; Maintenance</t>
  </si>
  <si>
    <t>Employee costs - ops - Overtime</t>
  </si>
  <si>
    <t>Labor</t>
  </si>
  <si>
    <t>Ops other expense</t>
  </si>
  <si>
    <t>Operating Expenses</t>
  </si>
  <si>
    <t>Base Cost</t>
  </si>
  <si>
    <t>Legal and professional fees</t>
  </si>
  <si>
    <t>Staff costs - G&amp;A</t>
  </si>
  <si>
    <t>Tax fees</t>
  </si>
  <si>
    <t>Travelling and entertainment costs</t>
  </si>
  <si>
    <t>Office expenses</t>
  </si>
  <si>
    <t>Other administrative expenses</t>
  </si>
  <si>
    <t>Rental expenses - G&amp;A</t>
  </si>
  <si>
    <t>Depreciation - G&amp;A</t>
  </si>
  <si>
    <t>Communication expenses - G&amp;A</t>
  </si>
  <si>
    <t>Security Services / Outsourcing expenses</t>
  </si>
  <si>
    <t>Donation &amp; CSR</t>
  </si>
  <si>
    <t>Utility expenses</t>
  </si>
  <si>
    <t>Cost Growth</t>
  </si>
  <si>
    <t>Tax Fee</t>
  </si>
  <si>
    <t>1. Volume</t>
  </si>
  <si>
    <t>Additional Depreciation</t>
  </si>
  <si>
    <t>Actual Cost</t>
  </si>
  <si>
    <t xml:space="preserve">Stevedoring (PBM) Cost </t>
  </si>
  <si>
    <t>Solar-Heavy equipment rental</t>
  </si>
  <si>
    <t>Stevedoring - Heavy Equipment Cost - Actual Cost</t>
  </si>
  <si>
    <t>Financing cost</t>
  </si>
  <si>
    <t>Volume Base FY24</t>
  </si>
  <si>
    <t>Depreciation Rate - Building Assets</t>
  </si>
  <si>
    <t>Depreciation Rate - Equipment Assets</t>
  </si>
  <si>
    <t>Useful life - Building Assets</t>
  </si>
  <si>
    <t>Useful life - Equipment Assets</t>
  </si>
  <si>
    <t>% of New Assets</t>
  </si>
  <si>
    <t>Financing Cost</t>
  </si>
  <si>
    <t>ASP</t>
  </si>
  <si>
    <t>Consumption vs. existing operations</t>
  </si>
  <si>
    <t>Ciwandan expansion</t>
  </si>
  <si>
    <t>Volume Base</t>
  </si>
  <si>
    <t>Volume Base - 2023</t>
  </si>
  <si>
    <t>Employee costs - ops</t>
  </si>
  <si>
    <t>Security Expense</t>
  </si>
  <si>
    <t>Fuel Expense</t>
  </si>
  <si>
    <t>Utilities Cost</t>
  </si>
  <si>
    <t>Consession Fee</t>
  </si>
  <si>
    <t>% of new assets</t>
  </si>
  <si>
    <t>Actual Cost -2023</t>
  </si>
  <si>
    <t>Audit fees</t>
  </si>
  <si>
    <t>Dock &amp; port facilities fee</t>
  </si>
  <si>
    <t>Actual cost</t>
  </si>
  <si>
    <t>IDR bio</t>
  </si>
  <si>
    <t>Blended cost 2024</t>
  </si>
  <si>
    <t>% of revenue</t>
  </si>
  <si>
    <t>Cost per commodity</t>
  </si>
  <si>
    <t xml:space="preserve">Corn </t>
  </si>
  <si>
    <t>% of ASP</t>
  </si>
  <si>
    <t>Volume Base - 2024</t>
  </si>
  <si>
    <t>Total Area</t>
  </si>
  <si>
    <t>sqm</t>
  </si>
  <si>
    <t>ASP Base</t>
  </si>
  <si>
    <t>IDR/sqm/month</t>
  </si>
  <si>
    <t>ASP Growth</t>
  </si>
  <si>
    <t>% of Teluk Lamong volume</t>
  </si>
  <si>
    <t>Capex - For Depreciation</t>
  </si>
  <si>
    <t>Capex - Scurve</t>
  </si>
  <si>
    <t>Depreciation Rate - Land Assets</t>
  </si>
  <si>
    <t>% of Depreciation Incurred</t>
  </si>
  <si>
    <t>% of Warehouse Revenue</t>
  </si>
  <si>
    <t>Operating expense % of revenue</t>
  </si>
  <si>
    <t>FA to Revenue</t>
  </si>
  <si>
    <t>Potential DnD</t>
  </si>
  <si>
    <t>Use of Fund</t>
  </si>
  <si>
    <t>FSL Loan Repayment</t>
  </si>
  <si>
    <t>Cigading Ext</t>
  </si>
  <si>
    <t>SGT Medan</t>
  </si>
  <si>
    <t>x</t>
  </si>
  <si>
    <t>Sapphire</t>
  </si>
  <si>
    <t>Reklamasi</t>
  </si>
  <si>
    <t>Infra</t>
  </si>
  <si>
    <t>Gudang</t>
  </si>
  <si>
    <t>Utilities</t>
  </si>
  <si>
    <t>Kantor</t>
  </si>
  <si>
    <t>Fasilitas umum</t>
  </si>
  <si>
    <t>IT &amp; System</t>
  </si>
  <si>
    <t>4 Silo</t>
  </si>
  <si>
    <t>Warehouse Revitalization</t>
  </si>
  <si>
    <t>Additional Capex - Legal Fee</t>
  </si>
  <si>
    <t>Ekor</t>
  </si>
  <si>
    <t>Jawa Barat</t>
  </si>
  <si>
    <t>Lampung</t>
  </si>
  <si>
    <t>Muncar</t>
  </si>
  <si>
    <t>Hasil</t>
  </si>
  <si>
    <t>kg</t>
  </si>
  <si>
    <t>Volume (Mio Ton)</t>
  </si>
  <si>
    <t>Total Volume Input</t>
  </si>
  <si>
    <t>Nplog</t>
  </si>
  <si>
    <t>Existing Project</t>
  </si>
  <si>
    <t>Cigading existing (SGT 2)</t>
  </si>
  <si>
    <t>Grains &amp; Meals</t>
  </si>
  <si>
    <t>Teluk Lamong - Flat Storage</t>
  </si>
  <si>
    <t>Land Lease (Ha)</t>
  </si>
  <si>
    <t>Cargo Handling</t>
  </si>
  <si>
    <t>Revenue Implication (USD Mio)</t>
  </si>
  <si>
    <t>Cigading: Warehouse Revitalization</t>
  </si>
  <si>
    <t>Operatorship with BUMN (Exc. Ciwandan)</t>
  </si>
  <si>
    <t>Operatorship with BUMN (Inc. Ciwandan)</t>
  </si>
  <si>
    <t>DMS Solution</t>
  </si>
  <si>
    <t>Revenue Based On Entity</t>
  </si>
  <si>
    <t>EBITDA Implication (USD Mio)</t>
  </si>
  <si>
    <t>Operatorship with BUMN (Exc Ciwandan)</t>
  </si>
  <si>
    <t>Operatorship with BUMN (Inc Ciwandan)</t>
  </si>
  <si>
    <t>EBITDA Based On Entity</t>
  </si>
  <si>
    <t>Ownership</t>
  </si>
  <si>
    <t>EBITDA - FSL (51%)</t>
  </si>
  <si>
    <t>EBITDA - Ruby (49%)</t>
  </si>
  <si>
    <t>Dividend (30% - Pay Out Ratio)</t>
  </si>
  <si>
    <t>MA (51%)</t>
  </si>
  <si>
    <t>Ruby (49%)</t>
  </si>
  <si>
    <t>Dividend Organic - MA 100%</t>
  </si>
  <si>
    <t>Dividend Organic</t>
  </si>
  <si>
    <t>Dividend with JO</t>
  </si>
  <si>
    <t>Previous</t>
  </si>
  <si>
    <t>Return Implication (USD Mio)</t>
  </si>
  <si>
    <t>Return Implication (USD Mio) (2,4 juta Ciwandan)</t>
  </si>
  <si>
    <t>New Project</t>
  </si>
  <si>
    <t>PBP</t>
  </si>
  <si>
    <t>Consol new project</t>
  </si>
  <si>
    <t>Consol FSL</t>
  </si>
  <si>
    <t>Valuation (EBITDA $13 mio)</t>
  </si>
  <si>
    <t>Total Investor Proceed</t>
  </si>
  <si>
    <t>100% Equity Valuation</t>
  </si>
  <si>
    <t>Investor Ownership</t>
  </si>
  <si>
    <t>EV/EBITDA multiple</t>
  </si>
  <si>
    <t>100% Equity Valuation (EBITDA $11mio)</t>
  </si>
  <si>
    <t>Pre-money</t>
  </si>
  <si>
    <t>Post-money Stage 1</t>
  </si>
  <si>
    <t>Post-money Stage 2</t>
  </si>
  <si>
    <t>Post-money Earnout</t>
  </si>
  <si>
    <t>Total Commitment</t>
  </si>
  <si>
    <t>Earnout</t>
  </si>
  <si>
    <t>Additional for Co-Investment</t>
  </si>
  <si>
    <t>Investment ($ mio)</t>
  </si>
  <si>
    <t>EBITDA Margin</t>
  </si>
  <si>
    <t>Net Profit Margin</t>
  </si>
  <si>
    <t>NPLOG - PELINDO</t>
  </si>
  <si>
    <t>Volume Existing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</si>
  <si>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</si>
  <si>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</si>
  <si>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</si>
  <si>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</si>
  <si>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</si>
  <si>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</si>
  <si>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</si>
  <si>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</si>
  <si>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</si>
  <si>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</si>
  <si>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w/ Land Lease</t>
  </si>
  <si>
    <t>w/o Land Lease</t>
  </si>
  <si>
    <t>Cigading Expansion: D2</t>
  </si>
  <si>
    <t>Cigading existing (D1.1)</t>
  </si>
  <si>
    <t>Notes</t>
  </si>
  <si>
    <t>Existing + Organic Growth Volume (Ton)</t>
  </si>
  <si>
    <t>Additional Volume (Ton)</t>
  </si>
  <si>
    <t>Bagging</t>
  </si>
  <si>
    <t>Volume (Ton)</t>
  </si>
  <si>
    <t>Trucking DMS</t>
  </si>
  <si>
    <t>2% from Cost Trucking (IDR 68k/ton</t>
  </si>
  <si>
    <t>Output - Standalone</t>
  </si>
  <si>
    <t>In IDR Bio</t>
  </si>
  <si>
    <t>Profit and Loss - Nplog</t>
  </si>
  <si>
    <t>Gross Profit</t>
  </si>
  <si>
    <t>Depreciation &amp; Amortization</t>
  </si>
  <si>
    <t>EBT</t>
  </si>
  <si>
    <t>Net Profit</t>
  </si>
  <si>
    <t>Gross Profit Margin</t>
  </si>
  <si>
    <t>Ebitda Margin</t>
  </si>
  <si>
    <t>EBIT Margin</t>
  </si>
  <si>
    <t>Profit and Loss - Bagging &amp; Flat Storage</t>
  </si>
  <si>
    <t>Profit and Loss - Trucking DMS Teluk Lamong</t>
  </si>
  <si>
    <t>Profit and Loss - Cigading Existing</t>
  </si>
  <si>
    <t>Ebit Margin</t>
  </si>
  <si>
    <t>Profit and Loss - Cigading Expansion: Wharf 2</t>
  </si>
  <si>
    <t>Profit and Loss - Cigading Extended Conveyor</t>
  </si>
  <si>
    <t>Profit and Loss - Operatorship with BUMN</t>
  </si>
  <si>
    <t>Profit and Loss - KBS Warehouse Revitalization</t>
  </si>
  <si>
    <t>Profit and Loss - Trucking DMS Cigading</t>
  </si>
  <si>
    <t>Profit and Loss - Cigading Expansion Combine</t>
  </si>
  <si>
    <t>Profit and Loss - Ciwandan Expansion</t>
  </si>
  <si>
    <t>Profit and Loss - Trucking DMS Ciwandan</t>
  </si>
  <si>
    <t>Profit and Loss - Belawan (incl. Belawan Expansion)</t>
  </si>
  <si>
    <t>Profit and Loss - Trucking DMS Belawan</t>
  </si>
  <si>
    <t>Profit and Loss - Stavedoring WIN Cilegon</t>
  </si>
  <si>
    <t>Profit and Loss - Stavedoring WIN Makassar</t>
  </si>
  <si>
    <t>Profit and Loss - Stavedoring WIN Surabaya</t>
  </si>
  <si>
    <t>Profit and Loss - Stavedoring WIN Medan</t>
  </si>
  <si>
    <t>Profit and Loss - Stavedoring WIN Combine</t>
  </si>
  <si>
    <t>Profit and Loss - TBM</t>
  </si>
  <si>
    <t>Profit and Loss - DMS All</t>
  </si>
  <si>
    <t>In USD Mio</t>
  </si>
  <si>
    <t>Output FSL - IDR BIO</t>
  </si>
  <si>
    <t>Acquire Sapphire</t>
  </si>
  <si>
    <t>Operatorship with BUMN</t>
  </si>
  <si>
    <t>Profit and Loss</t>
  </si>
  <si>
    <t>Cash Flow Statement</t>
  </si>
  <si>
    <t>Cash Flow from Operation</t>
  </si>
  <si>
    <t>Change in Net Working Capital</t>
  </si>
  <si>
    <t>Cash Flow flow Operation</t>
  </si>
  <si>
    <t>Cash Flow from Investing</t>
  </si>
  <si>
    <t>Other Investment</t>
  </si>
  <si>
    <t>Fix Asset Acquisition</t>
  </si>
  <si>
    <t>Cash Flow from Financing</t>
  </si>
  <si>
    <t>Equity Injection</t>
  </si>
  <si>
    <t>Loan Repayment</t>
  </si>
  <si>
    <t>Dividend Payment</t>
  </si>
  <si>
    <t>Net Cash Flow</t>
  </si>
  <si>
    <t>Balance Sheet</t>
  </si>
  <si>
    <t>Asset</t>
  </si>
  <si>
    <t xml:space="preserve">Cash </t>
  </si>
  <si>
    <t>Fix Asset</t>
  </si>
  <si>
    <t>Liability</t>
  </si>
  <si>
    <t>Bank Loan</t>
  </si>
  <si>
    <t>Total Liability</t>
  </si>
  <si>
    <t>Spare</t>
  </si>
  <si>
    <t>Balance Check</t>
  </si>
  <si>
    <t>Revaluasi</t>
  </si>
  <si>
    <t>Output</t>
  </si>
  <si>
    <t>Output Sapphire</t>
  </si>
  <si>
    <t>Sapphire Acquisition</t>
  </si>
  <si>
    <t>Other Operation Cost</t>
  </si>
  <si>
    <t>% Cost To Revenue</t>
  </si>
  <si>
    <t>Operational Cost (Exc. Depre &amp; Insurance)</t>
  </si>
  <si>
    <t>Revenue WB</t>
  </si>
  <si>
    <t xml:space="preserve">Loading Revenue </t>
  </si>
  <si>
    <t xml:space="preserve">wb Revenue </t>
  </si>
  <si>
    <t>1. Dumai</t>
  </si>
  <si>
    <t>PKE</t>
  </si>
  <si>
    <t>PKS</t>
  </si>
  <si>
    <t>Volume &amp; Price</t>
  </si>
  <si>
    <t>Lini 1</t>
  </si>
  <si>
    <t>Lini 2</t>
  </si>
  <si>
    <t>RCSP</t>
  </si>
  <si>
    <t>SP</t>
  </si>
  <si>
    <t>ex. Steve</t>
  </si>
  <si>
    <t>FKS portion</t>
  </si>
  <si>
    <t>Silo - TTL</t>
  </si>
  <si>
    <t>IDR/Ton/Bulan</t>
  </si>
  <si>
    <t>Other Cost (exc Depre)</t>
  </si>
  <si>
    <t>Profit and Loss - Dumai</t>
  </si>
  <si>
    <t>Profit and Loss - TTL Silo</t>
  </si>
  <si>
    <t>TTL - Silo</t>
  </si>
  <si>
    <t>4.Teluk Lamong Silo</t>
  </si>
  <si>
    <t>IDR/MT</t>
  </si>
  <si>
    <t># of Silo</t>
  </si>
  <si>
    <t>1. Exit Value - 36</t>
  </si>
  <si>
    <t>TTL Silo</t>
  </si>
  <si>
    <t>with ruby 1 without 0</t>
  </si>
  <si>
    <t>Current</t>
  </si>
  <si>
    <t>To Be</t>
  </si>
  <si>
    <t>Revenue (IDR Bio)</t>
  </si>
  <si>
    <t>Volume (Mio ton/year)</t>
  </si>
  <si>
    <t>Price (IDR/ton)</t>
  </si>
  <si>
    <t>Company Perspective</t>
  </si>
  <si>
    <t>Discharging Speed (Ton/Day)</t>
  </si>
  <si>
    <t>Implied Waiting Day</t>
  </si>
  <si>
    <t>Daily rate ($)</t>
  </si>
  <si>
    <t>Jumlah Vessels per year</t>
  </si>
  <si>
    <t>Cost Savings per year ($)</t>
  </si>
  <si>
    <t>Cost savings per ton ($)</t>
  </si>
  <si>
    <t>Vessel Size (DWT)</t>
  </si>
  <si>
    <t>Total Freight Cost ($ Bio)</t>
  </si>
  <si>
    <t>Cargo Carried (Ton)</t>
  </si>
  <si>
    <t>Freight per Ton ($/ton)</t>
  </si>
  <si>
    <t>Savings ($/ton)</t>
  </si>
  <si>
    <t>Total Savings</t>
  </si>
  <si>
    <t>2. Freight</t>
  </si>
  <si>
    <t>1. Discharging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</si>
</sst>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41" formatCode="_-* #,##0_-;\-* #,##0_-;_-* &quot;-&quot;_-;_-@_-"/>
    <numFmt numFmtId="43" formatCode="_-* #,##0.00_-;\-* #,##0.00_-;_-* &quot;-&quot;??_-;_-@_-"/>
    <numFmt numFmtId="164" formatCode="_(* #,##0_);_(* \(#,##0\);_(* &quot;-&quot;_);_(@_)"/>
    <numFmt numFmtId="165" formatCode="_(* #,##0.00_);_(* \(#,##0.00\);_(* &quot;-&quot;??_);_(@_)"/>
    <numFmt numFmtId="166" formatCode="_-* #,##0_-;* \(#,##0\)_-;_-* &quot;-&quot;??_-;_-@_-"/>
    <numFmt numFmtId="167" formatCode="_-* #,##0.0_-;* \(#,##0.0\)_-;_-* &quot;-&quot;??_-;_-@_-"/>
    <numFmt numFmtId="168" formatCode="_(* #,##0_);_(* \(#,##0\);_(* &quot;-&quot;_);@_)"/>
    <numFmt numFmtId="169" formatCode="_-* #,##0.00_-;* \(#,##0.00\)_-;_-* &quot;-&quot;??_-;_-@_-"/>
    <numFmt numFmtId="170" formatCode="0.0%"/>
    <numFmt numFmtId="171" formatCode="&quot;Fail&quot;;&quot;Fail&quot;;&quot;Ok&quot;"/>
    <numFmt numFmtId="172" formatCode="_(* #,##0_);_(* \(#,##0\);_(* &quot;-&quot;??_);_(@_)"/>
    <numFmt numFmtId="173" formatCode="#,##0_ ;\-#,##0\ "/>
    <numFmt numFmtId="174" formatCode="_-* #,##0.000_-;\-* #,##0.000_-;_-* &quot;-&quot;??_-;_-@_-"/>
    <numFmt numFmtId="175" formatCode="_-* #,##0.000_-;* \(#,##0.000\)_-;_-* &quot;-&quot;??_-;_-@_-"/>
    <numFmt numFmtId="176" formatCode="_-* #,##0.0_-;\-* #,##0.0_-;_-* &quot;-&quot;_-;_-@_-"/>
    <numFmt numFmtId="177" formatCode="0.000%"/>
    <numFmt numFmtId="178" formatCode="_-* #,##0.0000_-;* \(#,##0.0000\)_-;_-* &quot;-&quot;??_-;_-@_-"/>
    <numFmt numFmtId="179" formatCode="_-* #,##0.00000_-;* \(#,##0.00000\)_-;_-* &quot;-&quot;??_-;_-@_-"/>
    <numFmt numFmtId="180" formatCode="&quot;Yes&quot;;&quot;Yes&quot;;&quot;No&quot;"/>
    <numFmt numFmtId="181" formatCode="[=1]&quot;Yes&quot;;[=0]&quot;No&quot;"/>
    <numFmt numFmtId="182" formatCode="&quot;Scenario&quot;\ 0"/>
    <numFmt numFmtId="183" formatCode="_-* #,##0.0_-;\-* #,##0.0_-;_-* &quot;-&quot;?_-;_-@_-"/>
    <numFmt numFmtId="184" formatCode="_-* #,##0.00000_-;\-* #,##0.00000_-;_-* &quot;-&quot;??_-;_-@_-"/>
    <numFmt numFmtId="185" formatCode="_-* #,##0.000000_-;\-* #,##0.000000_-;_-* &quot;-&quot;??_-;_-@_-"/>
    <numFmt numFmtId="186" formatCode="_-* #,##0_-;\-* #,##0_-;_-* &quot;-&quot;??_-;_-@_-"/>
    <numFmt numFmtId="187" formatCode="#,##0.0_ ;\-#,##0.0\ "/>
    <numFmt numFmtId="188" formatCode="_-* #,##0.0_-;\-* #,##0.0_-;_-* &quot;-&quot;??_-;_-@_-"/>
    <numFmt numFmtId="189" formatCode="_-* #,##0.0000_-;\-* #,##0.0000_-;_-* &quot;-&quot;??_-;_-@_-"/>
  </numFmts>
  <fonts count="59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0"/>
      <name val="Arial"/>
      <family val="2"/>
    </font>
    <font>
      <b/>
      <sz val="12"/>
      <color theme="1"/>
      <name val="Calibri"/>
      <family val="2"/>
      <scheme val="minor"/>
    </font>
    <font>
      <sz val="10"/>
      <color theme="9" tint="-0.499984740745262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34998626667073579"/>
      <name val="Arial"/>
      <family val="2"/>
    </font>
    <font>
      <sz val="18"/>
      <color rgb="FF58595B"/>
      <name val="Calibri"/>
      <family val="2"/>
      <scheme val="minor"/>
    </font>
    <font>
      <i/>
      <sz val="11"/>
      <color theme="0" tint="-0.24994659260841701"/>
      <name val="Calibri"/>
      <family val="2"/>
      <scheme val="minor"/>
    </font>
    <font>
      <sz val="10"/>
      <color theme="0"/>
      <name val="Arial"/>
      <family val="2"/>
    </font>
    <font>
      <b/>
      <sz val="11"/>
      <color theme="1"/>
      <name val="Arial"/>
      <family val="2"/>
    </font>
    <font>
      <sz val="10"/>
      <color theme="1" tint="0.34998626667073579"/>
      <name val="Arial"/>
      <family val="2"/>
    </font>
    <font>
      <sz val="9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b/>
      <i/>
      <sz val="11"/>
      <color theme="3" tint="-0.499984740745262"/>
      <name val="Calibri"/>
      <family val="2"/>
      <scheme val="minor"/>
    </font>
    <font>
      <b/>
      <sz val="11"/>
      <color theme="3" tint="-0.499984740745262"/>
      <name val="Calibri"/>
      <family val="2"/>
      <scheme val="minor"/>
    </font>
    <font>
      <sz val="18"/>
      <color theme="3"/>
      <name val="Calibri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name val="Calibri"/>
      <family val="2"/>
      <scheme val="minor"/>
    </font>
    <font>
      <b/>
      <sz val="10"/>
      <color theme="0" tint="-4.9989318521683403E-2"/>
      <name val="Calibri"/>
      <family val="2"/>
      <scheme val="minor"/>
    </font>
    <font>
      <b/>
      <sz val="10"/>
      <name val="Arial"/>
      <family val="2"/>
    </font>
    <font>
      <b/>
      <i/>
      <sz val="11"/>
      <color theme="0" tint="-0.24997711111789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1"/>
      <color theme="1"/>
      <name val="Calibri"/>
      <family val="2"/>
      <scheme val="minor"/>
    </font>
    <font>
      <sz val="11"/>
      <color theme="1"/>
      <name val="aria"/>
    </font>
    <font>
      <sz val="18"/>
      <color rgb="FF58595B"/>
      <name val="aria"/>
    </font>
    <font>
      <sz val="11"/>
      <color theme="0"/>
      <name val="aria"/>
    </font>
    <font>
      <b/>
      <sz val="11"/>
      <color theme="1"/>
      <name val="aria"/>
    </font>
    <font>
      <b/>
      <sz val="12"/>
      <color rgb="FF58595B"/>
      <name val="aria"/>
    </font>
    <font>
      <b/>
      <sz val="11"/>
      <color theme="0"/>
      <name val="Calibri"/>
      <family val="2"/>
      <scheme val="minor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sz val="8"/>
      <color theme="0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36E6D"/>
        <bgColor indexed="64"/>
      </patternFill>
    </fill>
    <fill>
      <patternFill patternType="solid">
        <fgColor rgb="FFFFFFA7"/>
        <bgColor indexed="64"/>
      </patternFill>
    </fill>
    <fill>
      <patternFill patternType="lightUp">
        <fgColor theme="0" tint="-0.34998626667073579"/>
        <bgColor indexed="65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F2F2"/>
      </patternFill>
    </fill>
    <fill>
      <patternFill patternType="lightTrellis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EB9C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2EFDA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medium">
        <color rgb="FF58595B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6"/>
      </bottom>
      <diagonal/>
    </border>
    <border>
      <left/>
      <right style="thin">
        <color rgb="FF3F3F3F"/>
      </right>
      <top style="thin">
        <color indexed="64"/>
      </top>
      <bottom/>
      <diagonal/>
    </border>
    <border>
      <left style="thin">
        <color theme="9" tint="-0.499984740745262"/>
      </left>
      <right/>
      <top style="thin">
        <color theme="9" tint="-0.499984740745262"/>
      </top>
      <bottom style="thin">
        <color theme="9" tint="-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uble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dashed">
        <color rgb="FF000000"/>
      </bottom>
      <diagonal/>
    </border>
    <border>
      <left/>
      <right/>
      <top style="dashed">
        <color rgb="FF000000"/>
      </top>
      <bottom/>
      <diagonal/>
    </border>
    <border>
      <left/>
      <right/>
      <top style="medium">
        <color rgb="FF000000"/>
      </top>
      <bottom/>
      <diagonal/>
    </border>
  </borders>
  <cellStyleXfs count="32">
    <xf numFmtId="166" fontId="0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73" fontId="8" fillId="6" borderId="2" applyAlignment="0" applyProtection="0"/>
    <xf numFmtId="0" fontId="10" fillId="2" borderId="0" applyNumberFormat="0" applyProtection="0"/>
    <xf numFmtId="166" fontId="12" fillId="3" borderId="3" applyAlignment="0"/>
    <xf numFmtId="41" fontId="13" fillId="0" borderId="1" applyAlignment="0"/>
    <xf numFmtId="1" fontId="9" fillId="5" borderId="1">
      <alignment horizontal="centerContinuous" vertical="center" wrapText="1"/>
    </xf>
    <xf numFmtId="166" fontId="14" fillId="7" borderId="4" applyAlignment="0"/>
    <xf numFmtId="0" fontId="15" fillId="0" borderId="5" applyNumberFormat="0" applyAlignment="0"/>
    <xf numFmtId="0" fontId="11" fillId="0" borderId="0"/>
    <xf numFmtId="0" fontId="16" fillId="0" borderId="0"/>
    <xf numFmtId="0" fontId="17" fillId="8" borderId="1">
      <alignment horizontal="centerContinuous" vertical="center" wrapText="1"/>
    </xf>
    <xf numFmtId="166" fontId="6" fillId="0" borderId="6">
      <alignment horizontal="left"/>
    </xf>
    <xf numFmtId="0" fontId="18" fillId="9" borderId="7">
      <alignment horizontal="left"/>
    </xf>
    <xf numFmtId="171" fontId="19" fillId="0" borderId="9">
      <alignment horizontal="center"/>
    </xf>
    <xf numFmtId="172" fontId="20" fillId="0" borderId="0">
      <alignment horizontal="left"/>
    </xf>
    <xf numFmtId="0" fontId="21" fillId="10" borderId="10" applyNumberFormat="0" applyAlignment="0" applyProtection="0"/>
    <xf numFmtId="168" fontId="23" fillId="11" borderId="1"/>
    <xf numFmtId="0" fontId="27" fillId="0" borderId="0" applyNumberFormat="0" applyFill="0" applyBorder="0" applyAlignment="0" applyProtection="0"/>
    <xf numFmtId="0" fontId="28" fillId="0" borderId="14" applyFill="0" applyAlignment="0" applyProtection="0"/>
    <xf numFmtId="41" fontId="29" fillId="0" borderId="0" applyFont="0" applyFill="0" applyBorder="0" applyAlignment="0" applyProtection="0"/>
    <xf numFmtId="0" fontId="5" fillId="0" borderId="0"/>
    <xf numFmtId="165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37" fillId="10" borderId="2" applyNumberFormat="0" applyAlignment="0" applyProtection="0"/>
    <xf numFmtId="0" fontId="38" fillId="27" borderId="0" applyNumberFormat="0" applyBorder="0" applyAlignment="0" applyProtection="0"/>
    <xf numFmtId="0" fontId="39" fillId="28" borderId="0" applyNumberFormat="0" applyBorder="0" applyAlignment="0" applyProtection="0"/>
  </cellStyleXfs>
  <cellXfs count="535">
    <xf numFmtId="166" fontId="0" fillId="0" borderId="0" xfId="0"/>
    <xf numFmtId="167" fontId="0" fillId="0" borderId="0" xfId="0" applyNumberFormat="1"/>
    <xf numFmtId="166" fontId="6" fillId="0" borderId="0" xfId="0" applyFont="1"/>
    <xf numFmtId="0" fontId="10" fillId="2" borderId="0" xfId="4"/>
    <xf numFmtId="168" fontId="10" fillId="2" borderId="0" xfId="4" applyNumberFormat="1"/>
    <xf numFmtId="166" fontId="11" fillId="0" borderId="0" xfId="0" applyFont="1"/>
    <xf numFmtId="166" fontId="12" fillId="4" borderId="3" xfId="5" applyFill="1"/>
    <xf numFmtId="15" fontId="0" fillId="0" borderId="0" xfId="0" applyNumberFormat="1"/>
    <xf numFmtId="15" fontId="13" fillId="0" borderId="1" xfId="6" applyNumberFormat="1" applyAlignment="1">
      <alignment horizontal="center" vertical="center"/>
    </xf>
    <xf numFmtId="1" fontId="9" fillId="5" borderId="1" xfId="7">
      <alignment horizontal="centerContinuous" vertical="center" wrapText="1"/>
    </xf>
    <xf numFmtId="0" fontId="0" fillId="0" borderId="0" xfId="0" applyNumberFormat="1"/>
    <xf numFmtId="1" fontId="9" fillId="5" borderId="1" xfId="7" applyAlignment="1">
      <alignment horizontal="left" vertical="center" wrapText="1"/>
    </xf>
    <xf numFmtId="15" fontId="8" fillId="6" borderId="2" xfId="3" applyNumberFormat="1"/>
    <xf numFmtId="166" fontId="14" fillId="7" borderId="4" xfId="8"/>
    <xf numFmtId="0" fontId="15" fillId="0" borderId="5" xfId="9"/>
    <xf numFmtId="0" fontId="11" fillId="0" borderId="0" xfId="10"/>
    <xf numFmtId="166" fontId="12" fillId="3" borderId="3" xfId="5"/>
    <xf numFmtId="0" fontId="16" fillId="0" borderId="0" xfId="11"/>
    <xf numFmtId="9" fontId="13" fillId="0" borderId="1" xfId="6" applyNumberFormat="1"/>
    <xf numFmtId="173" fontId="8" fillId="6" borderId="2" xfId="3"/>
    <xf numFmtId="41" fontId="13" fillId="0" borderId="1" xfId="6"/>
    <xf numFmtId="9" fontId="0" fillId="0" borderId="0" xfId="2" applyFont="1"/>
    <xf numFmtId="43" fontId="0" fillId="0" borderId="0" xfId="1" applyFont="1"/>
    <xf numFmtId="169" fontId="0" fillId="0" borderId="0" xfId="0" applyNumberFormat="1"/>
    <xf numFmtId="9" fontId="8" fillId="6" borderId="2" xfId="3" applyNumberFormat="1"/>
    <xf numFmtId="9" fontId="12" fillId="3" borderId="3" xfId="2" applyFont="1" applyFill="1" applyBorder="1"/>
    <xf numFmtId="43" fontId="8" fillId="6" borderId="2" xfId="3" applyNumberFormat="1"/>
    <xf numFmtId="43" fontId="13" fillId="0" borderId="1" xfId="1" applyFont="1" applyFill="1" applyBorder="1"/>
    <xf numFmtId="166" fontId="6" fillId="0" borderId="6" xfId="13">
      <alignment horizontal="left"/>
    </xf>
    <xf numFmtId="166" fontId="12" fillId="3" borderId="3" xfId="5" applyAlignment="1"/>
    <xf numFmtId="43" fontId="8" fillId="6" borderId="2" xfId="1" applyFont="1" applyFill="1" applyBorder="1"/>
    <xf numFmtId="9" fontId="0" fillId="0" borderId="0" xfId="2" applyFont="1" applyAlignment="1"/>
    <xf numFmtId="9" fontId="12" fillId="4" borderId="3" xfId="2" applyFont="1" applyFill="1" applyBorder="1"/>
    <xf numFmtId="166" fontId="0" fillId="0" borderId="0" xfId="2" applyNumberFormat="1" applyFont="1" applyFill="1"/>
    <xf numFmtId="171" fontId="19" fillId="0" borderId="9" xfId="15">
      <alignment horizontal="center"/>
    </xf>
    <xf numFmtId="9" fontId="8" fillId="6" borderId="2" xfId="2" applyFont="1" applyFill="1" applyBorder="1" applyAlignment="1"/>
    <xf numFmtId="43" fontId="13" fillId="0" borderId="1" xfId="6" applyNumberFormat="1"/>
    <xf numFmtId="166" fontId="6" fillId="3" borderId="0" xfId="0" applyFont="1" applyFill="1"/>
    <xf numFmtId="166" fontId="0" fillId="3" borderId="0" xfId="0" applyFill="1"/>
    <xf numFmtId="9" fontId="8" fillId="6" borderId="2" xfId="2" applyFont="1" applyFill="1" applyBorder="1"/>
    <xf numFmtId="170" fontId="8" fillId="6" borderId="2" xfId="2" applyNumberFormat="1" applyFont="1" applyFill="1" applyBorder="1"/>
    <xf numFmtId="0" fontId="22" fillId="0" borderId="0" xfId="10" applyFont="1"/>
    <xf numFmtId="166" fontId="21" fillId="10" borderId="10" xfId="17" applyNumberFormat="1" applyAlignment="1">
      <alignment horizontal="left"/>
    </xf>
    <xf numFmtId="168" fontId="23" fillId="11" borderId="1" xfId="18"/>
    <xf numFmtId="166" fontId="24" fillId="0" borderId="0" xfId="0" applyFont="1"/>
    <xf numFmtId="10" fontId="13" fillId="0" borderId="1" xfId="6" applyNumberFormat="1"/>
    <xf numFmtId="174" fontId="13" fillId="0" borderId="1" xfId="1" applyNumberFormat="1" applyFont="1" applyBorder="1"/>
    <xf numFmtId="169" fontId="6" fillId="0" borderId="6" xfId="13" applyNumberFormat="1">
      <alignment horizontal="left"/>
    </xf>
    <xf numFmtId="169" fontId="21" fillId="10" borderId="10" xfId="17" applyNumberFormat="1"/>
    <xf numFmtId="169" fontId="21" fillId="10" borderId="10" xfId="17" applyNumberFormat="1" applyAlignment="1">
      <alignment horizontal="left"/>
    </xf>
    <xf numFmtId="169" fontId="0" fillId="0" borderId="0" xfId="2" applyNumberFormat="1" applyFont="1" applyFill="1"/>
    <xf numFmtId="166" fontId="25" fillId="0" borderId="0" xfId="0" applyFont="1"/>
    <xf numFmtId="9" fontId="26" fillId="0" borderId="0" xfId="2" applyFont="1"/>
    <xf numFmtId="175" fontId="0" fillId="0" borderId="0" xfId="0" applyNumberFormat="1"/>
    <xf numFmtId="166" fontId="0" fillId="0" borderId="1" xfId="0" applyBorder="1"/>
    <xf numFmtId="166" fontId="26" fillId="0" borderId="0" xfId="0" applyFont="1"/>
    <xf numFmtId="9" fontId="26" fillId="0" borderId="0" xfId="2" applyFont="1" applyFill="1"/>
    <xf numFmtId="173" fontId="8" fillId="6" borderId="2" xfId="3" applyAlignment="1"/>
    <xf numFmtId="0" fontId="17" fillId="8" borderId="1" xfId="12">
      <alignment horizontal="centerContinuous" vertical="center" wrapText="1"/>
    </xf>
    <xf numFmtId="166" fontId="27" fillId="0" borderId="0" xfId="19" applyNumberFormat="1"/>
    <xf numFmtId="166" fontId="27" fillId="0" borderId="0" xfId="19" applyNumberFormat="1" applyAlignment="1"/>
    <xf numFmtId="0" fontId="27" fillId="0" borderId="0" xfId="19" applyNumberFormat="1" applyAlignment="1"/>
    <xf numFmtId="176" fontId="13" fillId="0" borderId="1" xfId="6" applyNumberFormat="1"/>
    <xf numFmtId="176" fontId="8" fillId="6" borderId="2" xfId="3" applyNumberFormat="1"/>
    <xf numFmtId="166" fontId="28" fillId="0" borderId="14" xfId="20" applyNumberFormat="1"/>
    <xf numFmtId="0" fontId="28" fillId="0" borderId="14" xfId="20"/>
    <xf numFmtId="0" fontId="28" fillId="0" borderId="14" xfId="20" applyAlignment="1"/>
    <xf numFmtId="170" fontId="13" fillId="0" borderId="1" xfId="2" applyNumberFormat="1" applyFont="1" applyFill="1" applyBorder="1"/>
    <xf numFmtId="166" fontId="0" fillId="0" borderId="0" xfId="0" applyAlignment="1">
      <alignment horizontal="left" indent="1"/>
    </xf>
    <xf numFmtId="174" fontId="8" fillId="6" borderId="2" xfId="1" applyNumberFormat="1" applyFont="1" applyFill="1" applyBorder="1"/>
    <xf numFmtId="43" fontId="12" fillId="3" borderId="3" xfId="2" applyNumberFormat="1" applyFont="1" applyFill="1" applyBorder="1"/>
    <xf numFmtId="166" fontId="14" fillId="0" borderId="4" xfId="8" applyFill="1"/>
    <xf numFmtId="43" fontId="12" fillId="3" borderId="3" xfId="1" applyFont="1" applyFill="1" applyBorder="1"/>
    <xf numFmtId="41" fontId="0" fillId="0" borderId="0" xfId="2" applyNumberFormat="1" applyFont="1"/>
    <xf numFmtId="9" fontId="0" fillId="0" borderId="0" xfId="2" applyFont="1" applyFill="1"/>
    <xf numFmtId="170" fontId="0" fillId="0" borderId="0" xfId="2" applyNumberFormat="1" applyFont="1"/>
    <xf numFmtId="43" fontId="6" fillId="0" borderId="6" xfId="1" applyFont="1" applyBorder="1" applyAlignment="1">
      <alignment horizontal="left"/>
    </xf>
    <xf numFmtId="43" fontId="12" fillId="4" borderId="3" xfId="2" applyNumberFormat="1" applyFont="1" applyFill="1" applyBorder="1"/>
    <xf numFmtId="43" fontId="6" fillId="0" borderId="6" xfId="1" applyFont="1" applyFill="1" applyBorder="1" applyAlignment="1">
      <alignment horizontal="left"/>
    </xf>
    <xf numFmtId="175" fontId="6" fillId="0" borderId="6" xfId="13" applyNumberFormat="1">
      <alignment horizontal="left"/>
    </xf>
    <xf numFmtId="177" fontId="0" fillId="0" borderId="0" xfId="2" applyNumberFormat="1" applyFont="1"/>
    <xf numFmtId="178" fontId="6" fillId="0" borderId="6" xfId="13" applyNumberFormat="1">
      <alignment horizontal="left"/>
    </xf>
    <xf numFmtId="179" fontId="6" fillId="0" borderId="6" xfId="13" applyNumberFormat="1">
      <alignment horizontal="left"/>
    </xf>
    <xf numFmtId="169" fontId="6" fillId="0" borderId="0" xfId="0" applyNumberFormat="1" applyFont="1"/>
    <xf numFmtId="167" fontId="6" fillId="0" borderId="6" xfId="13" applyNumberFormat="1">
      <alignment horizontal="left"/>
    </xf>
    <xf numFmtId="9" fontId="6" fillId="0" borderId="0" xfId="2" applyFont="1"/>
    <xf numFmtId="170" fontId="0" fillId="0" borderId="0" xfId="2" applyNumberFormat="1" applyFont="1" applyFill="1"/>
    <xf numFmtId="10" fontId="0" fillId="0" borderId="0" xfId="2" applyNumberFormat="1" applyFont="1" applyFill="1"/>
    <xf numFmtId="43" fontId="0" fillId="0" borderId="0" xfId="1" applyFont="1" applyFill="1"/>
    <xf numFmtId="178" fontId="0" fillId="0" borderId="0" xfId="0" applyNumberFormat="1"/>
    <xf numFmtId="180" fontId="8" fillId="6" borderId="2" xfId="3" applyNumberFormat="1"/>
    <xf numFmtId="43" fontId="0" fillId="0" borderId="0" xfId="2" applyNumberFormat="1" applyFont="1"/>
    <xf numFmtId="43" fontId="0" fillId="0" borderId="0" xfId="2" applyNumberFormat="1" applyFont="1" applyFill="1"/>
    <xf numFmtId="173" fontId="8" fillId="6" borderId="2" xfId="3" applyAlignment="1">
      <alignment horizontal="left"/>
    </xf>
    <xf numFmtId="0" fontId="16" fillId="0" borderId="15" xfId="11" applyBorder="1"/>
    <xf numFmtId="166" fontId="8" fillId="6" borderId="2" xfId="3" applyNumberFormat="1" applyAlignment="1"/>
    <xf numFmtId="181" fontId="8" fillId="6" borderId="2" xfId="3" applyNumberFormat="1" applyAlignment="1"/>
    <xf numFmtId="166" fontId="21" fillId="10" borderId="10" xfId="17" applyNumberFormat="1" applyAlignment="1"/>
    <xf numFmtId="41" fontId="13" fillId="0" borderId="1" xfId="6" applyAlignment="1"/>
    <xf numFmtId="43" fontId="0" fillId="0" borderId="0" xfId="1" applyFont="1" applyAlignment="1"/>
    <xf numFmtId="182" fontId="9" fillId="14" borderId="1" xfId="0" applyNumberFormat="1" applyFont="1" applyFill="1" applyBorder="1"/>
    <xf numFmtId="166" fontId="0" fillId="13" borderId="1" xfId="0" applyFill="1" applyBorder="1"/>
    <xf numFmtId="166" fontId="0" fillId="14" borderId="0" xfId="0" applyFill="1"/>
    <xf numFmtId="179" fontId="0" fillId="0" borderId="0" xfId="0" applyNumberFormat="1"/>
    <xf numFmtId="41" fontId="0" fillId="0" borderId="0" xfId="21" applyFont="1" applyBorder="1"/>
    <xf numFmtId="176" fontId="0" fillId="8" borderId="0" xfId="21" applyNumberFormat="1" applyFont="1" applyFill="1"/>
    <xf numFmtId="170" fontId="0" fillId="0" borderId="0" xfId="2" applyNumberFormat="1" applyFont="1" applyBorder="1"/>
    <xf numFmtId="176" fontId="0" fillId="0" borderId="0" xfId="21" applyNumberFormat="1" applyFont="1" applyBorder="1"/>
    <xf numFmtId="183" fontId="0" fillId="0" borderId="0" xfId="0" applyNumberFormat="1"/>
    <xf numFmtId="41" fontId="0" fillId="0" borderId="0" xfId="21" applyFont="1"/>
    <xf numFmtId="171" fontId="19" fillId="0" borderId="9" xfId="15" applyAlignment="1">
      <alignment horizontal="center" vertical="center"/>
    </xf>
    <xf numFmtId="41" fontId="0" fillId="0" borderId="0" xfId="21" applyFont="1" applyFill="1"/>
    <xf numFmtId="41" fontId="0" fillId="0" borderId="0" xfId="0" applyNumberFormat="1"/>
    <xf numFmtId="176" fontId="0" fillId="0" borderId="0" xfId="0" applyNumberFormat="1"/>
    <xf numFmtId="9" fontId="0" fillId="15" borderId="0" xfId="0" applyNumberFormat="1" applyFill="1"/>
    <xf numFmtId="166" fontId="0" fillId="15" borderId="0" xfId="0" applyFill="1"/>
    <xf numFmtId="166" fontId="0" fillId="0" borderId="0" xfId="0" applyAlignment="1">
      <alignment horizontal="center"/>
    </xf>
    <xf numFmtId="166" fontId="6" fillId="0" borderId="0" xfId="0" applyFont="1" applyAlignment="1">
      <alignment horizontal="center"/>
    </xf>
    <xf numFmtId="166" fontId="0" fillId="0" borderId="17" xfId="0" applyBorder="1"/>
    <xf numFmtId="9" fontId="0" fillId="0" borderId="0" xfId="21" applyNumberFormat="1" applyFont="1"/>
    <xf numFmtId="184" fontId="0" fillId="0" borderId="0" xfId="1" applyNumberFormat="1" applyFont="1" applyAlignment="1"/>
    <xf numFmtId="185" fontId="0" fillId="0" borderId="0" xfId="1" applyNumberFormat="1" applyFont="1" applyAlignment="1"/>
    <xf numFmtId="167" fontId="8" fillId="6" borderId="2" xfId="1" applyNumberFormat="1" applyFont="1" applyFill="1" applyBorder="1"/>
    <xf numFmtId="9" fontId="0" fillId="0" borderId="0" xfId="2" applyFont="1" applyFill="1" applyAlignment="1"/>
    <xf numFmtId="9" fontId="13" fillId="0" borderId="1" xfId="2" applyFont="1" applyFill="1" applyBorder="1"/>
    <xf numFmtId="169" fontId="21" fillId="10" borderId="10" xfId="17" applyNumberFormat="1" applyAlignment="1"/>
    <xf numFmtId="43" fontId="15" fillId="0" borderId="5" xfId="9" applyNumberFormat="1"/>
    <xf numFmtId="0" fontId="13" fillId="0" borderId="0" xfId="22" applyFont="1" applyAlignment="1">
      <alignment vertical="center"/>
    </xf>
    <xf numFmtId="166" fontId="30" fillId="16" borderId="1" xfId="0" applyFont="1" applyFill="1" applyBorder="1" applyAlignment="1">
      <alignment horizontal="center" vertical="center"/>
    </xf>
    <xf numFmtId="172" fontId="31" fillId="17" borderId="1" xfId="23" quotePrefix="1" applyNumberFormat="1" applyFont="1" applyFill="1" applyBorder="1" applyAlignment="1">
      <alignment horizontal="center" vertical="center" wrapText="1"/>
    </xf>
    <xf numFmtId="166" fontId="24" fillId="12" borderId="18" xfId="0" applyFont="1" applyFill="1" applyBorder="1" applyAlignment="1">
      <alignment vertical="center"/>
    </xf>
    <xf numFmtId="172" fontId="13" fillId="12" borderId="12" xfId="23" applyNumberFormat="1" applyFont="1" applyFill="1" applyBorder="1" applyAlignment="1">
      <alignment horizontal="center" vertical="center"/>
    </xf>
    <xf numFmtId="166" fontId="32" fillId="12" borderId="18" xfId="0" applyFont="1" applyFill="1" applyBorder="1" applyAlignment="1">
      <alignment horizontal="left" vertical="center" indent="1"/>
    </xf>
    <xf numFmtId="172" fontId="13" fillId="12" borderId="12" xfId="23" applyNumberFormat="1" applyFont="1" applyFill="1" applyBorder="1" applyAlignment="1">
      <alignment vertical="center"/>
    </xf>
    <xf numFmtId="166" fontId="13" fillId="12" borderId="18" xfId="0" applyFont="1" applyFill="1" applyBorder="1" applyAlignment="1">
      <alignment horizontal="left" vertical="center" indent="1"/>
    </xf>
    <xf numFmtId="166" fontId="24" fillId="12" borderId="11" xfId="0" applyFont="1" applyFill="1" applyBorder="1" applyAlignment="1">
      <alignment vertical="center"/>
    </xf>
    <xf numFmtId="172" fontId="31" fillId="12" borderId="1" xfId="23" applyNumberFormat="1" applyFont="1" applyFill="1" applyBorder="1" applyAlignment="1">
      <alignment vertical="center"/>
    </xf>
    <xf numFmtId="172" fontId="31" fillId="12" borderId="12" xfId="23" applyNumberFormat="1" applyFont="1" applyFill="1" applyBorder="1" applyAlignment="1">
      <alignment vertical="center"/>
    </xf>
    <xf numFmtId="9" fontId="33" fillId="12" borderId="12" xfId="2" applyFont="1" applyFill="1" applyBorder="1" applyAlignment="1">
      <alignment vertical="center"/>
    </xf>
    <xf numFmtId="172" fontId="31" fillId="12" borderId="1" xfId="2" applyNumberFormat="1" applyFont="1" applyFill="1" applyBorder="1" applyAlignment="1">
      <alignment vertical="center"/>
    </xf>
    <xf numFmtId="166" fontId="32" fillId="0" borderId="18" xfId="0" applyFont="1" applyBorder="1"/>
    <xf numFmtId="166" fontId="32" fillId="0" borderId="12" xfId="0" applyFont="1" applyBorder="1"/>
    <xf numFmtId="164" fontId="32" fillId="0" borderId="12" xfId="24" applyFont="1" applyBorder="1"/>
    <xf numFmtId="166" fontId="13" fillId="0" borderId="18" xfId="0" applyFont="1" applyBorder="1" applyAlignment="1">
      <alignment horizontal="left" indent="1"/>
    </xf>
    <xf numFmtId="164" fontId="24" fillId="0" borderId="1" xfId="24" applyFont="1" applyBorder="1" applyAlignment="1">
      <alignment vertical="center"/>
    </xf>
    <xf numFmtId="164" fontId="24" fillId="0" borderId="1" xfId="24" applyFont="1" applyBorder="1"/>
    <xf numFmtId="164" fontId="24" fillId="0" borderId="1" xfId="0" applyNumberFormat="1" applyFont="1" applyBorder="1"/>
    <xf numFmtId="166" fontId="32" fillId="12" borderId="18" xfId="0" applyFont="1" applyFill="1" applyBorder="1" applyAlignment="1">
      <alignment vertical="center"/>
    </xf>
    <xf numFmtId="0" fontId="32" fillId="0" borderId="0" xfId="22" applyFont="1"/>
    <xf numFmtId="0" fontId="32" fillId="0" borderId="0" xfId="22" applyFont="1" applyAlignment="1">
      <alignment vertical="center"/>
    </xf>
    <xf numFmtId="0" fontId="30" fillId="16" borderId="1" xfId="22" applyFont="1" applyFill="1" applyBorder="1" applyAlignment="1">
      <alignment horizontal="center" vertical="center"/>
    </xf>
    <xf numFmtId="172" fontId="31" fillId="17" borderId="1" xfId="25" quotePrefix="1" applyNumberFormat="1" applyFont="1" applyFill="1" applyBorder="1" applyAlignment="1">
      <alignment horizontal="center" vertical="center" wrapText="1"/>
    </xf>
    <xf numFmtId="0" fontId="24" fillId="12" borderId="12" xfId="22" applyFont="1" applyFill="1" applyBorder="1" applyAlignment="1">
      <alignment vertical="center"/>
    </xf>
    <xf numFmtId="172" fontId="13" fillId="12" borderId="12" xfId="25" applyNumberFormat="1" applyFont="1" applyFill="1" applyBorder="1" applyAlignment="1">
      <alignment horizontal="center" vertical="center"/>
    </xf>
    <xf numFmtId="0" fontId="32" fillId="12" borderId="12" xfId="22" applyFont="1" applyFill="1" applyBorder="1" applyAlignment="1">
      <alignment horizontal="left" vertical="center"/>
    </xf>
    <xf numFmtId="172" fontId="13" fillId="12" borderId="12" xfId="25" applyNumberFormat="1" applyFont="1" applyFill="1" applyBorder="1" applyAlignment="1">
      <alignment vertical="center"/>
    </xf>
    <xf numFmtId="0" fontId="13" fillId="12" borderId="12" xfId="22" applyFont="1" applyFill="1" applyBorder="1" applyAlignment="1">
      <alignment horizontal="left" vertical="center"/>
    </xf>
    <xf numFmtId="0" fontId="24" fillId="12" borderId="1" xfId="22" applyFont="1" applyFill="1" applyBorder="1" applyAlignment="1">
      <alignment vertical="center"/>
    </xf>
    <xf numFmtId="172" fontId="31" fillId="12" borderId="1" xfId="25" applyNumberFormat="1" applyFont="1" applyFill="1" applyBorder="1" applyAlignment="1">
      <alignment vertical="center"/>
    </xf>
    <xf numFmtId="172" fontId="31" fillId="12" borderId="12" xfId="25" applyNumberFormat="1" applyFont="1" applyFill="1" applyBorder="1" applyAlignment="1">
      <alignment vertical="center"/>
    </xf>
    <xf numFmtId="172" fontId="33" fillId="12" borderId="12" xfId="26" applyNumberFormat="1" applyFont="1" applyFill="1" applyBorder="1" applyAlignment="1">
      <alignment vertical="center"/>
    </xf>
    <xf numFmtId="0" fontId="32" fillId="12" borderId="12" xfId="22" applyFont="1" applyFill="1" applyBorder="1" applyAlignment="1">
      <alignment vertical="center"/>
    </xf>
    <xf numFmtId="0" fontId="24" fillId="12" borderId="12" xfId="22" applyFont="1" applyFill="1" applyBorder="1" applyAlignment="1">
      <alignment horizontal="left" vertical="center"/>
    </xf>
    <xf numFmtId="172" fontId="31" fillId="12" borderId="1" xfId="26" applyNumberFormat="1" applyFont="1" applyFill="1" applyBorder="1" applyAlignment="1">
      <alignment vertical="center"/>
    </xf>
    <xf numFmtId="172" fontId="0" fillId="0" borderId="0" xfId="25" applyNumberFormat="1" applyFont="1"/>
    <xf numFmtId="172" fontId="32" fillId="0" borderId="12" xfId="27" applyNumberFormat="1" applyFont="1" applyBorder="1" applyAlignment="1">
      <alignment vertical="center"/>
    </xf>
    <xf numFmtId="0" fontId="13" fillId="0" borderId="12" xfId="22" applyFont="1" applyBorder="1" applyAlignment="1">
      <alignment horizontal="left" vertical="center"/>
    </xf>
    <xf numFmtId="172" fontId="24" fillId="0" borderId="1" xfId="27" applyNumberFormat="1" applyFont="1" applyBorder="1" applyAlignment="1">
      <alignment vertical="center"/>
    </xf>
    <xf numFmtId="172" fontId="32" fillId="0" borderId="12" xfId="22" applyNumberFormat="1" applyFont="1" applyBorder="1" applyAlignment="1">
      <alignment vertical="center"/>
    </xf>
    <xf numFmtId="172" fontId="32" fillId="12" borderId="12" xfId="22" applyNumberFormat="1" applyFont="1" applyFill="1" applyBorder="1" applyAlignment="1">
      <alignment vertical="center"/>
    </xf>
    <xf numFmtId="172" fontId="24" fillId="0" borderId="1" xfId="22" applyNumberFormat="1" applyFont="1" applyBorder="1" applyAlignment="1">
      <alignment vertical="center"/>
    </xf>
    <xf numFmtId="0" fontId="32" fillId="0" borderId="12" xfId="22" applyFont="1" applyBorder="1" applyAlignment="1">
      <alignment vertical="center"/>
    </xf>
    <xf numFmtId="172" fontId="32" fillId="0" borderId="0" xfId="25" applyNumberFormat="1" applyFont="1" applyAlignment="1">
      <alignment vertical="center"/>
    </xf>
    <xf numFmtId="0" fontId="34" fillId="8" borderId="1" xfId="28" applyFont="1" applyFill="1" applyBorder="1" applyAlignment="1">
      <alignment horizontal="center" vertical="center"/>
    </xf>
    <xf numFmtId="43" fontId="24" fillId="17" borderId="1" xfId="25" applyFont="1" applyFill="1" applyBorder="1" applyAlignment="1">
      <alignment horizontal="center" vertical="center"/>
    </xf>
    <xf numFmtId="0" fontId="24" fillId="0" borderId="8" xfId="28" applyFont="1" applyBorder="1"/>
    <xf numFmtId="0" fontId="32" fillId="0" borderId="12" xfId="28" applyFont="1" applyBorder="1" applyAlignment="1">
      <alignment horizontal="center"/>
    </xf>
    <xf numFmtId="0" fontId="24" fillId="0" borderId="12" xfId="28" applyFont="1" applyBorder="1"/>
    <xf numFmtId="0" fontId="32" fillId="0" borderId="12" xfId="28" applyFont="1" applyBorder="1"/>
    <xf numFmtId="186" fontId="32" fillId="0" borderId="12" xfId="25" applyNumberFormat="1" applyFont="1" applyBorder="1" applyAlignment="1">
      <alignment horizontal="center"/>
    </xf>
    <xf numFmtId="0" fontId="24" fillId="0" borderId="1" xfId="28" applyFont="1" applyBorder="1"/>
    <xf numFmtId="186" fontId="24" fillId="0" borderId="1" xfId="28" applyNumberFormat="1" applyFont="1" applyBorder="1" applyAlignment="1">
      <alignment horizontal="center"/>
    </xf>
    <xf numFmtId="186" fontId="32" fillId="0" borderId="12" xfId="28" applyNumberFormat="1" applyFont="1" applyBorder="1" applyAlignment="1">
      <alignment horizontal="center"/>
    </xf>
    <xf numFmtId="0" fontId="24" fillId="0" borderId="19" xfId="28" applyFont="1" applyBorder="1"/>
    <xf numFmtId="186" fontId="32" fillId="0" borderId="8" xfId="28" applyNumberFormat="1" applyFont="1" applyBorder="1" applyAlignment="1">
      <alignment horizontal="center"/>
    </xf>
    <xf numFmtId="0" fontId="24" fillId="0" borderId="18" xfId="28" applyFont="1" applyBorder="1"/>
    <xf numFmtId="0" fontId="32" fillId="0" borderId="18" xfId="28" applyFont="1" applyBorder="1"/>
    <xf numFmtId="186" fontId="32" fillId="0" borderId="13" xfId="25" applyNumberFormat="1" applyFont="1" applyBorder="1" applyAlignment="1">
      <alignment horizontal="center"/>
    </xf>
    <xf numFmtId="0" fontId="24" fillId="0" borderId="11" xfId="28" applyFont="1" applyBorder="1"/>
    <xf numFmtId="0" fontId="32" fillId="0" borderId="13" xfId="28" applyFont="1" applyBorder="1"/>
    <xf numFmtId="166" fontId="24" fillId="0" borderId="0" xfId="0" applyFont="1" applyAlignment="1">
      <alignment vertical="center"/>
    </xf>
    <xf numFmtId="166" fontId="32" fillId="0" borderId="0" xfId="0" applyFont="1" applyAlignment="1">
      <alignment vertical="center"/>
    </xf>
    <xf numFmtId="166" fontId="32" fillId="12" borderId="18" xfId="0" applyFont="1" applyFill="1" applyBorder="1" applyAlignment="1">
      <alignment horizontal="left" vertical="center"/>
    </xf>
    <xf numFmtId="166" fontId="13" fillId="12" borderId="18" xfId="0" applyFont="1" applyFill="1" applyBorder="1" applyAlignment="1">
      <alignment horizontal="left" vertical="center"/>
    </xf>
    <xf numFmtId="166" fontId="32" fillId="0" borderId="18" xfId="0" applyFont="1" applyBorder="1" applyAlignment="1">
      <alignment vertical="center"/>
    </xf>
    <xf numFmtId="172" fontId="32" fillId="0" borderId="12" xfId="0" applyNumberFormat="1" applyFont="1" applyBorder="1" applyAlignment="1">
      <alignment vertical="center"/>
    </xf>
    <xf numFmtId="166" fontId="13" fillId="0" borderId="18" xfId="0" applyFont="1" applyBorder="1" applyAlignment="1">
      <alignment horizontal="left" vertical="center"/>
    </xf>
    <xf numFmtId="172" fontId="24" fillId="0" borderId="1" xfId="0" applyNumberFormat="1" applyFont="1" applyBorder="1" applyAlignment="1">
      <alignment vertical="center"/>
    </xf>
    <xf numFmtId="164" fontId="32" fillId="0" borderId="0" xfId="0" applyNumberFormat="1" applyFont="1" applyAlignment="1">
      <alignment vertical="center"/>
    </xf>
    <xf numFmtId="166" fontId="0" fillId="0" borderId="0" xfId="2" applyNumberFormat="1" applyFont="1"/>
    <xf numFmtId="43" fontId="23" fillId="11" borderId="1" xfId="1" applyFont="1" applyFill="1" applyBorder="1"/>
    <xf numFmtId="172" fontId="13" fillId="0" borderId="12" xfId="23" applyNumberFormat="1" applyFont="1" applyFill="1" applyBorder="1" applyAlignment="1">
      <alignment vertical="center"/>
    </xf>
    <xf numFmtId="166" fontId="12" fillId="4" borderId="16" xfId="5" applyFill="1" applyBorder="1"/>
    <xf numFmtId="43" fontId="0" fillId="0" borderId="0" xfId="0" applyNumberFormat="1"/>
    <xf numFmtId="9" fontId="9" fillId="5" borderId="1" xfId="2" applyFont="1" applyFill="1" applyBorder="1" applyAlignment="1">
      <alignment horizontal="centerContinuous" vertical="center" wrapText="1"/>
    </xf>
    <xf numFmtId="9" fontId="0" fillId="0" borderId="1" xfId="2" applyFont="1" applyBorder="1" applyAlignment="1"/>
    <xf numFmtId="1" fontId="9" fillId="5" borderId="13" xfId="7" applyBorder="1">
      <alignment horizontal="centerContinuous" vertical="center" wrapText="1"/>
    </xf>
    <xf numFmtId="0" fontId="35" fillId="0" borderId="0" xfId="12" applyFont="1" applyFill="1" applyBorder="1">
      <alignment horizontal="centerContinuous" vertical="center" wrapText="1"/>
    </xf>
    <xf numFmtId="10" fontId="37" fillId="10" borderId="2" xfId="29" applyNumberFormat="1" applyAlignment="1"/>
    <xf numFmtId="175" fontId="37" fillId="10" borderId="2" xfId="29" applyNumberFormat="1"/>
    <xf numFmtId="43" fontId="13" fillId="0" borderId="1" xfId="6" applyNumberFormat="1" applyAlignment="1"/>
    <xf numFmtId="166" fontId="0" fillId="0" borderId="21" xfId="0" applyBorder="1"/>
    <xf numFmtId="166" fontId="0" fillId="0" borderId="22" xfId="0" applyBorder="1"/>
    <xf numFmtId="166" fontId="0" fillId="0" borderId="13" xfId="0" applyBorder="1"/>
    <xf numFmtId="1" fontId="9" fillId="2" borderId="20" xfId="7" applyFill="1" applyBorder="1">
      <alignment horizontal="centerContinuous" vertical="center" wrapText="1"/>
    </xf>
    <xf numFmtId="9" fontId="9" fillId="2" borderId="20" xfId="2" applyFont="1" applyFill="1" applyBorder="1" applyAlignment="1">
      <alignment horizontal="centerContinuous" vertical="center" wrapText="1"/>
    </xf>
    <xf numFmtId="9" fontId="0" fillId="0" borderId="21" xfId="2" applyFont="1" applyBorder="1" applyAlignment="1"/>
    <xf numFmtId="1" fontId="9" fillId="18" borderId="23" xfId="7" applyFill="1" applyBorder="1">
      <alignment horizontal="centerContinuous" vertical="center" wrapText="1"/>
    </xf>
    <xf numFmtId="9" fontId="9" fillId="18" borderId="23" xfId="2" applyFont="1" applyFill="1" applyBorder="1" applyAlignment="1">
      <alignment horizontal="centerContinuous" vertical="center" wrapText="1"/>
    </xf>
    <xf numFmtId="1" fontId="9" fillId="2" borderId="23" xfId="7" applyFill="1" applyBorder="1">
      <alignment horizontal="centerContinuous" vertical="center" wrapText="1"/>
    </xf>
    <xf numFmtId="9" fontId="9" fillId="2" borderId="23" xfId="2" applyFont="1" applyFill="1" applyBorder="1" applyAlignment="1">
      <alignment horizontal="centerContinuous" vertical="center" wrapText="1"/>
    </xf>
    <xf numFmtId="166" fontId="0" fillId="19" borderId="0" xfId="0" applyFill="1"/>
    <xf numFmtId="166" fontId="0" fillId="20" borderId="0" xfId="0" applyFill="1"/>
    <xf numFmtId="166" fontId="0" fillId="21" borderId="0" xfId="0" applyFill="1"/>
    <xf numFmtId="170" fontId="0" fillId="0" borderId="21" xfId="2" applyNumberFormat="1" applyFont="1" applyBorder="1" applyAlignment="1"/>
    <xf numFmtId="170" fontId="0" fillId="0" borderId="1" xfId="2" applyNumberFormat="1" applyFont="1" applyBorder="1" applyAlignment="1"/>
    <xf numFmtId="1" fontId="9" fillId="5" borderId="13" xfId="7" applyBorder="1" applyAlignment="1">
      <alignment horizontal="center" vertical="center" wrapText="1"/>
    </xf>
    <xf numFmtId="166" fontId="0" fillId="21" borderId="21" xfId="0" applyFill="1" applyBorder="1"/>
    <xf numFmtId="170" fontId="0" fillId="15" borderId="1" xfId="2" applyNumberFormat="1" applyFont="1" applyFill="1" applyBorder="1" applyAlignment="1"/>
    <xf numFmtId="166" fontId="0" fillId="15" borderId="1" xfId="0" applyFill="1" applyBorder="1"/>
    <xf numFmtId="187" fontId="8" fillId="6" borderId="2" xfId="3" applyNumberFormat="1"/>
    <xf numFmtId="166" fontId="12" fillId="4" borderId="3" xfId="5" applyFill="1" applyAlignment="1"/>
    <xf numFmtId="9" fontId="13" fillId="0" borderId="1" xfId="2" applyFont="1" applyBorder="1" applyAlignment="1"/>
    <xf numFmtId="9" fontId="13" fillId="0" borderId="1" xfId="2" applyFont="1" applyFill="1" applyBorder="1" applyAlignment="1"/>
    <xf numFmtId="49" fontId="6" fillId="0" borderId="17" xfId="0" applyNumberFormat="1" applyFont="1" applyBorder="1" applyAlignment="1">
      <alignment wrapText="1"/>
    </xf>
    <xf numFmtId="9" fontId="6" fillId="0" borderId="6" xfId="2" applyFont="1" applyBorder="1" applyAlignment="1">
      <alignment horizontal="left"/>
    </xf>
    <xf numFmtId="169" fontId="13" fillId="0" borderId="1" xfId="6" applyNumberFormat="1" applyAlignment="1"/>
    <xf numFmtId="166" fontId="15" fillId="0" borderId="5" xfId="9" applyNumberFormat="1" applyAlignment="1"/>
    <xf numFmtId="0" fontId="5" fillId="0" borderId="0" xfId="28"/>
    <xf numFmtId="170" fontId="0" fillId="22" borderId="1" xfId="2" applyNumberFormat="1" applyFont="1" applyFill="1" applyBorder="1" applyAlignment="1"/>
    <xf numFmtId="166" fontId="0" fillId="22" borderId="1" xfId="0" applyFill="1" applyBorder="1"/>
    <xf numFmtId="166" fontId="0" fillId="22" borderId="21" xfId="0" applyFill="1" applyBorder="1"/>
    <xf numFmtId="9" fontId="0" fillId="0" borderId="0" xfId="2" applyFont="1" applyAlignment="1">
      <alignment horizontal="left"/>
    </xf>
    <xf numFmtId="170" fontId="0" fillId="0" borderId="0" xfId="2" applyNumberFormat="1" applyFont="1" applyAlignment="1"/>
    <xf numFmtId="170" fontId="0" fillId="13" borderId="1" xfId="2" applyNumberFormat="1" applyFont="1" applyFill="1" applyBorder="1" applyAlignment="1"/>
    <xf numFmtId="166" fontId="0" fillId="23" borderId="21" xfId="0" applyFill="1" applyBorder="1"/>
    <xf numFmtId="166" fontId="0" fillId="23" borderId="1" xfId="0" applyFill="1" applyBorder="1"/>
    <xf numFmtId="9" fontId="9" fillId="2" borderId="0" xfId="2" applyFont="1" applyFill="1" applyBorder="1" applyAlignment="1">
      <alignment horizontal="centerContinuous" vertical="center" wrapText="1"/>
    </xf>
    <xf numFmtId="1" fontId="9" fillId="24" borderId="20" xfId="7" applyFill="1" applyBorder="1">
      <alignment horizontal="centerContinuous" vertical="center" wrapText="1"/>
    </xf>
    <xf numFmtId="9" fontId="9" fillId="24" borderId="20" xfId="2" applyFont="1" applyFill="1" applyBorder="1" applyAlignment="1">
      <alignment horizontal="centerContinuous" vertical="center" wrapText="1"/>
    </xf>
    <xf numFmtId="43" fontId="0" fillId="0" borderId="21" xfId="0" applyNumberFormat="1" applyBorder="1"/>
    <xf numFmtId="166" fontId="0" fillId="24" borderId="0" xfId="0" applyFill="1"/>
    <xf numFmtId="188" fontId="0" fillId="0" borderId="21" xfId="0" applyNumberFormat="1" applyBorder="1"/>
    <xf numFmtId="186" fontId="0" fillId="0" borderId="21" xfId="0" applyNumberFormat="1" applyBorder="1"/>
    <xf numFmtId="188" fontId="0" fillId="25" borderId="21" xfId="0" applyNumberFormat="1" applyFill="1" applyBorder="1"/>
    <xf numFmtId="166" fontId="0" fillId="12" borderId="21" xfId="0" applyFill="1" applyBorder="1"/>
    <xf numFmtId="166" fontId="0" fillId="12" borderId="1" xfId="0" applyFill="1" applyBorder="1"/>
    <xf numFmtId="166" fontId="0" fillId="22" borderId="0" xfId="0" applyFill="1"/>
    <xf numFmtId="166" fontId="0" fillId="26" borderId="0" xfId="0" applyFill="1"/>
    <xf numFmtId="9" fontId="25" fillId="0" borderId="0" xfId="2" applyFont="1"/>
    <xf numFmtId="166" fontId="0" fillId="13" borderId="0" xfId="0" applyFill="1"/>
    <xf numFmtId="166" fontId="15" fillId="0" borderId="5" xfId="9" applyNumberFormat="1"/>
    <xf numFmtId="166" fontId="0" fillId="0" borderId="1" xfId="0" applyBorder="1" applyAlignment="1">
      <alignment horizontal="left" indent="1"/>
    </xf>
    <xf numFmtId="167" fontId="0" fillId="0" borderId="1" xfId="0" applyNumberFormat="1" applyBorder="1"/>
    <xf numFmtId="167" fontId="0" fillId="0" borderId="21" xfId="0" applyNumberFormat="1" applyBorder="1"/>
    <xf numFmtId="43" fontId="0" fillId="0" borderId="1" xfId="1" applyFont="1" applyBorder="1" applyAlignment="1"/>
    <xf numFmtId="9" fontId="8" fillId="6" borderId="1" xfId="2" applyFont="1" applyFill="1" applyBorder="1" applyAlignment="1"/>
    <xf numFmtId="166" fontId="0" fillId="0" borderId="1" xfId="0" applyBorder="1" applyAlignment="1">
      <alignment horizontal="center" vertical="center" wrapText="1"/>
    </xf>
    <xf numFmtId="169" fontId="0" fillId="0" borderId="1" xfId="0" applyNumberFormat="1" applyBorder="1"/>
    <xf numFmtId="177" fontId="13" fillId="0" borderId="1" xfId="6" applyNumberFormat="1"/>
    <xf numFmtId="1" fontId="9" fillId="5" borderId="8" xfId="7" applyBorder="1">
      <alignment horizontal="centerContinuous" vertical="center" wrapText="1"/>
    </xf>
    <xf numFmtId="9" fontId="0" fillId="0" borderId="1" xfId="2" applyFont="1" applyFill="1" applyBorder="1" applyAlignment="1"/>
    <xf numFmtId="167" fontId="38" fillId="27" borderId="0" xfId="30" applyNumberFormat="1" applyAlignment="1"/>
    <xf numFmtId="167" fontId="39" fillId="28" borderId="0" xfId="31" applyNumberFormat="1" applyAlignment="1"/>
    <xf numFmtId="9" fontId="13" fillId="0" borderId="1" xfId="2" applyFont="1" applyBorder="1" applyAlignment="1">
      <alignment horizontal="right"/>
    </xf>
    <xf numFmtId="9" fontId="13" fillId="0" borderId="1" xfId="2" applyFont="1" applyFill="1" applyBorder="1" applyAlignment="1">
      <alignment horizontal="right"/>
    </xf>
    <xf numFmtId="168" fontId="23" fillId="0" borderId="1" xfId="18" applyFill="1"/>
    <xf numFmtId="166" fontId="0" fillId="23" borderId="0" xfId="0" applyFill="1"/>
    <xf numFmtId="167" fontId="39" fillId="29" borderId="0" xfId="31" applyNumberFormat="1" applyFill="1" applyAlignment="1"/>
    <xf numFmtId="166" fontId="0" fillId="0" borderId="19" xfId="0" applyBorder="1"/>
    <xf numFmtId="166" fontId="0" fillId="0" borderId="6" xfId="0" applyBorder="1"/>
    <xf numFmtId="166" fontId="0" fillId="0" borderId="24" xfId="0" applyBorder="1"/>
    <xf numFmtId="166" fontId="0" fillId="0" borderId="18" xfId="0" applyBorder="1"/>
    <xf numFmtId="166" fontId="0" fillId="0" borderId="25" xfId="0" applyBorder="1"/>
    <xf numFmtId="166" fontId="0" fillId="0" borderId="26" xfId="0" applyBorder="1"/>
    <xf numFmtId="9" fontId="0" fillId="0" borderId="6" xfId="2" applyFont="1" applyBorder="1"/>
    <xf numFmtId="9" fontId="0" fillId="0" borderId="0" xfId="2" applyFont="1" applyBorder="1"/>
    <xf numFmtId="9" fontId="0" fillId="0" borderId="17" xfId="2" applyFont="1" applyBorder="1"/>
    <xf numFmtId="9" fontId="0" fillId="0" borderId="0" xfId="2" applyFont="1" applyFill="1" applyBorder="1"/>
    <xf numFmtId="10" fontId="0" fillId="0" borderId="0" xfId="2" applyNumberFormat="1" applyFont="1"/>
    <xf numFmtId="173" fontId="8" fillId="6" borderId="0" xfId="3" applyBorder="1"/>
    <xf numFmtId="43" fontId="12" fillId="4" borderId="3" xfId="1" applyFont="1" applyFill="1" applyBorder="1"/>
    <xf numFmtId="188" fontId="0" fillId="0" borderId="0" xfId="1" applyNumberFormat="1" applyFont="1" applyAlignment="1"/>
    <xf numFmtId="172" fontId="24" fillId="30" borderId="1" xfId="1" applyNumberFormat="1" applyFont="1" applyFill="1" applyBorder="1" applyAlignment="1">
      <alignment horizontal="center" vertical="center"/>
    </xf>
    <xf numFmtId="166" fontId="6" fillId="0" borderId="1" xfId="0" applyFont="1" applyBorder="1"/>
    <xf numFmtId="166" fontId="6" fillId="0" borderId="8" xfId="0" applyFont="1" applyBorder="1"/>
    <xf numFmtId="166" fontId="6" fillId="0" borderId="11" xfId="0" applyFont="1" applyBorder="1"/>
    <xf numFmtId="166" fontId="6" fillId="0" borderId="27" xfId="0" applyFont="1" applyBorder="1"/>
    <xf numFmtId="166" fontId="6" fillId="0" borderId="21" xfId="0" applyFont="1" applyBorder="1"/>
    <xf numFmtId="168" fontId="23" fillId="11" borderId="13" xfId="18" applyBorder="1"/>
    <xf numFmtId="166" fontId="0" fillId="0" borderId="12" xfId="0" applyBorder="1" applyAlignment="1">
      <alignment horizontal="left" indent="1"/>
    </xf>
    <xf numFmtId="43" fontId="8" fillId="6" borderId="2" xfId="2" applyNumberFormat="1" applyFont="1" applyFill="1" applyBorder="1"/>
    <xf numFmtId="166" fontId="6" fillId="0" borderId="0" xfId="13" applyBorder="1">
      <alignment horizontal="left"/>
    </xf>
    <xf numFmtId="170" fontId="0" fillId="0" borderId="1" xfId="2" applyNumberFormat="1" applyFont="1" applyFill="1" applyBorder="1" applyAlignment="1"/>
    <xf numFmtId="1" fontId="9" fillId="31" borderId="23" xfId="7" applyFill="1" applyBorder="1">
      <alignment horizontal="centerContinuous" vertical="center" wrapText="1"/>
    </xf>
    <xf numFmtId="170" fontId="0" fillId="32" borderId="1" xfId="2" applyNumberFormat="1" applyFont="1" applyFill="1" applyBorder="1" applyAlignment="1"/>
    <xf numFmtId="166" fontId="0" fillId="32" borderId="1" xfId="0" applyFill="1" applyBorder="1"/>
    <xf numFmtId="166" fontId="21" fillId="4" borderId="10" xfId="17" applyNumberFormat="1" applyFill="1" applyAlignment="1"/>
    <xf numFmtId="167" fontId="6" fillId="0" borderId="0" xfId="0" applyNumberFormat="1" applyFont="1"/>
    <xf numFmtId="43" fontId="6" fillId="0" borderId="0" xfId="1" applyFont="1" applyFill="1" applyAlignment="1"/>
    <xf numFmtId="167" fontId="6" fillId="0" borderId="1" xfId="0" applyNumberFormat="1" applyFont="1" applyBorder="1"/>
    <xf numFmtId="186" fontId="0" fillId="0" borderId="0" xfId="1" applyNumberFormat="1" applyFont="1" applyAlignment="1"/>
    <xf numFmtId="167" fontId="6" fillId="0" borderId="0" xfId="0" applyNumberFormat="1" applyFont="1" applyAlignment="1">
      <alignment wrapText="1"/>
    </xf>
    <xf numFmtId="167" fontId="0" fillId="0" borderId="0" xfId="0" applyNumberFormat="1" applyAlignment="1">
      <alignment wrapText="1"/>
    </xf>
    <xf numFmtId="9" fontId="0" fillId="0" borderId="0" xfId="0" applyNumberFormat="1"/>
    <xf numFmtId="166" fontId="0" fillId="0" borderId="0" xfId="0" applyAlignment="1">
      <alignment vertical="center"/>
    </xf>
    <xf numFmtId="167" fontId="0" fillId="0" borderId="0" xfId="0" applyNumberFormat="1" applyAlignment="1">
      <alignment vertical="center"/>
    </xf>
    <xf numFmtId="166" fontId="0" fillId="0" borderId="28" xfId="0" applyBorder="1" applyAlignment="1">
      <alignment vertical="center"/>
    </xf>
    <xf numFmtId="166" fontId="0" fillId="19" borderId="0" xfId="0" applyFill="1" applyAlignment="1">
      <alignment vertical="center"/>
    </xf>
    <xf numFmtId="167" fontId="0" fillId="19" borderId="0" xfId="0" applyNumberFormat="1" applyFill="1" applyAlignment="1">
      <alignment vertical="center"/>
    </xf>
    <xf numFmtId="166" fontId="0" fillId="0" borderId="28" xfId="0" applyBorder="1"/>
    <xf numFmtId="168" fontId="10" fillId="2" borderId="0" xfId="4" applyNumberFormat="1" applyAlignment="1">
      <alignment vertical="center"/>
    </xf>
    <xf numFmtId="0" fontId="10" fillId="2" borderId="0" xfId="4" applyAlignment="1">
      <alignment vertical="center"/>
    </xf>
    <xf numFmtId="166" fontId="11" fillId="0" borderId="0" xfId="0" applyFont="1" applyAlignment="1">
      <alignment vertical="center"/>
    </xf>
    <xf numFmtId="166" fontId="12" fillId="4" borderId="3" xfId="5" applyFill="1" applyAlignment="1">
      <alignment vertical="center"/>
    </xf>
    <xf numFmtId="15" fontId="0" fillId="0" borderId="0" xfId="0" applyNumberFormat="1" applyAlignment="1">
      <alignment vertical="center"/>
    </xf>
    <xf numFmtId="0" fontId="0" fillId="0" borderId="0" xfId="0" applyNumberFormat="1" applyAlignment="1">
      <alignment vertical="center"/>
    </xf>
    <xf numFmtId="15" fontId="8" fillId="6" borderId="2" xfId="3" applyNumberFormat="1" applyAlignment="1">
      <alignment vertical="center"/>
    </xf>
    <xf numFmtId="166" fontId="14" fillId="7" borderId="4" xfId="8" applyAlignment="1">
      <alignment vertical="center"/>
    </xf>
    <xf numFmtId="166" fontId="14" fillId="0" borderId="4" xfId="8" applyFill="1" applyAlignment="1">
      <alignment vertical="center"/>
    </xf>
    <xf numFmtId="167" fontId="0" fillId="3" borderId="0" xfId="0" applyNumberFormat="1" applyFill="1" applyAlignment="1">
      <alignment vertical="center"/>
    </xf>
    <xf numFmtId="9" fontId="0" fillId="3" borderId="0" xfId="2" applyFont="1" applyFill="1" applyAlignment="1">
      <alignment vertical="center"/>
    </xf>
    <xf numFmtId="167" fontId="0" fillId="4" borderId="0" xfId="0" applyNumberFormat="1" applyFill="1" applyAlignment="1">
      <alignment vertical="center"/>
    </xf>
    <xf numFmtId="0" fontId="11" fillId="0" borderId="0" xfId="10" applyAlignment="1">
      <alignment vertical="center"/>
    </xf>
    <xf numFmtId="41" fontId="13" fillId="0" borderId="1" xfId="6" applyAlignment="1">
      <alignment vertical="center"/>
    </xf>
    <xf numFmtId="180" fontId="8" fillId="6" borderId="2" xfId="3" applyNumberFormat="1" applyAlignment="1">
      <alignment vertical="center"/>
    </xf>
    <xf numFmtId="166" fontId="0" fillId="0" borderId="0" xfId="0" applyAlignment="1">
      <alignment vertical="center" wrapText="1"/>
    </xf>
    <xf numFmtId="0" fontId="15" fillId="0" borderId="5" xfId="9" applyAlignment="1">
      <alignment vertical="center"/>
    </xf>
    <xf numFmtId="169" fontId="21" fillId="10" borderId="10" xfId="17" applyNumberFormat="1" applyAlignment="1">
      <alignment vertical="center"/>
    </xf>
    <xf numFmtId="169" fontId="0" fillId="0" borderId="0" xfId="0" applyNumberFormat="1" applyAlignment="1">
      <alignment vertical="center"/>
    </xf>
    <xf numFmtId="166" fontId="6" fillId="0" borderId="6" xfId="13" applyAlignment="1">
      <alignment horizontal="left" vertical="center"/>
    </xf>
    <xf numFmtId="169" fontId="21" fillId="10" borderId="10" xfId="17" applyNumberFormat="1" applyAlignment="1">
      <alignment horizontal="left" vertical="center"/>
    </xf>
    <xf numFmtId="169" fontId="6" fillId="0" borderId="6" xfId="13" applyNumberFormat="1" applyAlignment="1">
      <alignment horizontal="left" vertical="center"/>
    </xf>
    <xf numFmtId="43" fontId="0" fillId="0" borderId="0" xfId="1" applyFont="1" applyAlignment="1">
      <alignment vertical="center"/>
    </xf>
    <xf numFmtId="166" fontId="26" fillId="0" borderId="0" xfId="0" applyFont="1" applyAlignment="1">
      <alignment vertical="center"/>
    </xf>
    <xf numFmtId="166" fontId="25" fillId="0" borderId="0" xfId="0" applyFont="1" applyAlignment="1">
      <alignment vertical="center"/>
    </xf>
    <xf numFmtId="9" fontId="26" fillId="0" borderId="0" xfId="2" applyFont="1" applyFill="1" applyAlignment="1">
      <alignment vertical="center"/>
    </xf>
    <xf numFmtId="9" fontId="26" fillId="0" borderId="0" xfId="2" applyFont="1" applyAlignment="1">
      <alignment vertical="center"/>
    </xf>
    <xf numFmtId="43" fontId="0" fillId="0" borderId="0" xfId="1" applyFont="1" applyFill="1" applyAlignment="1">
      <alignment vertical="center"/>
    </xf>
    <xf numFmtId="43" fontId="23" fillId="11" borderId="1" xfId="1" applyFont="1" applyFill="1" applyBorder="1" applyAlignment="1">
      <alignment vertical="center"/>
    </xf>
    <xf numFmtId="166" fontId="0" fillId="0" borderId="0" xfId="2" applyNumberFormat="1" applyFont="1" applyAlignment="1">
      <alignment vertical="center"/>
    </xf>
    <xf numFmtId="166" fontId="12" fillId="3" borderId="3" xfId="5" applyAlignment="1">
      <alignment vertical="center"/>
    </xf>
    <xf numFmtId="168" fontId="23" fillId="11" borderId="1" xfId="18" applyAlignment="1">
      <alignment vertical="center"/>
    </xf>
    <xf numFmtId="173" fontId="8" fillId="6" borderId="2" xfId="3" applyAlignment="1">
      <alignment vertical="center"/>
    </xf>
    <xf numFmtId="9" fontId="0" fillId="0" borderId="0" xfId="2" applyFont="1" applyAlignment="1">
      <alignment vertical="center"/>
    </xf>
    <xf numFmtId="174" fontId="13" fillId="0" borderId="1" xfId="1" applyNumberFormat="1" applyFont="1" applyBorder="1" applyAlignment="1">
      <alignment vertical="center"/>
    </xf>
    <xf numFmtId="179" fontId="0" fillId="0" borderId="0" xfId="0" applyNumberFormat="1" applyAlignment="1">
      <alignment vertical="center"/>
    </xf>
    <xf numFmtId="165" fontId="0" fillId="0" borderId="0" xfId="0" applyNumberFormat="1"/>
    <xf numFmtId="166" fontId="6" fillId="0" borderId="28" xfId="13" applyBorder="1">
      <alignment horizontal="left"/>
    </xf>
    <xf numFmtId="167" fontId="0" fillId="0" borderId="29" xfId="0" applyNumberFormat="1" applyBorder="1" applyAlignment="1">
      <alignment vertical="center"/>
    </xf>
    <xf numFmtId="9" fontId="0" fillId="0" borderId="0" xfId="0" applyNumberFormat="1" applyAlignment="1">
      <alignment vertical="center"/>
    </xf>
    <xf numFmtId="1" fontId="45" fillId="5" borderId="1" xfId="7" applyFont="1" applyAlignment="1">
      <alignment horizontal="right" vertical="center" wrapText="1"/>
    </xf>
    <xf numFmtId="166" fontId="43" fillId="0" borderId="0" xfId="0" applyFont="1" applyAlignment="1">
      <alignment horizontal="right" vertical="center"/>
    </xf>
    <xf numFmtId="166" fontId="43" fillId="0" borderId="0" xfId="0" applyFont="1" applyAlignment="1">
      <alignment vertical="center"/>
    </xf>
    <xf numFmtId="0" fontId="44" fillId="0" borderId="5" xfId="9" applyFont="1" applyAlignment="1">
      <alignment vertical="center"/>
    </xf>
    <xf numFmtId="166" fontId="43" fillId="0" borderId="0" xfId="0" applyFont="1" applyAlignment="1">
      <alignment vertical="center" wrapText="1"/>
    </xf>
    <xf numFmtId="166" fontId="46" fillId="0" borderId="0" xfId="0" applyFont="1" applyAlignment="1">
      <alignment vertical="center" wrapText="1"/>
    </xf>
    <xf numFmtId="0" fontId="47" fillId="0" borderId="5" xfId="9" applyFont="1" applyAlignment="1">
      <alignment horizontal="right" vertical="center"/>
    </xf>
    <xf numFmtId="166" fontId="48" fillId="33" borderId="0" xfId="0" applyFont="1" applyFill="1" applyAlignment="1">
      <alignment horizontal="center"/>
    </xf>
    <xf numFmtId="166" fontId="0" fillId="0" borderId="0" xfId="0" applyAlignment="1">
      <alignment horizontal="right" vertical="center"/>
    </xf>
    <xf numFmtId="166" fontId="51" fillId="34" borderId="30" xfId="0" applyFont="1" applyFill="1" applyBorder="1" applyAlignment="1">
      <alignment horizontal="center" vertical="center"/>
    </xf>
    <xf numFmtId="166" fontId="50" fillId="3" borderId="30" xfId="0" applyFont="1" applyFill="1" applyBorder="1" applyAlignment="1">
      <alignment horizontal="center" vertical="center"/>
    </xf>
    <xf numFmtId="1" fontId="50" fillId="0" borderId="31" xfId="0" applyNumberFormat="1" applyFont="1" applyBorder="1" applyAlignment="1">
      <alignment horizontal="left" vertical="center"/>
    </xf>
    <xf numFmtId="166" fontId="50" fillId="0" borderId="31" xfId="0" applyFont="1" applyBorder="1" applyAlignment="1">
      <alignment horizontal="left" vertical="center" wrapText="1"/>
    </xf>
    <xf numFmtId="166" fontId="49" fillId="0" borderId="31" xfId="0" applyFont="1" applyBorder="1" applyAlignment="1">
      <alignment horizontal="left" vertical="center" wrapText="1"/>
    </xf>
    <xf numFmtId="166" fontId="50" fillId="0" borderId="31" xfId="0" applyFont="1" applyBorder="1" applyAlignment="1">
      <alignment horizontal="left" vertical="center"/>
    </xf>
    <xf numFmtId="166" fontId="51" fillId="12" borderId="0" xfId="0" applyFont="1" applyFill="1" applyAlignment="1">
      <alignment vertical="center"/>
    </xf>
    <xf numFmtId="167" fontId="0" fillId="0" borderId="0" xfId="0" applyNumberFormat="1" applyAlignment="1">
      <alignment horizontal="right" vertical="center"/>
    </xf>
    <xf numFmtId="166" fontId="0" fillId="0" borderId="30" xfId="0" applyBorder="1" applyAlignment="1">
      <alignment vertical="center"/>
    </xf>
    <xf numFmtId="167" fontId="0" fillId="0" borderId="30" xfId="0" applyNumberFormat="1" applyBorder="1" applyAlignment="1">
      <alignment horizontal="right" vertical="center"/>
    </xf>
    <xf numFmtId="166" fontId="52" fillId="0" borderId="0" xfId="0" applyFont="1" applyAlignment="1">
      <alignment vertical="center"/>
    </xf>
    <xf numFmtId="166" fontId="52" fillId="0" borderId="0" xfId="0" applyFont="1" applyAlignment="1">
      <alignment horizontal="left" vertical="center"/>
    </xf>
    <xf numFmtId="166" fontId="52" fillId="0" borderId="0" xfId="0" applyFont="1" applyAlignment="1">
      <alignment horizontal="left" vertical="center" wrapText="1"/>
    </xf>
    <xf numFmtId="166" fontId="52" fillId="0" borderId="0" xfId="0" applyFont="1" applyAlignment="1">
      <alignment horizontal="center" vertical="center"/>
    </xf>
    <xf numFmtId="166" fontId="54" fillId="12" borderId="0" xfId="0" applyFont="1" applyFill="1" applyAlignment="1">
      <alignment vertical="center"/>
    </xf>
    <xf numFmtId="166" fontId="53" fillId="0" borderId="0" xfId="0" applyFont="1" applyAlignment="1">
      <alignment vertical="center"/>
    </xf>
    <xf numFmtId="166" fontId="55" fillId="35" borderId="31" xfId="0" applyFont="1" applyFill="1" applyBorder="1" applyAlignment="1">
      <alignment horizontal="center" vertical="center"/>
    </xf>
    <xf numFmtId="166" fontId="55" fillId="37" borderId="31" xfId="0" applyFont="1" applyFill="1" applyBorder="1" applyAlignment="1">
      <alignment horizontal="center" vertical="center"/>
    </xf>
    <xf numFmtId="166" fontId="52" fillId="19" borderId="31" xfId="0" applyFont="1" applyFill="1" applyBorder="1" applyAlignment="1">
      <alignment horizontal="center" vertical="center"/>
    </xf>
    <xf numFmtId="166" fontId="52" fillId="15" borderId="31" xfId="0" applyFont="1" applyFill="1" applyBorder="1" applyAlignment="1">
      <alignment horizontal="center" vertical="center"/>
    </xf>
    <xf numFmtId="166" fontId="55" fillId="39" borderId="31" xfId="0" applyFont="1" applyFill="1" applyBorder="1" applyAlignment="1">
      <alignment horizontal="center" vertical="center"/>
    </xf>
    <xf numFmtId="166" fontId="53" fillId="15" borderId="0" xfId="0" applyFont="1" applyFill="1" applyAlignment="1">
      <alignment vertical="center"/>
    </xf>
    <xf numFmtId="166" fontId="52" fillId="15" borderId="0" xfId="0" applyFont="1" applyFill="1" applyAlignment="1">
      <alignment vertical="center"/>
    </xf>
    <xf numFmtId="166" fontId="53" fillId="15" borderId="0" xfId="0" applyFont="1" applyFill="1" applyAlignment="1">
      <alignment vertical="center" wrapText="1"/>
    </xf>
    <xf numFmtId="166" fontId="52" fillId="32" borderId="31" xfId="0" applyFont="1" applyFill="1" applyBorder="1" applyAlignment="1">
      <alignment horizontal="center" vertical="center"/>
    </xf>
    <xf numFmtId="166" fontId="52" fillId="13" borderId="31" xfId="0" applyFont="1" applyFill="1" applyBorder="1" applyAlignment="1">
      <alignment horizontal="center" vertical="center"/>
    </xf>
    <xf numFmtId="166" fontId="55" fillId="36" borderId="31" xfId="0" applyFont="1" applyFill="1" applyBorder="1" applyAlignment="1">
      <alignment horizontal="center" vertical="center"/>
    </xf>
    <xf numFmtId="166" fontId="52" fillId="38" borderId="31" xfId="0" applyFont="1" applyFill="1" applyBorder="1" applyAlignment="1">
      <alignment horizontal="center" vertical="center"/>
    </xf>
    <xf numFmtId="166" fontId="52" fillId="0" borderId="31" xfId="0" applyFont="1" applyBorder="1" applyAlignment="1">
      <alignment horizontal="center" vertical="center"/>
    </xf>
    <xf numFmtId="166" fontId="54" fillId="12" borderId="31" xfId="0" applyFont="1" applyFill="1" applyBorder="1" applyAlignment="1">
      <alignment vertical="center"/>
    </xf>
    <xf numFmtId="166" fontId="55" fillId="18" borderId="31" xfId="0" applyFont="1" applyFill="1" applyBorder="1" applyAlignment="1">
      <alignment horizontal="center" vertical="center" wrapText="1"/>
    </xf>
    <xf numFmtId="9" fontId="0" fillId="0" borderId="0" xfId="0" applyNumberFormat="1" applyAlignment="1">
      <alignment horizontal="right" vertical="center"/>
    </xf>
    <xf numFmtId="166" fontId="0" fillId="0" borderId="0" xfId="0" applyAlignment="1">
      <alignment horizontal="center" vertical="center"/>
    </xf>
    <xf numFmtId="167" fontId="14" fillId="7" borderId="4" xfId="8" applyNumberFormat="1"/>
    <xf numFmtId="189" fontId="8" fillId="6" borderId="2" xfId="3" applyNumberFormat="1"/>
    <xf numFmtId="9" fontId="13" fillId="0" borderId="1" xfId="6" applyNumberFormat="1" applyAlignment="1">
      <alignment vertical="center"/>
    </xf>
    <xf numFmtId="1" fontId="17" fillId="8" borderId="1" xfId="12" applyNumberFormat="1">
      <alignment horizontal="centerContinuous" vertical="center" wrapText="1"/>
    </xf>
    <xf numFmtId="166" fontId="4" fillId="0" borderId="0" xfId="0" applyFont="1"/>
    <xf numFmtId="186" fontId="0" fillId="0" borderId="1" xfId="1" applyNumberFormat="1" applyFont="1" applyFill="1" applyBorder="1" applyAlignment="1"/>
    <xf numFmtId="174" fontId="13" fillId="0" borderId="1" xfId="1" applyNumberFormat="1" applyFont="1" applyFill="1" applyBorder="1"/>
    <xf numFmtId="167" fontId="0" fillId="3" borderId="1" xfId="0" applyNumberFormat="1" applyFill="1" applyBorder="1"/>
    <xf numFmtId="166" fontId="6" fillId="41" borderId="0" xfId="0" applyFont="1" applyFill="1"/>
    <xf numFmtId="166" fontId="0" fillId="41" borderId="0" xfId="0" applyFill="1"/>
    <xf numFmtId="167" fontId="6" fillId="15" borderId="0" xfId="0" applyNumberFormat="1" applyFont="1" applyFill="1"/>
    <xf numFmtId="9" fontId="0" fillId="15" borderId="1" xfId="2" applyFont="1" applyFill="1" applyBorder="1" applyAlignment="1"/>
    <xf numFmtId="167" fontId="0" fillId="15" borderId="1" xfId="0" applyNumberFormat="1" applyFill="1" applyBorder="1"/>
    <xf numFmtId="167" fontId="0" fillId="4" borderId="1" xfId="0" applyNumberFormat="1" applyFill="1" applyBorder="1"/>
    <xf numFmtId="188" fontId="56" fillId="0" borderId="0" xfId="0" applyNumberFormat="1" applyFont="1"/>
    <xf numFmtId="188" fontId="57" fillId="42" borderId="0" xfId="0" applyNumberFormat="1" applyFont="1" applyFill="1"/>
    <xf numFmtId="186" fontId="0" fillId="0" borderId="0" xfId="1" applyNumberFormat="1" applyFont="1"/>
    <xf numFmtId="166" fontId="4" fillId="3" borderId="0" xfId="0" applyFont="1" applyFill="1"/>
    <xf numFmtId="166" fontId="4" fillId="19" borderId="0" xfId="0" applyFont="1" applyFill="1"/>
    <xf numFmtId="166" fontId="4" fillId="20" borderId="0" xfId="0" applyFont="1" applyFill="1"/>
    <xf numFmtId="166" fontId="4" fillId="21" borderId="0" xfId="0" applyFont="1" applyFill="1"/>
    <xf numFmtId="43" fontId="4" fillId="0" borderId="0" xfId="1" applyFont="1" applyAlignment="1"/>
    <xf numFmtId="185" fontId="4" fillId="0" borderId="0" xfId="1" applyNumberFormat="1" applyFont="1" applyAlignment="1"/>
    <xf numFmtId="166" fontId="4" fillId="0" borderId="13" xfId="0" applyFont="1" applyBorder="1" applyAlignment="1">
      <alignment horizontal="left" indent="1"/>
    </xf>
    <xf numFmtId="166" fontId="4" fillId="0" borderId="13" xfId="0" applyFont="1" applyBorder="1"/>
    <xf numFmtId="166" fontId="4" fillId="0" borderId="1" xfId="0" applyFont="1" applyBorder="1" applyAlignment="1">
      <alignment horizontal="left" indent="1"/>
    </xf>
    <xf numFmtId="166" fontId="4" fillId="0" borderId="1" xfId="0" applyFont="1" applyBorder="1"/>
    <xf numFmtId="166" fontId="4" fillId="0" borderId="0" xfId="0" applyFont="1" applyAlignment="1">
      <alignment horizontal="left" indent="1"/>
    </xf>
    <xf numFmtId="166" fontId="6" fillId="0" borderId="28" xfId="0" applyFont="1" applyBorder="1" applyAlignment="1">
      <alignment vertical="center"/>
    </xf>
    <xf numFmtId="167" fontId="6" fillId="0" borderId="28" xfId="0" applyNumberFormat="1" applyFont="1" applyBorder="1" applyAlignment="1">
      <alignment vertical="center"/>
    </xf>
    <xf numFmtId="166" fontId="6" fillId="0" borderId="0" xfId="0" applyFont="1" applyAlignment="1">
      <alignment vertical="center"/>
    </xf>
    <xf numFmtId="166" fontId="4" fillId="0" borderId="1" xfId="0" quotePrefix="1" applyFont="1" applyBorder="1"/>
    <xf numFmtId="166" fontId="6" fillId="0" borderId="0" xfId="0" applyFont="1" applyAlignment="1">
      <alignment horizontal="right" vertical="center"/>
    </xf>
    <xf numFmtId="166" fontId="6" fillId="0" borderId="0" xfId="0" applyFont="1" applyAlignment="1">
      <alignment horizontal="left" vertical="center"/>
    </xf>
    <xf numFmtId="166" fontId="4" fillId="0" borderId="0" xfId="0" quotePrefix="1" applyFont="1"/>
    <xf numFmtId="166" fontId="6" fillId="3" borderId="0" xfId="0" applyFont="1" applyFill="1" applyAlignment="1">
      <alignment horizontal="right"/>
    </xf>
    <xf numFmtId="166" fontId="4" fillId="22" borderId="0" xfId="0" applyFont="1" applyFill="1"/>
    <xf numFmtId="166" fontId="4" fillId="15" borderId="1" xfId="0" applyFont="1" applyFill="1" applyBorder="1"/>
    <xf numFmtId="166" fontId="4" fillId="0" borderId="1" xfId="0" applyFont="1" applyBorder="1" applyAlignment="1">
      <alignment horizontal="center" vertical="center" wrapText="1"/>
    </xf>
    <xf numFmtId="166" fontId="4" fillId="0" borderId="1" xfId="0" applyFont="1" applyBorder="1" applyAlignment="1">
      <alignment horizontal="center" wrapText="1"/>
    </xf>
    <xf numFmtId="166" fontId="4" fillId="0" borderId="29" xfId="0" applyFont="1" applyBorder="1"/>
    <xf numFmtId="167" fontId="6" fillId="0" borderId="0" xfId="0" applyNumberFormat="1" applyFont="1" applyAlignment="1">
      <alignment vertical="center"/>
    </xf>
    <xf numFmtId="166" fontId="4" fillId="0" borderId="0" xfId="0" applyFont="1" applyAlignment="1">
      <alignment vertical="center"/>
    </xf>
    <xf numFmtId="166" fontId="4" fillId="0" borderId="0" xfId="0" applyFont="1" applyAlignment="1">
      <alignment vertical="center" wrapText="1"/>
    </xf>
    <xf numFmtId="166" fontId="6" fillId="15" borderId="0" xfId="0" applyFont="1" applyFill="1" applyAlignment="1">
      <alignment vertical="center"/>
    </xf>
    <xf numFmtId="167" fontId="6" fillId="15" borderId="0" xfId="0" applyNumberFormat="1" applyFont="1" applyFill="1" applyAlignment="1">
      <alignment vertical="center"/>
    </xf>
    <xf numFmtId="166" fontId="4" fillId="0" borderId="0" xfId="0" quotePrefix="1" applyFont="1" applyAlignment="1">
      <alignment vertical="center"/>
    </xf>
    <xf numFmtId="167" fontId="0" fillId="15" borderId="0" xfId="0" applyNumberFormat="1" applyFill="1" applyAlignment="1">
      <alignment vertical="center"/>
    </xf>
    <xf numFmtId="167" fontId="6" fillId="15" borderId="28" xfId="0" applyNumberFormat="1" applyFont="1" applyFill="1" applyBorder="1" applyAlignment="1">
      <alignment vertical="center"/>
    </xf>
    <xf numFmtId="167" fontId="0" fillId="15" borderId="0" xfId="0" quotePrefix="1" applyNumberFormat="1" applyFill="1" applyAlignment="1">
      <alignment vertical="center"/>
    </xf>
    <xf numFmtId="167" fontId="0" fillId="15" borderId="29" xfId="0" applyNumberFormat="1" applyFill="1" applyBorder="1" applyAlignment="1">
      <alignment vertical="center"/>
    </xf>
    <xf numFmtId="166" fontId="3" fillId="0" borderId="0" xfId="0" applyFont="1" applyAlignment="1">
      <alignment vertical="center"/>
    </xf>
    <xf numFmtId="166" fontId="3" fillId="0" borderId="0" xfId="0" applyFont="1"/>
    <xf numFmtId="43" fontId="13" fillId="0" borderId="1" xfId="6" applyNumberFormat="1" applyFill="1"/>
    <xf numFmtId="180" fontId="8" fillId="6" borderId="2" xfId="3" applyNumberFormat="1" applyFill="1" applyAlignment="1">
      <alignment vertical="center"/>
    </xf>
    <xf numFmtId="169" fontId="0" fillId="0" borderId="0" xfId="0" applyNumberFormat="1" applyFill="1"/>
    <xf numFmtId="166" fontId="6" fillId="0" borderId="6" xfId="13" applyFill="1">
      <alignment horizontal="left"/>
    </xf>
    <xf numFmtId="169" fontId="6" fillId="0" borderId="6" xfId="13" applyNumberFormat="1" applyFill="1">
      <alignment horizontal="left"/>
    </xf>
    <xf numFmtId="173" fontId="8" fillId="6" borderId="2" xfId="3" applyFill="1"/>
    <xf numFmtId="166" fontId="0" fillId="0" borderId="0" xfId="0" applyFill="1"/>
    <xf numFmtId="166" fontId="0" fillId="0" borderId="0" xfId="0" applyFill="1" applyAlignment="1">
      <alignment vertical="center"/>
    </xf>
    <xf numFmtId="166" fontId="2" fillId="0" borderId="0" xfId="0" applyFont="1" applyAlignment="1">
      <alignment vertical="center"/>
    </xf>
    <xf numFmtId="167" fontId="0" fillId="0" borderId="0" xfId="0" applyNumberFormat="1" applyFill="1" applyAlignment="1">
      <alignment vertical="center"/>
    </xf>
    <xf numFmtId="167" fontId="0" fillId="0" borderId="1" xfId="0" applyNumberFormat="1" applyFill="1" applyBorder="1"/>
    <xf numFmtId="166" fontId="6" fillId="0" borderId="0" xfId="0" applyFont="1" applyFill="1"/>
    <xf numFmtId="166" fontId="2" fillId="0" borderId="0" xfId="0" applyFont="1"/>
    <xf numFmtId="166" fontId="2" fillId="0" borderId="0" xfId="0" applyFont="1" applyAlignment="1">
      <alignment horizontal="left" indent="1"/>
    </xf>
    <xf numFmtId="9" fontId="8" fillId="6" borderId="2" xfId="2" applyFont="1" applyFill="1" applyBorder="1" applyAlignment="1">
      <alignment horizontal="left" indent="1"/>
    </xf>
    <xf numFmtId="166" fontId="2" fillId="0" borderId="0" xfId="0" applyFont="1" applyFill="1" applyBorder="1" applyAlignment="1">
      <alignment horizontal="left" indent="1"/>
    </xf>
    <xf numFmtId="166" fontId="0" fillId="0" borderId="24" xfId="0" applyFill="1" applyBorder="1"/>
    <xf numFmtId="173" fontId="8" fillId="6" borderId="2" xfId="3" applyFill="1" applyAlignment="1">
      <alignment horizontal="left"/>
    </xf>
    <xf numFmtId="166" fontId="0" fillId="0" borderId="1" xfId="0" applyFill="1" applyBorder="1"/>
    <xf numFmtId="166" fontId="6" fillId="0" borderId="0" xfId="13" applyFill="1" applyBorder="1">
      <alignment horizontal="left"/>
    </xf>
    <xf numFmtId="177" fontId="13" fillId="0" borderId="1" xfId="6" applyNumberFormat="1" applyFill="1"/>
    <xf numFmtId="175" fontId="0" fillId="0" borderId="0" xfId="0" applyNumberFormat="1" applyFill="1"/>
    <xf numFmtId="166" fontId="2" fillId="15" borderId="1" xfId="0" applyFont="1" applyFill="1" applyBorder="1"/>
    <xf numFmtId="41" fontId="13" fillId="0" borderId="1" xfId="6" applyFill="1"/>
    <xf numFmtId="167" fontId="0" fillId="0" borderId="0" xfId="0" applyNumberFormat="1" applyFill="1"/>
    <xf numFmtId="167" fontId="6" fillId="0" borderId="0" xfId="0" applyNumberFormat="1" applyFont="1" applyFill="1"/>
    <xf numFmtId="169" fontId="0" fillId="0" borderId="0" xfId="0" applyNumberFormat="1" applyFill="1" applyAlignment="1">
      <alignment vertical="center"/>
    </xf>
    <xf numFmtId="166" fontId="1" fillId="0" borderId="0" xfId="0" applyFont="1"/>
    <xf numFmtId="41" fontId="13" fillId="0" borderId="1" xfId="6" applyFill="1" applyAlignment="1"/>
    <xf numFmtId="173" fontId="8" fillId="6" borderId="2" xfId="3" applyFill="1" applyAlignment="1"/>
    <xf numFmtId="186" fontId="0" fillId="43" borderId="1" xfId="1" applyNumberFormat="1" applyFont="1" applyFill="1" applyBorder="1" applyAlignment="1"/>
    <xf numFmtId="170" fontId="0" fillId="43" borderId="1" xfId="2" applyNumberFormat="1" applyFont="1" applyFill="1" applyBorder="1" applyAlignment="1"/>
    <xf numFmtId="176" fontId="13" fillId="0" borderId="1" xfId="6" applyNumberFormat="1" applyFill="1"/>
    <xf numFmtId="167" fontId="6" fillId="0" borderId="6" xfId="13" applyNumberFormat="1" applyFill="1">
      <alignment horizontal="left"/>
    </xf>
    <xf numFmtId="167" fontId="0" fillId="44" borderId="0" xfId="0" applyNumberFormat="1" applyFill="1" applyAlignment="1">
      <alignment vertical="center"/>
    </xf>
    <xf numFmtId="166" fontId="1" fillId="15" borderId="1" xfId="0" applyFont="1" applyFill="1" applyBorder="1"/>
    <xf numFmtId="9" fontId="0" fillId="0" borderId="1" xfId="2" applyNumberFormat="1" applyFont="1" applyFill="1" applyBorder="1" applyAlignment="1"/>
    <xf numFmtId="166" fontId="1" fillId="22" borderId="0" xfId="0" applyFont="1" applyFill="1"/>
    <xf numFmtId="166" fontId="1" fillId="23" borderId="0" xfId="0" applyFont="1" applyFill="1"/>
    <xf numFmtId="187" fontId="8" fillId="6" borderId="2" xfId="3" applyNumberFormat="1" applyFill="1"/>
    <xf numFmtId="166" fontId="1" fillId="0" borderId="0" xfId="0" applyFont="1" applyAlignment="1">
      <alignment vertical="center"/>
    </xf>
    <xf numFmtId="186" fontId="0" fillId="0" borderId="1" xfId="1" applyNumberFormat="1" applyFont="1" applyBorder="1"/>
    <xf numFmtId="166" fontId="0" fillId="0" borderId="8" xfId="0" applyBorder="1"/>
    <xf numFmtId="166" fontId="0" fillId="0" borderId="1" xfId="0" applyBorder="1" applyAlignment="1">
      <alignment vertical="center" wrapText="1"/>
    </xf>
    <xf numFmtId="166" fontId="0" fillId="15" borderId="1" xfId="0" applyFill="1" applyBorder="1" applyAlignment="1">
      <alignment vertical="center" wrapText="1"/>
    </xf>
    <xf numFmtId="43" fontId="0" fillId="15" borderId="1" xfId="1" applyFont="1" applyFill="1" applyBorder="1" applyAlignment="1">
      <alignment vertical="center" wrapText="1"/>
    </xf>
    <xf numFmtId="166" fontId="58" fillId="12" borderId="1" xfId="0" applyFont="1" applyFill="1" applyBorder="1" applyAlignment="1">
      <alignment vertical="center" wrapText="1"/>
    </xf>
    <xf numFmtId="49" fontId="6" fillId="0" borderId="17" xfId="0" applyNumberFormat="1" applyFont="1" applyBorder="1" applyAlignment="1">
      <alignment horizontal="left" wrapText="1"/>
    </xf>
    <xf numFmtId="49" fontId="6" fillId="0" borderId="0" xfId="0" applyNumberFormat="1" applyFont="1" applyAlignment="1">
      <alignment horizontal="left" wrapText="1"/>
    </xf>
    <xf numFmtId="49" fontId="36" fillId="0" borderId="6" xfId="0" applyNumberFormat="1" applyFont="1" applyBorder="1" applyAlignment="1">
      <alignment horizontal="left" wrapText="1"/>
    </xf>
    <xf numFmtId="166" fontId="6" fillId="0" borderId="0" xfId="0" applyFont="1" applyAlignment="1">
      <alignment horizontal="center" vertical="center"/>
    </xf>
    <xf numFmtId="166" fontId="6" fillId="0" borderId="28" xfId="0" applyFont="1" applyBorder="1" applyAlignment="1">
      <alignment horizontal="center" vertical="center"/>
    </xf>
    <xf numFmtId="166" fontId="42" fillId="0" borderId="0" xfId="0" applyFont="1" applyAlignment="1">
      <alignment horizontal="center" vertical="center"/>
    </xf>
    <xf numFmtId="166" fontId="42" fillId="0" borderId="25" xfId="0" applyFont="1" applyBorder="1" applyAlignment="1">
      <alignment horizontal="center" vertical="center"/>
    </xf>
    <xf numFmtId="166" fontId="0" fillId="0" borderId="0" xfId="0" applyAlignment="1"/>
    <xf numFmtId="166" fontId="0" fillId="0" borderId="11" xfId="0" applyBorder="1" applyAlignment="1">
      <alignment horizontal="center"/>
    </xf>
    <xf numFmtId="166" fontId="0" fillId="0" borderId="21" xfId="0" applyBorder="1" applyAlignment="1">
      <alignment horizontal="center"/>
    </xf>
    <xf numFmtId="166" fontId="0" fillId="0" borderId="1" xfId="0" applyBorder="1" applyAlignment="1">
      <alignment horizontal="center"/>
    </xf>
    <xf numFmtId="43" fontId="0" fillId="0" borderId="1" xfId="1" applyFont="1" applyBorder="1" applyAlignment="1">
      <alignment horizontal="center"/>
    </xf>
    <xf numFmtId="166" fontId="52" fillId="40" borderId="33" xfId="0" applyFont="1" applyFill="1" applyBorder="1" applyAlignment="1">
      <alignment horizontal="center" vertical="center" wrapText="1"/>
    </xf>
    <xf numFmtId="166" fontId="52" fillId="40" borderId="0" xfId="0" applyFont="1" applyFill="1" applyAlignment="1">
      <alignment horizontal="center" vertical="center" wrapText="1"/>
    </xf>
    <xf numFmtId="166" fontId="52" fillId="40" borderId="31" xfId="0" applyFont="1" applyFill="1" applyBorder="1" applyAlignment="1">
      <alignment horizontal="center" vertical="center" wrapText="1"/>
    </xf>
    <xf numFmtId="166" fontId="50" fillId="3" borderId="0" xfId="0" applyFont="1" applyFill="1" applyAlignment="1">
      <alignment horizontal="center" vertical="center"/>
    </xf>
    <xf numFmtId="166" fontId="50" fillId="0" borderId="32" xfId="0" applyFont="1" applyBorder="1" applyAlignment="1">
      <alignment horizontal="left" vertical="center"/>
    </xf>
    <xf numFmtId="166" fontId="50" fillId="0" borderId="31" xfId="0" applyFont="1" applyBorder="1" applyAlignment="1">
      <alignment horizontal="left" vertical="center"/>
    </xf>
    <xf numFmtId="1" fontId="50" fillId="0" borderId="32" xfId="0" applyNumberFormat="1" applyFont="1" applyBorder="1" applyAlignment="1">
      <alignment horizontal="left" vertical="center"/>
    </xf>
    <xf numFmtId="1" fontId="50" fillId="0" borderId="31" xfId="0" applyNumberFormat="1" applyFont="1" applyBorder="1" applyAlignment="1">
      <alignment horizontal="left" vertical="center"/>
    </xf>
    <xf numFmtId="166" fontId="51" fillId="34" borderId="0" xfId="0" applyFont="1" applyFill="1" applyAlignment="1">
      <alignment horizontal="center" vertical="center"/>
    </xf>
    <xf numFmtId="166" fontId="50" fillId="0" borderId="0" xfId="0" applyFont="1" applyAlignment="1">
      <alignment horizontal="left" vertical="center"/>
    </xf>
    <xf numFmtId="166" fontId="50" fillId="0" borderId="30" xfId="0" applyFont="1" applyBorder="1" applyAlignment="1">
      <alignment horizontal="left" vertical="center"/>
    </xf>
    <xf numFmtId="166" fontId="50" fillId="0" borderId="0" xfId="0" applyFont="1" applyAlignment="1">
      <alignment horizontal="left" vertical="center" wrapText="1"/>
    </xf>
    <xf numFmtId="166" fontId="50" fillId="0" borderId="30" xfId="0" applyFont="1" applyBorder="1" applyAlignment="1">
      <alignment horizontal="left" vertical="center" wrapText="1"/>
    </xf>
    <xf numFmtId="166" fontId="50" fillId="0" borderId="32" xfId="0" applyFont="1" applyBorder="1" applyAlignment="1">
      <alignment horizontal="left" vertical="center" wrapText="1"/>
    </xf>
    <xf numFmtId="166" fontId="50" fillId="0" borderId="31" xfId="0" applyFont="1" applyBorder="1" applyAlignment="1">
      <alignment horizontal="left" vertical="center" wrapText="1"/>
    </xf>
    <xf numFmtId="1" fontId="50" fillId="0" borderId="0" xfId="0" applyNumberFormat="1" applyFont="1" applyAlignment="1">
      <alignment horizontal="left" vertical="center"/>
    </xf>
    <xf numFmtId="166" fontId="0" fillId="0" borderId="0" xfId="0" applyAlignment="1">
      <alignment horizontal="center" vertical="center"/>
    </xf>
    <xf numFmtId="166" fontId="0" fillId="0" borderId="0" xfId="0" applyAlignment="1">
      <alignment horizontal="left" vertical="center"/>
    </xf>
    <xf numFmtId="166" fontId="6" fillId="0" borderId="30" xfId="0" applyFont="1" applyBorder="1" applyAlignment="1">
      <alignment horizontal="center" vertical="center"/>
    </xf>
    <xf numFmtId="166" fontId="46" fillId="0" borderId="0" xfId="0" applyFont="1" applyAlignment="1">
      <alignment horizontal="center" vertical="center" wrapText="1"/>
    </xf>
  </cellXfs>
  <cellStyles count="32">
    <cellStyle name="Blank" xfId="18" xr:uid="{9A5217A4-8C9E-4633-9FF1-12C1B6885D41}"/>
    <cellStyle name="Body Header" xfId="9" xr:uid="{75D20B16-C5F6-4A89-B78F-93A179702B99}"/>
    <cellStyle name="Calculation" xfId="29" builtinId="22"/>
    <cellStyle name="Cell Header" xfId="7" xr:uid="{0D550DBE-3BA0-441A-8E21-D7F4356BE3DF}"/>
    <cellStyle name="Check" xfId="15" xr:uid="{C5D0BB35-880B-452E-A638-4CD20BD2D007}"/>
    <cellStyle name="Comma" xfId="1" builtinId="3"/>
    <cellStyle name="Comma [0]" xfId="21" builtinId="6"/>
    <cellStyle name="Comma [0] 13" xfId="27" xr:uid="{4EF448F2-155D-4329-ACFF-F8E154A0616A}"/>
    <cellStyle name="Comma [0] 2" xfId="24" xr:uid="{B129DBCD-2E55-4E78-8DAF-C3691B346029}"/>
    <cellStyle name="Comma 2" xfId="23" xr:uid="{954A6DF7-8F0E-464F-B707-D8288A705FCA}"/>
    <cellStyle name="Comma 6" xfId="25" xr:uid="{F097CBE0-12BA-47E4-8394-5403DAE33EFE}"/>
    <cellStyle name="Flag" xfId="8" xr:uid="{89F2CB6C-8093-4328-8091-AD61A013D8C2}"/>
    <cellStyle name="Good" xfId="30" builtinId="26"/>
    <cellStyle name="Header" xfId="4" xr:uid="{CCB5E230-916A-443C-8C49-4E9DF215B879}"/>
    <cellStyle name="Heading 1" xfId="20" builtinId="16" customBuiltin="1"/>
    <cellStyle name="Input" xfId="3" builtinId="20" customBuiltin="1"/>
    <cellStyle name="Insheet" xfId="6" xr:uid="{CF93959A-ADD5-4EC5-BD8C-7CF10709224E}"/>
    <cellStyle name="Neutral" xfId="31" builtinId="28"/>
    <cellStyle name="Normal" xfId="0" builtinId="0" customBuiltin="1"/>
    <cellStyle name="Normal 12" xfId="22" xr:uid="{0DC7C69F-F457-45A2-B052-C28608401795}"/>
    <cellStyle name="Normal 2" xfId="28" xr:uid="{BABD5D50-0C41-458D-ABAE-C353D7D133C1}"/>
    <cellStyle name="Normal 5" xfId="16" xr:uid="{259FDF44-4638-4482-8748-E14AF5B97D70}"/>
    <cellStyle name="Offsheet" xfId="5" xr:uid="{07455F98-08A1-457E-92B6-C92E3E8CBC15}"/>
    <cellStyle name="Output" xfId="17" builtinId="21"/>
    <cellStyle name="Percent" xfId="2" builtinId="5"/>
    <cellStyle name="Percent 4" xfId="26" xr:uid="{2F63452A-6D12-44C1-A991-7E8B9C09AFB1}"/>
    <cellStyle name="Sub Header" xfId="10" xr:uid="{C3496DE9-0A1B-401E-8E96-2AD08955A8B7}"/>
    <cellStyle name="Sub total" xfId="13" xr:uid="{CCDD13ED-DB9D-4BD7-98D5-82692ABF8F57}"/>
    <cellStyle name="Table Header" xfId="12" xr:uid="{1FC70478-0EA5-487F-B3DF-ED9D1AACC1A3}"/>
    <cellStyle name="Title" xfId="19" builtinId="15" customBuiltin="1"/>
    <cellStyle name="Unit" xfId="11" xr:uid="{C00D20D6-696D-4829-9BB6-05AA8B3B35A9}"/>
    <cellStyle name="Valuation" xfId="14" xr:uid="{56C8BC62-6542-4ED1-B498-F1BFD32A73A5}"/>
  </cellStyles>
  <dxfs count="69"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EF4136"/>
      </font>
      <fill>
        <patternFill>
          <bgColor theme="5" tint="0.59996337778862885"/>
        </patternFill>
      </fill>
      <border>
        <left style="thin">
          <color rgb="FFEF4136"/>
        </left>
        <right style="thin">
          <color rgb="FFEF4136"/>
        </right>
        <top style="thin">
          <color rgb="FFEF4136"/>
        </top>
        <bottom style="thin">
          <color rgb="FFEF4136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EF4136"/>
      </font>
      <fill>
        <patternFill>
          <bgColor theme="5" tint="0.59996337778862885"/>
        </patternFill>
      </fill>
      <border>
        <left style="thin">
          <color rgb="FFEF4136"/>
        </left>
        <right style="thin">
          <color rgb="FFEF4136"/>
        </right>
        <top style="thin">
          <color rgb="FFEF4136"/>
        </top>
        <bottom style="thin">
          <color rgb="FFEF4136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Down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45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Chart!$B$3</c:f>
              <c:strCache>
                <c:ptCount val="1"/>
                <c:pt idx="0">
                  <c:v> Teluk Lamong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Chart!$D$2:$E$2</c:f>
              <c:numCache>
                <c:formatCode>General</c:formatCode>
                <c:ptCount val="2"/>
                <c:pt idx="0">
                  <c:v>2024</c:v>
                </c:pt>
                <c:pt idx="1">
                  <c:v>2034</c:v>
                </c:pt>
              </c:numCache>
            </c:numRef>
          </c:cat>
          <c:val>
            <c:numRef>
              <c:f>Chart!$D$3:$E$3</c:f>
              <c:numCache>
                <c:formatCode>_-* #,##0_-;* \(#,##0\)_-;_-* "-"??_-;_-@_-</c:formatCode>
                <c:ptCount val="2"/>
                <c:pt idx="0">
                  <c:v>3.6662252759999996</c:v>
                </c:pt>
                <c:pt idx="1">
                  <c:v>4.9271001987818241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3E-4A4C-A941-02F7C2A488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8118656"/>
        <c:axId val="261854112"/>
      </c:barChart>
      <c:catAx>
        <c:axId val="338118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854112"/>
        <c:crosses val="autoZero"/>
        <c:auto val="1"/>
        <c:lblAlgn val="ctr"/>
        <c:lblOffset val="100"/>
        <c:noMultiLvlLbl val="0"/>
      </c:catAx>
      <c:valAx>
        <c:axId val="261854112"/>
        <c:scaling>
          <c:orientation val="minMax"/>
        </c:scaling>
        <c:delete val="1"/>
        <c:axPos val="l"/>
        <c:numFmt formatCode="_-* #,##0_-;* \(#,##0\)_-;_-* &quot;-&quot;??_-;_-@_-" sourceLinked="1"/>
        <c:majorTickMark val="none"/>
        <c:minorTickMark val="none"/>
        <c:tickLblPos val="nextTo"/>
        <c:crossAx val="33811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Chart!$B$4</c:f>
              <c:strCache>
                <c:ptCount val="1"/>
                <c:pt idx="0">
                  <c:v> Cigading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Chart!$D$2:$E$2</c:f>
              <c:numCache>
                <c:formatCode>General</c:formatCode>
                <c:ptCount val="2"/>
                <c:pt idx="0">
                  <c:v>2024</c:v>
                </c:pt>
                <c:pt idx="1">
                  <c:v>2034</c:v>
                </c:pt>
              </c:numCache>
            </c:numRef>
          </c:cat>
          <c:val>
            <c:numRef>
              <c:f>Chart!$D$4:$E$4</c:f>
              <c:numCache>
                <c:formatCode>_-* #,##0_-;* \(#,##0\)_-;_-* "-"??_-;_-@_-</c:formatCode>
                <c:ptCount val="2"/>
                <c:pt idx="0">
                  <c:v>3.0829855679999998</c:v>
                </c:pt>
                <c:pt idx="1">
                  <c:v>4.6749834871735949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29-450F-889F-0AE07A035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8118656"/>
        <c:axId val="261854112"/>
      </c:barChart>
      <c:catAx>
        <c:axId val="338118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854112"/>
        <c:crosses val="autoZero"/>
        <c:auto val="1"/>
        <c:lblAlgn val="ctr"/>
        <c:lblOffset val="100"/>
        <c:noMultiLvlLbl val="0"/>
      </c:catAx>
      <c:valAx>
        <c:axId val="261854112"/>
        <c:scaling>
          <c:orientation val="minMax"/>
        </c:scaling>
        <c:delete val="1"/>
        <c:axPos val="l"/>
        <c:numFmt formatCode="_-* #,##0_-;* \(#,##0\)_-;_-* &quot;-&quot;??_-;_-@_-" sourceLinked="1"/>
        <c:majorTickMark val="none"/>
        <c:minorTickMark val="none"/>
        <c:tickLblPos val="nextTo"/>
        <c:crossAx val="33811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Chart!$B$5</c:f>
              <c:strCache>
                <c:ptCount val="1"/>
                <c:pt idx="0">
                  <c:v> Belawan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Chart!$D$2:$E$2</c:f>
              <c:numCache>
                <c:formatCode>General</c:formatCode>
                <c:ptCount val="2"/>
                <c:pt idx="0">
                  <c:v>2024</c:v>
                </c:pt>
                <c:pt idx="1">
                  <c:v>2034</c:v>
                </c:pt>
              </c:numCache>
            </c:numRef>
          </c:cat>
          <c:val>
            <c:numRef>
              <c:f>Chart!$D$5:$E$5</c:f>
              <c:numCache>
                <c:formatCode>_-* #,##0_-;* \(#,##0\)_-;_-* "-"??_-;_-@_-</c:formatCode>
                <c:ptCount val="2"/>
                <c:pt idx="0">
                  <c:v>0.75</c:v>
                </c:pt>
                <c:pt idx="1">
                  <c:v>1.5579372845080917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29-450F-889F-0AE07A035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8118656"/>
        <c:axId val="261854112"/>
      </c:barChart>
      <c:catAx>
        <c:axId val="338118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854112"/>
        <c:crosses val="autoZero"/>
        <c:auto val="1"/>
        <c:lblAlgn val="ctr"/>
        <c:lblOffset val="100"/>
        <c:noMultiLvlLbl val="0"/>
      </c:catAx>
      <c:valAx>
        <c:axId val="261854112"/>
        <c:scaling>
          <c:orientation val="minMax"/>
        </c:scaling>
        <c:delete val="1"/>
        <c:axPos val="l"/>
        <c:numFmt formatCode="_-* #,##0_-;* \(#,##0\)_-;_-* &quot;-&quot;??_-;_-@_-" sourceLinked="1"/>
        <c:majorTickMark val="none"/>
        <c:minorTickMark val="none"/>
        <c:tickLblPos val="nextTo"/>
        <c:crossAx val="33811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Chart!$B$34</c:f>
              <c:strCache>
                <c:ptCount val="1"/>
                <c:pt idx="0">
                  <c:v> Existing Business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Chart!$D$33:$F$33</c:f>
              <c:numCache>
                <c:formatCode>General</c:formatCode>
                <c:ptCount val="3"/>
                <c:pt idx="0">
                  <c:v>2024</c:v>
                </c:pt>
                <c:pt idx="1">
                  <c:v>2028</c:v>
                </c:pt>
                <c:pt idx="2">
                  <c:v>2034</c:v>
                </c:pt>
              </c:numCache>
            </c:numRef>
          </c:cat>
          <c:val>
            <c:numRef>
              <c:f>Chart!$D$34:$F$34</c:f>
              <c:numCache>
                <c:formatCode>_-* #,##0_-;* \(#,##0\)_-;_-* "-"??_-;_-@_-</c:formatCode>
                <c:ptCount val="3"/>
                <c:pt idx="0">
                  <c:v>8.7974097902804971</c:v>
                </c:pt>
                <c:pt idx="1">
                  <c:v>11.033598544877727</c:v>
                </c:pt>
                <c:pt idx="2">
                  <c:v>15.076321952908268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A8-41FD-9E08-56E702008B01}"/>
            </c:ext>
          </c:extLst>
        </c:ser>
        <c:ser>
          <c:idx val="1"/>
          <c:order val="1"/>
          <c:tx>
            <c:strRef>
              <c:f>Chart!$B$35</c:f>
              <c:strCache>
                <c:ptCount val="1"/>
                <c:pt idx="0">
                  <c:v> Cigading Expansion*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Chart!$D$35:$F$35</c:f>
              <c:numCache>
                <c:formatCode>_-* #,##0_-;* \(#,##0\)_-;_-* "-"??_-;_-@_-</c:formatCode>
                <c:ptCount val="3"/>
                <c:pt idx="0">
                  <c:v>0</c:v>
                </c:pt>
                <c:pt idx="1">
                  <c:v>7.7294192543203142</c:v>
                </c:pt>
                <c:pt idx="2">
                  <c:v>10.897970732009572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CA8-41FD-9E08-56E702008B01}"/>
            </c:ext>
          </c:extLst>
        </c:ser>
        <c:ser>
          <c:idx val="2"/>
          <c:order val="2"/>
          <c:tx>
            <c:strRef>
              <c:f>Chart!$B$36</c:f>
              <c:strCache>
                <c:ptCount val="1"/>
                <c:pt idx="0">
                  <c:v> Opeartorship with SOEs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Chart!$D$36:$F$36</c:f>
              <c:numCache>
                <c:formatCode>_-* #,##0_-;* \(#,##0\)_-;_-* "-"??_-;_-@_-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CA8-41FD-9E08-56E702008B01}"/>
            </c:ext>
          </c:extLst>
        </c:ser>
        <c:ser>
          <c:idx val="3"/>
          <c:order val="3"/>
          <c:tx>
            <c:strRef>
              <c:f>Chart!$B$37</c:f>
              <c:strCache>
                <c:ptCount val="1"/>
                <c:pt idx="0">
                  <c:v> TBM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Chart!$D$37:$F$37</c:f>
              <c:numCache>
                <c:formatCode>_-* #,##0_-;* \(#,##0\)_-;_-* "-"??_-;_-@_-</c:formatCode>
                <c:ptCount val="3"/>
                <c:pt idx="0">
                  <c:v>0</c:v>
                </c:pt>
                <c:pt idx="1">
                  <c:v>0.81148478327697504</c:v>
                </c:pt>
                <c:pt idx="2">
                  <c:v>0.81148478327697504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CA8-41FD-9E08-56E702008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7116192"/>
        <c:axId val="48449952"/>
      </c:barChart>
      <c:catAx>
        <c:axId val="54711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9952"/>
        <c:crosses val="autoZero"/>
        <c:auto val="1"/>
        <c:lblAlgn val="ctr"/>
        <c:lblOffset val="100"/>
        <c:noMultiLvlLbl val="0"/>
      </c:catAx>
      <c:valAx>
        <c:axId val="48449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* \(#,##0\)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116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  <cx:data id="1">
      <cx:strDim type="cat">
        <cx:f>_xlchart.v1.0</cx:f>
      </cx:strDim>
      <cx:numDim type="val">
        <cx:f>_xlchart.v1.1</cx:f>
      </cx:numDim>
    </cx:data>
  </cx:chartData>
  <cx:chart>
    <cx:title pos="t" align="ctr" overlay="0">
      <cx:tx>
        <cx:txData>
          <cx:v>Chart Title</cx:v>
        </cx:txData>
      </cx:tx>
      <cx:txPr>
        <a:bodyPr vertOverflow="overflow" horzOverflow="overflow" wrap="square" lIns="0" tIns="0" rIns="0" bIns="0"/>
        <a:lstStyle/>
        <a:p>
          <a:pPr algn="ctr" rtl="0">
            <a:defRPr sz="1400" b="0" i="0">
              <a:solidFill>
                <a:srgbClr val="7F7F7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r>
            <a:t>Chart Title</a:t>
          </a:r>
        </a:p>
      </cx:txPr>
    </cx:title>
    <cx:plotArea>
      <cx:plotAreaRegion>
        <cx:series layoutId="waterfall" uniqueId="{996741D5-303F-48CD-A577-01CBF11C7CCA}" formatIdx="0">
          <cx:dataLabels pos="outEnd">
            <cx:numFmt formatCode="_-* #.##0_-;* #.##0_-;_-* &quot;-&quot;??_-;_-@_-" sourceLinked="0"/>
            <cx:txPr>
              <a:bodyPr vertOverflow="overflow" horzOverflow="overflow" wrap="square" lIns="0" tIns="0" rIns="0" bIns="0"/>
              <a:lstStyle/>
              <a:p>
                <a:pPr algn="ctr" rtl="0">
                  <a:defRPr sz="1200" b="0" i="0">
                    <a:solidFill>
                      <a:srgbClr val="000000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/>
              </a:p>
            </cx:txPr>
            <cx:visibility seriesName="0" categoryName="0" value="1"/>
            <cx:separator>, </cx:separator>
          </cx:dataLabels>
          <cx:dataId val="0"/>
          <cx:layoutPr>
            <cx:subtotals>
              <cx:idx val="0"/>
              <cx:idx val="3"/>
            </cx:subtotals>
          </cx:layoutPr>
        </cx:series>
        <cx:series layoutId="waterfall" hidden="1" uniqueId="{9C2165A2-D717-40D9-B42C-450C68F93131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  <cx:axis id="1">
        <cx:valScaling/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microsoft.com/office/2014/relationships/chartEx" Target="../charts/chartEx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1019576</xdr:colOff>
      <xdr:row>2</xdr:row>
      <xdr:rowOff>0</xdr:rowOff>
    </xdr:from>
    <xdr:to>
      <xdr:col>5</xdr:col>
      <xdr:colOff>831760</xdr:colOff>
      <xdr:row>4</xdr:row>
      <xdr:rowOff>3071</xdr:rowOff>
    </xdr:to>
    <xdr:sp macro="[0]!Rup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B0C5097-DC17-4FA2-A376-02CE1B7104E9}"/>
            </a:ext>
          </a:extLst>
        </xdr:cNvPr>
        <xdr:cNvSpPr/>
      </xdr:nvSpPr>
      <xdr:spPr>
        <a:xfrm>
          <a:off x="3048401" y="495300"/>
          <a:ext cx="831359" cy="3840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D" sz="1100"/>
            <a:t>Optimize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1019576</xdr:colOff>
      <xdr:row>2</xdr:row>
      <xdr:rowOff>0</xdr:rowOff>
    </xdr:from>
    <xdr:to>
      <xdr:col>5</xdr:col>
      <xdr:colOff>831760</xdr:colOff>
      <xdr:row>4</xdr:row>
      <xdr:rowOff>3071</xdr:rowOff>
    </xdr:to>
    <xdr:sp macro="[0]!Goalseek_ExitValu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7262B28-A5EB-4B90-9ACA-5003EB09A807}"/>
            </a:ext>
          </a:extLst>
        </xdr:cNvPr>
        <xdr:cNvSpPr/>
      </xdr:nvSpPr>
      <xdr:spPr>
        <a:xfrm>
          <a:off x="3031900" y="496373"/>
          <a:ext cx="831761" cy="378705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D" sz="1100"/>
            <a:t>Exit Value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11205</xdr:colOff>
      <xdr:row>0</xdr:row>
      <xdr:rowOff>78441</xdr:rowOff>
    </xdr:from>
    <xdr:to>
      <xdr:col>4</xdr:col>
      <xdr:colOff>230280</xdr:colOff>
      <xdr:row>1</xdr:row>
      <xdr:rowOff>135591</xdr:rowOff>
    </xdr:to>
    <xdr:sp macro="[0]!UpdateTable" textlink="">
      <xdr:nvSpPr>
        <xdr:cNvPr id="2" name="Rectangle 1">
          <a:extLst>
            <a:ext uri="{FF2B5EF4-FFF2-40B4-BE49-F238E27FC236}">
              <a16:creationId xmlns:a16="http://schemas.microsoft.com/office/drawing/2014/main" id="{E9614E63-BF90-44F2-9789-ED17FB3EC4FB}"/>
            </a:ext>
          </a:extLst>
        </xdr:cNvPr>
        <xdr:cNvSpPr/>
      </xdr:nvSpPr>
      <xdr:spPr bwMode="auto">
        <a:xfrm>
          <a:off x="1826558" y="78441"/>
          <a:ext cx="824193" cy="247650"/>
        </a:xfrm>
        <a:prstGeom prst="rect">
          <a:avLst/>
        </a:prstGeom>
        <a:solidFill>
          <a:srgbClr val="F8DDE1"/>
        </a:solidFill>
        <a:ln w="19050">
          <a:solidFill>
            <a:srgbClr val="DB536A"/>
          </a:solidFill>
          <a:headEnd type="none" w="med" len="med"/>
          <a:tailEnd type="none" w="med" len="med"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="horz" wrap="square" lIns="63500" tIns="0" rIns="64800" bIns="0" numCol="1" rtlCol="0" anchor="ctr" anchorCtr="0" compatLnSpc="1">
          <a:prstTxWarp prst="textNoShape">
            <a:avLst/>
          </a:prstTxWarp>
        </a:bodyPr>
        <a:lstStyle/>
        <a:p>
          <a:pPr marL="0" marR="0" indent="0" algn="ctr" defTabSz="914400" rtl="0" eaLnBrk="1" fontAlgn="base" latinLnBrk="0" hangingPunct="1">
            <a:lnSpc>
              <a:spcPct val="100000"/>
            </a:lnSpc>
            <a:spcBef>
              <a:spcPct val="20000"/>
            </a:spcBef>
            <a:spcAft>
              <a:spcPct val="20000"/>
            </a:spcAft>
            <a:buClrTx/>
            <a:buSzPct val="90000"/>
            <a:buFontTx/>
            <a:buNone/>
            <a:tabLst/>
          </a:pPr>
          <a:r>
            <a:rPr kumimoji="0" lang="en-US" sz="1000" b="1" i="0" u="none" strike="noStrike" cap="none" normalizeH="0" baseline="0">
              <a:ln>
                <a:noFill/>
              </a:ln>
              <a:solidFill>
                <a:sysClr val="windowText" lastClr="000000"/>
              </a:solidFill>
              <a:effectLst/>
              <a:latin typeface="Arial" charset="0"/>
              <a:cs typeface="Arial" charset="0"/>
            </a:rPr>
            <a:t> Update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1019576</xdr:colOff>
      <xdr:row>2</xdr:row>
      <xdr:rowOff>0</xdr:rowOff>
    </xdr:from>
    <xdr:to>
      <xdr:col>5</xdr:col>
      <xdr:colOff>831760</xdr:colOff>
      <xdr:row>4</xdr:row>
      <xdr:rowOff>3071</xdr:rowOff>
    </xdr:to>
    <xdr:sp macro="[0]!Rup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D13B315-F3F3-4500-B87F-C04161873CBA}"/>
            </a:ext>
          </a:extLst>
        </xdr:cNvPr>
        <xdr:cNvSpPr/>
      </xdr:nvSpPr>
      <xdr:spPr>
        <a:xfrm>
          <a:off x="3048401" y="495300"/>
          <a:ext cx="831359" cy="3840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D" sz="1100"/>
            <a:t>Optimize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346075</xdr:colOff>
      <xdr:row>0</xdr:row>
      <xdr:rowOff>63500</xdr:rowOff>
    </xdr:from>
    <xdr:to>
      <xdr:col>11</xdr:col>
      <xdr:colOff>495300</xdr:colOff>
      <xdr:row>12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34B28B2-D6C7-418E-B067-63C25DD224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209550</xdr:colOff>
      <xdr:row>0</xdr:row>
      <xdr:rowOff>57150</xdr:rowOff>
    </xdr:from>
    <xdr:to>
      <xdr:col>17</xdr:col>
      <xdr:colOff>358775</xdr:colOff>
      <xdr:row>12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5349F83-7460-4462-AF09-54AD5CF89F8B}"/>
            </a:ext>
            <a:ext uri="{147F2762-F138-4A5C-976F-8EAC2B608ADB}">
              <a16:predDERef xmlns:a16="http://schemas.microsoft.com/office/drawing/2014/main" pred="{334B28B2-D6C7-418E-B067-63C25DD224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184150</xdr:colOff>
      <xdr:row>0</xdr:row>
      <xdr:rowOff>50800</xdr:rowOff>
    </xdr:from>
    <xdr:to>
      <xdr:col>23</xdr:col>
      <xdr:colOff>333375</xdr:colOff>
      <xdr:row>12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E2585F-D62C-4855-8452-3DD6164FEA35}"/>
            </a:ext>
            <a:ext uri="{147F2762-F138-4A5C-976F-8EAC2B608ADB}">
              <a16:predDERef xmlns:a16="http://schemas.microsoft.com/office/drawing/2014/main" pred="{B5349F83-7460-4462-AF09-54AD5CF89F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22599</xdr:colOff>
      <xdr:row>32</xdr:row>
      <xdr:rowOff>33991</xdr:rowOff>
    </xdr:from>
    <xdr:to>
      <xdr:col>14</xdr:col>
      <xdr:colOff>119529</xdr:colOff>
      <xdr:row>44</xdr:row>
      <xdr:rowOff>59764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6461D3A-4D22-4F78-BC17-34B3E96B4D8E}"/>
            </a:ext>
            <a:ext uri="{147F2762-F138-4A5C-976F-8EAC2B608ADB}">
              <a16:predDERef xmlns:a16="http://schemas.microsoft.com/office/drawing/2014/main" pred="{F8E2585F-D62C-4855-8452-3DD6164FEA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582705</xdr:colOff>
      <xdr:row>40</xdr:row>
      <xdr:rowOff>144929</xdr:rowOff>
    </xdr:from>
    <xdr:to>
      <xdr:col>15</xdr:col>
      <xdr:colOff>179293</xdr:colOff>
      <xdr:row>55</xdr:row>
      <xdr:rowOff>86658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5AA9A78C-04FF-4178-B031-ED6C21178D57}"/>
                </a:ext>
                <a:ext uri="{147F2762-F138-4A5C-976F-8EAC2B608ADB}">
                  <a16:predDERef xmlns:a16="http://schemas.microsoft.com/office/drawing/2014/main" pred="{16461D3A-4D22-4F78-BC17-34B3E96B4D8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87955" y="7764929"/>
              <a:ext cx="6302188" cy="2799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D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FFF7F-1668-4131-8174-E07BA04D0D27}">
  <sheetPr codeName="Sheet1"/>
  <dimension ref="B2:R40"/>
  <sheetViews>
    <sheetView showGridLines="0" workbookViewId="0">
      <selection activeCell="L18" sqref="L18"/>
    </sheetView>
  </sheetViews>
  <sheetFormatPr defaultRowHeight="15"/>
  <cols>
    <col min="8" max="8" width="10.5703125" bestFit="1" customWidth="1"/>
    <col min="9" max="9" width="12.5703125" bestFit="1" customWidth="1"/>
    <col min="14" max="14" width="12.42578125" bestFit="1" customWidth="1"/>
    <col min="15" max="16" width="12.5703125" bestFit="1" customWidth="1"/>
    <col min="17" max="18" width="14.28515625" bestFit="1" customWidth="1"/>
  </cols>
  <sheetData>
    <row r="2" spans="2:18">
      <c r="B2" s="2" t="s">
        <v>0</v>
      </c>
      <c r="H2" s="407"/>
      <c r="K2" s="407"/>
      <c r="O2" s="407" t="s">
        <v>1</v>
      </c>
      <c r="P2" s="407" t="s">
        <v>2</v>
      </c>
      <c r="Q2" s="407" t="s">
        <v>3</v>
      </c>
    </row>
    <row r="3" spans="2:18">
      <c r="B3" s="407" t="s">
        <v>4</v>
      </c>
      <c r="C3" s="407" t="s">
        <v>5</v>
      </c>
      <c r="D3" s="407" t="s">
        <v>1</v>
      </c>
      <c r="E3" s="37">
        <v>524</v>
      </c>
      <c r="H3">
        <f>I3/E3</f>
        <v>58396.946564885497</v>
      </c>
      <c r="I3" s="37">
        <f>30.6*Million</f>
        <v>30600000</v>
      </c>
      <c r="N3" s="407" t="s">
        <v>6</v>
      </c>
      <c r="O3">
        <f>SUMIF($D$3:$D$38,O2,$I$3:$I$38)</f>
        <v>187800000</v>
      </c>
      <c r="P3">
        <f>SUMIF($D$3:$D$38,P2,$I$3:$I$38)</f>
        <v>771500000</v>
      </c>
      <c r="Q3">
        <f>SUMIF($D$3:$D$38,Q2,$I$3:$I$38)</f>
        <v>200000000</v>
      </c>
      <c r="R3">
        <f>SUM(O3:Q3)</f>
        <v>1159300000</v>
      </c>
    </row>
    <row r="4" spans="2:18">
      <c r="B4" s="407"/>
      <c r="C4" s="407" t="s">
        <v>5</v>
      </c>
      <c r="D4" s="407" t="s">
        <v>2</v>
      </c>
      <c r="E4" s="37">
        <v>4321</v>
      </c>
      <c r="H4">
        <f>I4/E4</f>
        <v>44758.157833834761</v>
      </c>
      <c r="I4" s="37">
        <f>193.4*Million</f>
        <v>193400000</v>
      </c>
      <c r="N4" s="407"/>
    </row>
    <row r="5" spans="2:18">
      <c r="C5" s="407" t="s">
        <v>7</v>
      </c>
      <c r="D5" s="407" t="s">
        <v>1</v>
      </c>
      <c r="E5" s="37">
        <v>91</v>
      </c>
      <c r="H5">
        <f>I5/E5</f>
        <v>102197.8021978022</v>
      </c>
      <c r="I5" s="37">
        <f>9.3*Million</f>
        <v>9300000</v>
      </c>
      <c r="O5">
        <v>2025</v>
      </c>
      <c r="P5">
        <f>O5+1</f>
        <v>2026</v>
      </c>
      <c r="Q5">
        <f>P5+1</f>
        <v>2027</v>
      </c>
    </row>
    <row r="6" spans="2:18">
      <c r="C6" s="407" t="s">
        <v>7</v>
      </c>
      <c r="D6" s="407" t="s">
        <v>3</v>
      </c>
      <c r="E6" s="37">
        <v>5381</v>
      </c>
      <c r="H6">
        <f>I6/E6</f>
        <v>27875.85950566809</v>
      </c>
      <c r="I6" s="37">
        <f>150*Million</f>
        <v>150000000</v>
      </c>
      <c r="N6" s="407" t="s">
        <v>2</v>
      </c>
      <c r="O6" s="31">
        <v>0.1</v>
      </c>
      <c r="P6" s="31">
        <v>0.5</v>
      </c>
      <c r="Q6" s="31">
        <v>1</v>
      </c>
    </row>
    <row r="7" spans="2:18">
      <c r="B7" s="407"/>
      <c r="C7" s="407"/>
      <c r="D7" s="407"/>
      <c r="E7" s="37"/>
      <c r="I7" s="37"/>
      <c r="N7" s="407" t="s">
        <v>3</v>
      </c>
      <c r="O7" s="31">
        <v>0.17</v>
      </c>
      <c r="P7" s="31">
        <v>0.33</v>
      </c>
      <c r="Q7" s="31">
        <v>1</v>
      </c>
    </row>
    <row r="8" spans="2:18">
      <c r="B8" s="407" t="s">
        <v>8</v>
      </c>
      <c r="C8" s="407" t="s">
        <v>5</v>
      </c>
      <c r="D8" s="407" t="s">
        <v>1</v>
      </c>
      <c r="E8" s="37">
        <v>353</v>
      </c>
      <c r="H8">
        <f>I8/E8</f>
        <v>136827.19546742211</v>
      </c>
      <c r="I8" s="37">
        <f>48.3*Million</f>
        <v>48300000</v>
      </c>
    </row>
    <row r="9" spans="2:18">
      <c r="B9" s="407"/>
      <c r="C9" s="407" t="s">
        <v>5</v>
      </c>
      <c r="D9" s="407" t="s">
        <v>2</v>
      </c>
      <c r="E9" s="37">
        <v>2510</v>
      </c>
      <c r="H9">
        <f>I9/E9</f>
        <v>149800.796812749</v>
      </c>
      <c r="I9" s="37">
        <f>376*Million</f>
        <v>376000000</v>
      </c>
      <c r="N9" s="420" t="s">
        <v>9</v>
      </c>
      <c r="O9" s="38">
        <v>2025</v>
      </c>
      <c r="P9" s="38">
        <f>O9+1</f>
        <v>2026</v>
      </c>
      <c r="Q9" s="38">
        <f>P9+1</f>
        <v>2027</v>
      </c>
    </row>
    <row r="10" spans="2:18">
      <c r="C10" s="407" t="s">
        <v>7</v>
      </c>
      <c r="D10" s="407" t="s">
        <v>1</v>
      </c>
      <c r="E10" s="37">
        <v>86</v>
      </c>
      <c r="H10">
        <f>I10/E10</f>
        <v>166279.06976744186</v>
      </c>
      <c r="I10" s="37">
        <f>14.3*Million</f>
        <v>14300000</v>
      </c>
      <c r="N10" s="407" t="s">
        <v>1</v>
      </c>
      <c r="O10">
        <f>$O$3</f>
        <v>187800000</v>
      </c>
      <c r="P10">
        <f>$O$3</f>
        <v>187800000</v>
      </c>
      <c r="Q10">
        <f>$O$3</f>
        <v>187800000</v>
      </c>
    </row>
    <row r="11" spans="2:18">
      <c r="C11" s="407" t="s">
        <v>7</v>
      </c>
      <c r="D11" s="407" t="s">
        <v>3</v>
      </c>
      <c r="E11" s="37">
        <v>219</v>
      </c>
      <c r="H11">
        <f>I11/E11</f>
        <v>123287.67123287672</v>
      </c>
      <c r="I11" s="37">
        <f>27*Million</f>
        <v>27000000</v>
      </c>
      <c r="N11" s="407" t="s">
        <v>2</v>
      </c>
      <c r="O11">
        <f>$P$3*O6</f>
        <v>77150000</v>
      </c>
      <c r="P11">
        <f>$P$3*P6</f>
        <v>385750000</v>
      </c>
      <c r="Q11">
        <f>$P$3*Q6</f>
        <v>771500000</v>
      </c>
    </row>
    <row r="12" spans="2:18">
      <c r="C12" s="407"/>
      <c r="D12" s="407"/>
      <c r="E12" s="37"/>
      <c r="I12" s="37"/>
      <c r="N12" s="407" t="s">
        <v>3</v>
      </c>
      <c r="O12">
        <f>$Q$3*O7</f>
        <v>34000000</v>
      </c>
      <c r="P12">
        <f>$Q$3*P7</f>
        <v>66000000</v>
      </c>
      <c r="Q12">
        <f>$Q$3*Q7</f>
        <v>200000000</v>
      </c>
    </row>
    <row r="13" spans="2:18">
      <c r="B13" s="407" t="s">
        <v>10</v>
      </c>
      <c r="C13" s="407" t="s">
        <v>5</v>
      </c>
      <c r="D13" s="407" t="s">
        <v>1</v>
      </c>
      <c r="E13" s="37">
        <v>545</v>
      </c>
      <c r="H13">
        <f>I13/E13</f>
        <v>83853.211009174309</v>
      </c>
      <c r="I13" s="37">
        <f>45.7*Million</f>
        <v>45700000</v>
      </c>
    </row>
    <row r="14" spans="2:18">
      <c r="B14" s="407"/>
      <c r="C14" s="407" t="s">
        <v>5</v>
      </c>
      <c r="D14" s="407" t="s">
        <v>2</v>
      </c>
      <c r="E14" s="37"/>
      <c r="I14" s="37"/>
    </row>
    <row r="15" spans="2:18">
      <c r="C15" s="407" t="s">
        <v>7</v>
      </c>
      <c r="D15" s="407" t="s">
        <v>1</v>
      </c>
      <c r="E15" s="37"/>
      <c r="I15" s="37"/>
      <c r="N15" s="407" t="s">
        <v>9</v>
      </c>
      <c r="O15" s="407" t="s">
        <v>5</v>
      </c>
      <c r="P15" s="407" t="s">
        <v>7</v>
      </c>
    </row>
    <row r="16" spans="2:18">
      <c r="C16" s="407" t="s">
        <v>7</v>
      </c>
      <c r="D16" s="407" t="s">
        <v>3</v>
      </c>
      <c r="E16" s="37">
        <v>173</v>
      </c>
      <c r="H16">
        <f>I16/E16</f>
        <v>80924.855491329479</v>
      </c>
      <c r="I16" s="37">
        <f>14*Million</f>
        <v>14000000</v>
      </c>
      <c r="O16">
        <f>SUMIF($C$3:$C$38,O15,$I$3:$I$38)</f>
        <v>935700000</v>
      </c>
      <c r="P16">
        <f>SUMIF($C$3:$C$38,P15,$I$3:$I$38)</f>
        <v>223600000</v>
      </c>
      <c r="R16">
        <f>SUM(O16:Q16)</f>
        <v>1159300000</v>
      </c>
    </row>
    <row r="17" spans="2:17">
      <c r="E17" s="37"/>
      <c r="I17" s="37"/>
    </row>
    <row r="18" spans="2:17">
      <c r="E18" s="37"/>
      <c r="I18" s="37"/>
      <c r="O18" s="38">
        <v>2025</v>
      </c>
      <c r="P18" s="38">
        <f>O18+1</f>
        <v>2026</v>
      </c>
      <c r="Q18" s="38">
        <f>P18+1</f>
        <v>2027</v>
      </c>
    </row>
    <row r="19" spans="2:17">
      <c r="B19" s="2" t="s">
        <v>11</v>
      </c>
      <c r="E19" s="37"/>
      <c r="I19" s="37"/>
    </row>
    <row r="20" spans="2:17">
      <c r="B20" s="407" t="s">
        <v>12</v>
      </c>
      <c r="C20" s="407" t="s">
        <v>5</v>
      </c>
      <c r="D20" s="407" t="s">
        <v>1</v>
      </c>
      <c r="E20" s="37">
        <v>150</v>
      </c>
      <c r="H20">
        <f>I20/E20</f>
        <v>96000</v>
      </c>
      <c r="I20" s="37">
        <f>14.4*Million</f>
        <v>14400000</v>
      </c>
    </row>
    <row r="21" spans="2:17">
      <c r="B21" s="407"/>
      <c r="C21" s="407" t="s">
        <v>5</v>
      </c>
      <c r="D21" s="407" t="s">
        <v>2</v>
      </c>
      <c r="E21" s="37">
        <v>83</v>
      </c>
      <c r="H21">
        <f>I21/E21</f>
        <v>218072.2891566265</v>
      </c>
      <c r="I21" s="37">
        <f>18.1*Million</f>
        <v>18100000</v>
      </c>
    </row>
    <row r="22" spans="2:17">
      <c r="C22" s="407" t="s">
        <v>7</v>
      </c>
      <c r="D22" s="407" t="s">
        <v>1</v>
      </c>
      <c r="E22" s="37">
        <v>0</v>
      </c>
      <c r="H22">
        <v>0</v>
      </c>
      <c r="I22" s="37">
        <v>0</v>
      </c>
    </row>
    <row r="23" spans="2:17">
      <c r="C23" s="407" t="s">
        <v>7</v>
      </c>
      <c r="D23" s="407" t="s">
        <v>3</v>
      </c>
      <c r="E23" s="37">
        <v>37</v>
      </c>
      <c r="H23">
        <f>I23/E23</f>
        <v>81081.08108108108</v>
      </c>
      <c r="I23" s="37">
        <f>3*Million</f>
        <v>3000000</v>
      </c>
    </row>
    <row r="24" spans="2:17">
      <c r="E24" s="37"/>
      <c r="I24" s="37"/>
    </row>
    <row r="25" spans="2:17">
      <c r="B25" s="407" t="s">
        <v>13</v>
      </c>
      <c r="C25" s="407" t="s">
        <v>5</v>
      </c>
      <c r="D25" s="407" t="s">
        <v>1</v>
      </c>
      <c r="E25" s="37">
        <v>1091</v>
      </c>
      <c r="H25">
        <f>I25/E25</f>
        <v>23098.075160403299</v>
      </c>
      <c r="I25" s="37">
        <f>25.2*Million</f>
        <v>25200000</v>
      </c>
    </row>
    <row r="26" spans="2:17">
      <c r="B26" s="407"/>
      <c r="C26" s="407" t="s">
        <v>5</v>
      </c>
      <c r="D26" s="407" t="s">
        <v>2</v>
      </c>
      <c r="E26" s="37">
        <v>3049</v>
      </c>
      <c r="H26">
        <f>I26/E26</f>
        <v>7674.6474253853721</v>
      </c>
      <c r="I26" s="37">
        <f>23.4*Million</f>
        <v>23400000</v>
      </c>
    </row>
    <row r="27" spans="2:17">
      <c r="C27" s="407" t="s">
        <v>7</v>
      </c>
      <c r="D27" s="407" t="s">
        <v>1</v>
      </c>
      <c r="E27" s="37">
        <v>0</v>
      </c>
      <c r="H27">
        <v>0</v>
      </c>
      <c r="I27" s="37">
        <v>0</v>
      </c>
    </row>
    <row r="28" spans="2:17">
      <c r="C28" s="407" t="s">
        <v>7</v>
      </c>
      <c r="D28" s="407" t="s">
        <v>3</v>
      </c>
      <c r="E28" s="37">
        <v>144</v>
      </c>
      <c r="H28">
        <f>I28/E28</f>
        <v>41666.666666666664</v>
      </c>
      <c r="I28" s="37">
        <f>6*Million</f>
        <v>6000000</v>
      </c>
    </row>
    <row r="29" spans="2:17">
      <c r="E29" s="37"/>
      <c r="I29" s="37"/>
    </row>
    <row r="30" spans="2:17">
      <c r="E30" s="37"/>
      <c r="I30" s="37"/>
    </row>
    <row r="31" spans="2:17">
      <c r="B31" s="2" t="s">
        <v>14</v>
      </c>
      <c r="E31" s="37"/>
      <c r="I31" s="37"/>
    </row>
    <row r="32" spans="2:17">
      <c r="B32" s="407" t="s">
        <v>15</v>
      </c>
      <c r="C32" s="407" t="s">
        <v>5</v>
      </c>
      <c r="D32" s="407"/>
      <c r="E32" s="37"/>
      <c r="I32" s="37"/>
    </row>
    <row r="33" spans="2:9">
      <c r="B33" s="407"/>
      <c r="C33" s="407" t="s">
        <v>5</v>
      </c>
      <c r="D33" s="407" t="s">
        <v>2</v>
      </c>
      <c r="E33" s="37">
        <v>535</v>
      </c>
      <c r="H33">
        <f>I33/E33</f>
        <v>263551.4018691589</v>
      </c>
      <c r="I33" s="37">
        <f>141*Million</f>
        <v>141000000</v>
      </c>
    </row>
    <row r="34" spans="2:9">
      <c r="C34" s="407"/>
      <c r="D34" s="407"/>
      <c r="E34" s="37"/>
      <c r="I34" s="37"/>
    </row>
    <row r="35" spans="2:9">
      <c r="C35" s="407"/>
      <c r="D35" s="407"/>
      <c r="E35" s="37"/>
      <c r="I35" s="37"/>
    </row>
    <row r="36" spans="2:9">
      <c r="E36" s="37"/>
      <c r="I36" s="37"/>
    </row>
    <row r="37" spans="2:9">
      <c r="B37" s="407" t="s">
        <v>16</v>
      </c>
      <c r="C37" s="407" t="s">
        <v>5</v>
      </c>
      <c r="D37" s="407"/>
      <c r="E37" s="37"/>
      <c r="I37" s="37"/>
    </row>
    <row r="38" spans="2:9">
      <c r="B38" s="407"/>
      <c r="C38" s="407" t="s">
        <v>5</v>
      </c>
      <c r="D38" s="407" t="s">
        <v>2</v>
      </c>
      <c r="E38" s="37">
        <v>46</v>
      </c>
      <c r="H38">
        <f>I38/E38</f>
        <v>426086.95652173914</v>
      </c>
      <c r="I38" s="37">
        <f>19.6*Million</f>
        <v>19600000</v>
      </c>
    </row>
    <row r="39" spans="2:9">
      <c r="C39" s="407"/>
      <c r="D39" s="407"/>
    </row>
    <row r="40" spans="2:9">
      <c r="C40" s="407"/>
      <c r="D40" s="40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0BC69-691C-4A35-BC21-CF416CB88E08}">
  <sheetPr codeName="Sheet2">
    <tabColor theme="5"/>
  </sheetPr>
  <dimension ref="A1"/>
  <sheetViews>
    <sheetView topLeftCell="A3" workbookViewId="0">
      <selection activeCell="E24" sqref="E24"/>
    </sheetView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02017-4983-4C33-A651-9A5CB9744604}">
  <sheetPr codeName="Sheet5">
    <tabColor theme="5" tint="0.79998168889431442"/>
  </sheetPr>
  <dimension ref="A1:L105"/>
  <sheetViews>
    <sheetView showGridLines="0" zoomScale="79" workbookViewId="0">
      <selection activeCell="D4" sqref="D4"/>
    </sheetView>
  </sheetViews>
  <sheetFormatPr defaultColWidth="0" defaultRowHeight="15" outlineLevelRow="1"/>
  <cols>
    <col min="1" max="1" width="13.5703125" customWidth="1"/>
    <col min="2" max="11" width="6" customWidth="1"/>
    <col min="12" max="12" width="9.140625" customWidth="1"/>
    <col min="13" max="16384" width="9.140625" hidden="1"/>
  </cols>
  <sheetData>
    <row r="1" spans="1:11" ht="36.75" customHeight="1">
      <c r="B1" s="503" t="s">
        <v>17</v>
      </c>
      <c r="C1" s="503"/>
      <c r="D1" s="503"/>
      <c r="E1" s="503"/>
      <c r="F1" s="503"/>
      <c r="G1" s="503"/>
      <c r="H1" s="503"/>
      <c r="I1" s="503"/>
      <c r="J1" s="503"/>
      <c r="K1" s="503"/>
    </row>
    <row r="2" spans="1:11">
      <c r="C2" s="207" t="s">
        <v>18</v>
      </c>
      <c r="D2" s="207"/>
      <c r="E2" s="207"/>
      <c r="F2" s="207"/>
      <c r="G2" s="207"/>
      <c r="H2" s="207"/>
      <c r="I2" s="207"/>
      <c r="J2" s="207"/>
      <c r="K2" s="207"/>
    </row>
    <row r="3" spans="1:11">
      <c r="C3" s="219">
        <v>2</v>
      </c>
      <c r="D3" s="219">
        <f>C3+1</f>
        <v>3</v>
      </c>
      <c r="E3" s="219">
        <f t="shared" ref="E3:K3" si="0">D3+1</f>
        <v>4</v>
      </c>
      <c r="F3" s="219">
        <f t="shared" si="0"/>
        <v>5</v>
      </c>
      <c r="G3" s="219">
        <f t="shared" si="0"/>
        <v>6</v>
      </c>
      <c r="H3" s="219">
        <f t="shared" si="0"/>
        <v>7</v>
      </c>
      <c r="I3" s="219">
        <f t="shared" si="0"/>
        <v>8</v>
      </c>
      <c r="J3" s="219">
        <f t="shared" si="0"/>
        <v>9</v>
      </c>
      <c r="K3" s="219">
        <f t="shared" si="0"/>
        <v>10</v>
      </c>
    </row>
    <row r="4" spans="1:11">
      <c r="B4" s="220">
        <v>0.2</v>
      </c>
      <c r="C4" s="212">
        <v>94.560439482988215</v>
      </c>
      <c r="D4" s="213">
        <v>122.86313162736765</v>
      </c>
      <c r="E4" s="213">
        <v>145.46528694719916</v>
      </c>
      <c r="F4" s="213">
        <v>181.20735566089795</v>
      </c>
      <c r="G4" s="213">
        <v>203.4977346166512</v>
      </c>
      <c r="H4" s="213">
        <v>251.39455407671113</v>
      </c>
      <c r="I4" s="213">
        <v>290.76183804397965</v>
      </c>
      <c r="J4" s="213">
        <v>339.6386167043741</v>
      </c>
      <c r="K4" s="213">
        <v>418.83527229428603</v>
      </c>
    </row>
    <row r="5" spans="1:11">
      <c r="B5" s="220">
        <f>B4-1%</f>
        <v>0.19</v>
      </c>
      <c r="C5" s="211">
        <v>94.024716138043246</v>
      </c>
      <c r="D5" s="54">
        <v>121.05410501383645</v>
      </c>
      <c r="E5" s="54">
        <v>141.92970693607083</v>
      </c>
      <c r="F5" s="54">
        <v>175.3816876472913</v>
      </c>
      <c r="G5" s="54">
        <v>194.46808206730731</v>
      </c>
      <c r="H5" s="54">
        <v>238.18790521604194</v>
      </c>
      <c r="I5" s="54">
        <v>271.93469588923705</v>
      </c>
      <c r="J5" s="54">
        <v>313.58856057020876</v>
      </c>
      <c r="K5" s="54">
        <v>383.52292998042941</v>
      </c>
    </row>
    <row r="6" spans="1:11">
      <c r="B6" s="220">
        <f t="shared" ref="B6:B16" si="1">B5-1%</f>
        <v>0.18</v>
      </c>
      <c r="C6" s="211">
        <v>93.488997226511714</v>
      </c>
      <c r="D6" s="54">
        <v>119.25588893173962</v>
      </c>
      <c r="E6" s="54">
        <v>138.4428211424607</v>
      </c>
      <c r="F6" s="54">
        <v>169.68413604068164</v>
      </c>
      <c r="G6" s="54">
        <v>185.70589569632014</v>
      </c>
      <c r="H6" s="54">
        <v>225.47832606989084</v>
      </c>
      <c r="I6" s="54">
        <v>253.95959906318168</v>
      </c>
      <c r="J6" s="54">
        <v>288.91675876996379</v>
      </c>
      <c r="K6" s="54">
        <v>350.36245374433577</v>
      </c>
    </row>
    <row r="7" spans="1:11">
      <c r="A7" s="407"/>
      <c r="B7" s="220">
        <f t="shared" si="1"/>
        <v>0.16999999999999998</v>
      </c>
      <c r="C7" s="211">
        <v>92.953334966582176</v>
      </c>
      <c r="D7" s="54">
        <v>117.46824363246888</v>
      </c>
      <c r="E7" s="54">
        <v>135.00441640630808</v>
      </c>
      <c r="F7" s="54">
        <v>164.11284324173354</v>
      </c>
      <c r="G7" s="54">
        <v>177.20629960558438</v>
      </c>
      <c r="H7" s="54">
        <v>213.2500875668141</v>
      </c>
      <c r="I7" s="54">
        <v>236.80479070446358</v>
      </c>
      <c r="J7" s="54">
        <v>265.56303522246128</v>
      </c>
      <c r="K7" s="54">
        <v>319.23989056257182</v>
      </c>
    </row>
    <row r="8" spans="1:11">
      <c r="B8" s="220">
        <f t="shared" si="1"/>
        <v>0.15999999999999998</v>
      </c>
      <c r="C8" s="211">
        <v>92.417625037927792</v>
      </c>
      <c r="D8" s="54">
        <v>115.69142886926483</v>
      </c>
      <c r="E8" s="54">
        <v>131.61477089472905</v>
      </c>
      <c r="F8" s="54">
        <v>158.66705552421112</v>
      </c>
      <c r="G8" s="54">
        <v>168.96269981204941</v>
      </c>
      <c r="H8" s="54">
        <v>201.48920993741521</v>
      </c>
      <c r="I8" s="54">
        <v>220.43620880030585</v>
      </c>
      <c r="J8" s="54">
        <v>243.46773607912459</v>
      </c>
      <c r="K8" s="54">
        <v>290.03993279412816</v>
      </c>
    </row>
    <row r="9" spans="1:11">
      <c r="B9" s="220">
        <f t="shared" si="1"/>
        <v>0.14999999999999997</v>
      </c>
      <c r="C9" s="211">
        <v>91.881910155821956</v>
      </c>
      <c r="D9" s="54">
        <v>113.92536777488242</v>
      </c>
      <c r="E9" s="54">
        <v>128.27287934840029</v>
      </c>
      <c r="F9" s="54">
        <v>153.34362093078397</v>
      </c>
      <c r="G9" s="54">
        <v>160.96935331546462</v>
      </c>
      <c r="H9" s="54">
        <v>190.18175171215961</v>
      </c>
      <c r="I9" s="54">
        <v>204.82579927476348</v>
      </c>
      <c r="J9" s="54">
        <v>222.57030466707522</v>
      </c>
      <c r="K9" s="54">
        <v>262.65879771923244</v>
      </c>
    </row>
    <row r="10" spans="1:11">
      <c r="B10" s="220">
        <f t="shared" si="1"/>
        <v>0.13999999999999996</v>
      </c>
      <c r="C10" s="211">
        <v>91.346185856127036</v>
      </c>
      <c r="D10" s="54">
        <v>112.16994392236616</v>
      </c>
      <c r="E10" s="54">
        <v>124.97877903070328</v>
      </c>
      <c r="F10" s="54">
        <v>148.14178943255425</v>
      </c>
      <c r="G10" s="54">
        <v>153.22110495551854</v>
      </c>
      <c r="H10" s="54">
        <v>179.31272018238528</v>
      </c>
      <c r="I10" s="54">
        <v>189.94107089397505</v>
      </c>
      <c r="J10" s="54">
        <v>202.81288824378822</v>
      </c>
      <c r="K10" s="54">
        <v>236.99781655297275</v>
      </c>
    </row>
    <row r="11" spans="1:11">
      <c r="B11" s="220">
        <f t="shared" si="1"/>
        <v>0.12999999999999995</v>
      </c>
      <c r="C11" s="211">
        <v>90.810467377085928</v>
      </c>
      <c r="D11" s="54">
        <v>110.42524636062365</v>
      </c>
      <c r="E11" s="54">
        <v>121.73201774494257</v>
      </c>
      <c r="F11" s="54">
        <v>143.05917684306905</v>
      </c>
      <c r="G11" s="54">
        <v>145.71153261684478</v>
      </c>
      <c r="H11" s="54">
        <v>168.86912474852485</v>
      </c>
      <c r="I11" s="54">
        <v>175.75611903638602</v>
      </c>
      <c r="J11" s="54">
        <v>184.14290882842303</v>
      </c>
      <c r="K11" s="54">
        <v>212.96098049482973</v>
      </c>
    </row>
    <row r="12" spans="1:11">
      <c r="B12" s="220">
        <f t="shared" si="1"/>
        <v>0.11999999999999995</v>
      </c>
      <c r="C12" s="211">
        <v>90.274792714134094</v>
      </c>
      <c r="D12" s="54">
        <v>108.69130534185297</v>
      </c>
      <c r="E12" s="54">
        <v>118.53213633448399</v>
      </c>
      <c r="F12" s="54">
        <v>138.09463657961092</v>
      </c>
      <c r="G12" s="54">
        <v>138.43538908353867</v>
      </c>
      <c r="H12" s="54">
        <v>158.83588530984284</v>
      </c>
      <c r="I12" s="54">
        <v>162.24125164283004</v>
      </c>
      <c r="J12" s="54">
        <v>166.50741519917867</v>
      </c>
      <c r="K12" s="54">
        <v>190.45665530795796</v>
      </c>
    </row>
    <row r="13" spans="1:11">
      <c r="B13" s="220">
        <f t="shared" si="1"/>
        <v>0.10999999999999996</v>
      </c>
      <c r="C13" s="211">
        <v>89.739103673063042</v>
      </c>
      <c r="D13" s="54">
        <v>106.96795150045799</v>
      </c>
      <c r="E13" s="54">
        <v>115.37898358350249</v>
      </c>
      <c r="F13" s="54">
        <v>133.24516494120695</v>
      </c>
      <c r="G13" s="54">
        <v>131.3873917699313</v>
      </c>
      <c r="H13" s="54">
        <v>149.20204585271287</v>
      </c>
      <c r="I13" s="54">
        <v>149.37076377798093</v>
      </c>
      <c r="J13" s="54">
        <v>149.85840585929515</v>
      </c>
      <c r="K13" s="54">
        <v>169.3974744545832</v>
      </c>
    </row>
    <row r="14" spans="1:11">
      <c r="B14" s="220">
        <f t="shared" si="1"/>
        <v>9.9999999999999964E-2</v>
      </c>
      <c r="C14" s="211">
        <v>89.20338739590288</v>
      </c>
      <c r="D14" s="54">
        <v>105.25546482162834</v>
      </c>
      <c r="E14" s="54">
        <v>112.27248997592743</v>
      </c>
      <c r="F14" s="54">
        <v>128.51053083751486</v>
      </c>
      <c r="G14" s="54">
        <v>124.56154282673947</v>
      </c>
      <c r="H14" s="54">
        <v>139.95431201694333</v>
      </c>
      <c r="I14" s="54">
        <v>137.11780742999161</v>
      </c>
      <c r="J14" s="54">
        <v>134.14456060908219</v>
      </c>
      <c r="K14" s="54">
        <v>149.70142966817508</v>
      </c>
    </row>
    <row r="15" spans="1:11">
      <c r="B15" s="220">
        <f t="shared" si="1"/>
        <v>8.9999999999999969E-2</v>
      </c>
      <c r="C15" s="211">
        <v>88.667658373397629</v>
      </c>
      <c r="D15" s="54">
        <v>103.55369430329792</v>
      </c>
      <c r="E15" s="54">
        <v>109.21177105201842</v>
      </c>
      <c r="F15" s="54">
        <v>123.88778701900928</v>
      </c>
      <c r="G15" s="54">
        <v>117.9526392604693</v>
      </c>
      <c r="H15" s="54">
        <v>131.07871436849345</v>
      </c>
      <c r="I15" s="54">
        <v>125.45725415267087</v>
      </c>
      <c r="J15" s="54">
        <v>119.32195191905164</v>
      </c>
      <c r="K15" s="54">
        <v>131.29043447422646</v>
      </c>
    </row>
    <row r="16" spans="1:11">
      <c r="B16" s="220">
        <f t="shared" si="1"/>
        <v>7.9999999999999974E-2</v>
      </c>
      <c r="C16" s="211">
        <v>88.131998721720294</v>
      </c>
      <c r="D16" s="54">
        <v>101.8624571089708</v>
      </c>
      <c r="E16" s="54">
        <v>106.19700627391478</v>
      </c>
      <c r="F16" s="54">
        <v>119.37573901166155</v>
      </c>
      <c r="G16" s="54">
        <v>111.555979211024</v>
      </c>
      <c r="H16" s="54">
        <v>122.56441872067829</v>
      </c>
      <c r="I16" s="54">
        <v>114.36431563756766</v>
      </c>
      <c r="J16" s="54">
        <v>105.34582275870831</v>
      </c>
      <c r="K16" s="54">
        <v>114.09231743865685</v>
      </c>
    </row>
    <row r="17" spans="1:11">
      <c r="B17" s="31"/>
    </row>
    <row r="18" spans="1:11">
      <c r="B18" s="31"/>
    </row>
    <row r="19" spans="1:11" ht="33" customHeight="1">
      <c r="A19" s="407" t="s">
        <v>19</v>
      </c>
      <c r="B19" s="503" t="s">
        <v>20</v>
      </c>
      <c r="C19" s="504"/>
      <c r="D19" s="504"/>
      <c r="E19" s="504"/>
      <c r="F19" s="504"/>
      <c r="G19" s="504"/>
      <c r="H19" s="504"/>
      <c r="I19" s="504"/>
      <c r="J19" s="504"/>
      <c r="K19" s="504"/>
    </row>
    <row r="20" spans="1:11">
      <c r="C20" s="217">
        <v>2</v>
      </c>
      <c r="D20" s="217">
        <f>C20+1</f>
        <v>3</v>
      </c>
      <c r="E20" s="217">
        <f t="shared" ref="E20:K20" si="2">D20+1</f>
        <v>4</v>
      </c>
      <c r="F20" s="217">
        <f t="shared" si="2"/>
        <v>5</v>
      </c>
      <c r="G20" s="217">
        <f t="shared" si="2"/>
        <v>6</v>
      </c>
      <c r="H20" s="217">
        <f t="shared" si="2"/>
        <v>7</v>
      </c>
      <c r="I20" s="217">
        <f t="shared" si="2"/>
        <v>8</v>
      </c>
      <c r="J20" s="217">
        <f t="shared" si="2"/>
        <v>9</v>
      </c>
      <c r="K20" s="217">
        <f t="shared" si="2"/>
        <v>10</v>
      </c>
    </row>
    <row r="21" spans="1:11">
      <c r="B21" s="218">
        <v>0.2</v>
      </c>
      <c r="C21" s="212">
        <v>67.33928815928644</v>
      </c>
      <c r="D21" s="213">
        <v>100.71381898746998</v>
      </c>
      <c r="E21" s="213">
        <v>118.07729960178654</v>
      </c>
      <c r="F21" s="213">
        <v>120.91285075771142</v>
      </c>
      <c r="G21" s="213">
        <v>122.75247626310409</v>
      </c>
      <c r="H21" s="213">
        <v>132.85457861552536</v>
      </c>
      <c r="I21" s="213">
        <v>148.61658664131818</v>
      </c>
      <c r="J21" s="213">
        <v>172.4133588712474</v>
      </c>
      <c r="K21" s="213">
        <v>244.34474600379141</v>
      </c>
    </row>
    <row r="22" spans="1:11">
      <c r="B22" s="218">
        <f>B21-1%</f>
        <v>0.19</v>
      </c>
      <c r="C22" s="211">
        <v>66.80356481434147</v>
      </c>
      <c r="D22" s="54">
        <v>98.90479237393879</v>
      </c>
      <c r="E22" s="54">
        <v>114.5417195906582</v>
      </c>
      <c r="F22" s="54">
        <v>115.08718274410478</v>
      </c>
      <c r="G22" s="54">
        <v>113.72282371376019</v>
      </c>
      <c r="H22" s="54">
        <v>119.64792975485616</v>
      </c>
      <c r="I22" s="54">
        <v>129.78944448657558</v>
      </c>
      <c r="J22" s="54">
        <v>146.36330273708205</v>
      </c>
      <c r="K22" s="54">
        <v>209.0324036899348</v>
      </c>
    </row>
    <row r="23" spans="1:11">
      <c r="B23" s="218">
        <f t="shared" ref="B23:B33" si="3">B22-1%</f>
        <v>0.18</v>
      </c>
      <c r="C23" s="211">
        <v>66.267845902809938</v>
      </c>
      <c r="D23" s="54">
        <v>97.106576291841947</v>
      </c>
      <c r="E23" s="54">
        <v>111.05483379704808</v>
      </c>
      <c r="F23" s="54">
        <v>109.38963113749512</v>
      </c>
      <c r="G23" s="54">
        <v>104.96063734277303</v>
      </c>
      <c r="H23" s="54">
        <v>106.93835060870506</v>
      </c>
      <c r="I23" s="54">
        <v>111.81434766052021</v>
      </c>
      <c r="J23" s="54">
        <v>121.69150093683709</v>
      </c>
      <c r="K23" s="54">
        <v>175.87192745384115</v>
      </c>
    </row>
    <row r="24" spans="1:11">
      <c r="A24" s="407" t="s">
        <v>21</v>
      </c>
      <c r="B24" s="218">
        <f t="shared" si="3"/>
        <v>0.16999999999999998</v>
      </c>
      <c r="C24" s="211">
        <v>65.7321836428804</v>
      </c>
      <c r="D24" s="54">
        <v>95.318930992571211</v>
      </c>
      <c r="E24" s="54">
        <v>107.61642906089546</v>
      </c>
      <c r="F24" s="54">
        <v>103.81833833854702</v>
      </c>
      <c r="G24" s="54">
        <v>96.461041252037262</v>
      </c>
      <c r="H24" s="54">
        <v>94.710112105628326</v>
      </c>
      <c r="I24" s="54">
        <v>94.659539301802113</v>
      </c>
      <c r="J24" s="54">
        <v>98.337777389334576</v>
      </c>
      <c r="K24" s="54">
        <v>144.7493642720772</v>
      </c>
    </row>
    <row r="25" spans="1:11">
      <c r="B25" s="218">
        <f t="shared" si="3"/>
        <v>0.15999999999999998</v>
      </c>
      <c r="C25" s="211">
        <v>65.196473714226016</v>
      </c>
      <c r="D25" s="54">
        <v>93.542116229367167</v>
      </c>
      <c r="E25" s="54">
        <v>104.22678354931642</v>
      </c>
      <c r="F25" s="54">
        <v>98.372550621024601</v>
      </c>
      <c r="G25" s="54">
        <v>88.217441458502293</v>
      </c>
      <c r="H25" s="54">
        <v>82.949234476229435</v>
      </c>
      <c r="I25" s="54">
        <v>78.290957397644377</v>
      </c>
      <c r="J25" s="54">
        <v>76.242478245997887</v>
      </c>
      <c r="K25" s="54">
        <v>115.54940650363355</v>
      </c>
    </row>
    <row r="26" spans="1:11">
      <c r="B26" s="218">
        <f t="shared" si="3"/>
        <v>0.14999999999999997</v>
      </c>
      <c r="C26" s="211">
        <v>64.66075883212018</v>
      </c>
      <c r="D26" s="54">
        <v>91.776055134984745</v>
      </c>
      <c r="E26" s="54">
        <v>100.88489200298767</v>
      </c>
      <c r="F26" s="54">
        <v>93.049116027597449</v>
      </c>
      <c r="G26" s="54">
        <v>80.224094961917501</v>
      </c>
      <c r="H26" s="54">
        <v>71.641776250973834</v>
      </c>
      <c r="I26" s="54">
        <v>62.680547872102011</v>
      </c>
      <c r="J26" s="54">
        <v>55.345046833948516</v>
      </c>
      <c r="K26" s="54">
        <v>88.168271428737825</v>
      </c>
    </row>
    <row r="27" spans="1:11">
      <c r="B27" s="218">
        <f t="shared" si="3"/>
        <v>0.13999999999999996</v>
      </c>
      <c r="C27" s="211">
        <v>64.125034532425261</v>
      </c>
      <c r="D27" s="54">
        <v>90.020631282468486</v>
      </c>
      <c r="E27" s="54">
        <v>97.59079168529064</v>
      </c>
      <c r="F27" s="54">
        <v>87.847284529367727</v>
      </c>
      <c r="G27" s="54">
        <v>72.475846601971426</v>
      </c>
      <c r="H27" s="54">
        <v>60.772744721199501</v>
      </c>
      <c r="I27" s="54">
        <v>47.79581949131358</v>
      </c>
      <c r="J27" s="54">
        <v>35.587630410661518</v>
      </c>
      <c r="K27" s="54">
        <v>62.507290262478136</v>
      </c>
    </row>
    <row r="28" spans="1:11">
      <c r="B28" s="218">
        <f t="shared" si="3"/>
        <v>0.12999999999999995</v>
      </c>
      <c r="C28" s="211">
        <v>63.589316053384152</v>
      </c>
      <c r="D28" s="54">
        <v>88.275933720725988</v>
      </c>
      <c r="E28" s="54">
        <v>94.344030399529942</v>
      </c>
      <c r="F28" s="54">
        <v>82.764671939882533</v>
      </c>
      <c r="G28" s="54">
        <v>64.966274263297663</v>
      </c>
      <c r="H28" s="54">
        <v>50.329149287339078</v>
      </c>
      <c r="I28" s="54">
        <v>33.610867633724553</v>
      </c>
      <c r="J28" s="54">
        <v>16.917650995296327</v>
      </c>
      <c r="K28" s="54">
        <v>38.470454204335113</v>
      </c>
    </row>
    <row r="29" spans="1:11">
      <c r="B29" s="218">
        <f t="shared" si="3"/>
        <v>0.11999999999999995</v>
      </c>
      <c r="C29" s="211">
        <v>63.053641390432318</v>
      </c>
      <c r="D29" s="54">
        <v>86.541992701955309</v>
      </c>
      <c r="E29" s="54">
        <v>91.144148989071368</v>
      </c>
      <c r="F29" s="54">
        <v>77.8001316764244</v>
      </c>
      <c r="G29" s="54">
        <v>57.690130729991552</v>
      </c>
      <c r="H29" s="54">
        <v>40.295909848657061</v>
      </c>
      <c r="I29" s="54">
        <v>20.096000240168564</v>
      </c>
      <c r="J29" s="54">
        <v>-0.71784263394803816</v>
      </c>
      <c r="K29" s="54">
        <v>15.966129017463345</v>
      </c>
    </row>
    <row r="30" spans="1:11">
      <c r="B30" s="218">
        <f t="shared" si="3"/>
        <v>0.10999999999999996</v>
      </c>
      <c r="C30" s="211">
        <v>62.517952349361266</v>
      </c>
      <c r="D30" s="54">
        <v>84.818638860560327</v>
      </c>
      <c r="E30" s="54">
        <v>87.990996238089849</v>
      </c>
      <c r="F30" s="54">
        <v>72.95066003802043</v>
      </c>
      <c r="G30" s="54">
        <v>50.642133416384183</v>
      </c>
      <c r="H30" s="54">
        <v>30.662070391527095</v>
      </c>
      <c r="I30" s="54">
        <v>7.2255123753194539</v>
      </c>
      <c r="J30" s="54">
        <v>-17.366851973831558</v>
      </c>
      <c r="K30" s="54">
        <v>-5.0930518359114103</v>
      </c>
    </row>
    <row r="31" spans="1:11">
      <c r="B31" s="218">
        <f t="shared" si="3"/>
        <v>9.9999999999999964E-2</v>
      </c>
      <c r="C31" s="211">
        <v>61.982236072201104</v>
      </c>
      <c r="D31" s="54">
        <v>83.106152181730664</v>
      </c>
      <c r="E31" s="54">
        <v>84.884502630514788</v>
      </c>
      <c r="F31" s="54">
        <v>68.216025934328343</v>
      </c>
      <c r="G31" s="54">
        <v>43.816284473192354</v>
      </c>
      <c r="H31" s="54">
        <v>21.414336555757558</v>
      </c>
      <c r="I31" s="54">
        <v>-5.0274439726698574</v>
      </c>
      <c r="J31" s="54">
        <v>-33.080697224044513</v>
      </c>
      <c r="K31" s="54">
        <v>-24.789096622319533</v>
      </c>
    </row>
    <row r="32" spans="1:11">
      <c r="B32" s="218">
        <f t="shared" si="3"/>
        <v>8.9999999999999969E-2</v>
      </c>
      <c r="C32" s="211">
        <v>61.446507049695853</v>
      </c>
      <c r="D32" s="54">
        <v>81.404381663400244</v>
      </c>
      <c r="E32" s="54">
        <v>81.823783706605781</v>
      </c>
      <c r="F32" s="54">
        <v>63.593282115822767</v>
      </c>
      <c r="G32" s="54">
        <v>37.207380906922182</v>
      </c>
      <c r="H32" s="54">
        <v>12.538738907307675</v>
      </c>
      <c r="I32" s="54">
        <v>-16.687997249990602</v>
      </c>
      <c r="J32" s="54">
        <v>-47.903305914075062</v>
      </c>
      <c r="K32" s="54">
        <v>-43.200091816268156</v>
      </c>
    </row>
    <row r="33" spans="1:11">
      <c r="B33" s="218">
        <f t="shared" si="3"/>
        <v>7.9999999999999974E-2</v>
      </c>
      <c r="C33" s="211">
        <v>60.910847398018518</v>
      </c>
      <c r="D33" s="54">
        <v>79.713144469073143</v>
      </c>
      <c r="E33" s="54">
        <v>78.809018928502155</v>
      </c>
      <c r="F33" s="54">
        <v>59.081234108475037</v>
      </c>
      <c r="G33" s="54">
        <v>30.81072085747688</v>
      </c>
      <c r="H33" s="54">
        <v>4.0244432594925144</v>
      </c>
      <c r="I33" s="54">
        <v>-27.780935765093815</v>
      </c>
      <c r="J33" s="54">
        <v>-61.879435074418396</v>
      </c>
      <c r="K33" s="54">
        <v>-60.398208851837765</v>
      </c>
    </row>
    <row r="36" spans="1:11" ht="44.25" customHeight="1">
      <c r="A36">
        <v>1</v>
      </c>
      <c r="B36" s="503" t="s">
        <v>22</v>
      </c>
      <c r="C36" s="503"/>
      <c r="D36" s="503"/>
      <c r="E36" s="503"/>
      <c r="F36" s="503"/>
      <c r="G36" s="503"/>
      <c r="H36" s="503"/>
      <c r="I36" s="503"/>
      <c r="J36" s="503"/>
      <c r="K36" s="503"/>
    </row>
    <row r="37" spans="1:11" s="17" customFormat="1">
      <c r="B37" s="17" t="s">
        <v>23</v>
      </c>
    </row>
    <row r="38" spans="1:11">
      <c r="C38" s="214">
        <v>2</v>
      </c>
      <c r="D38" s="214">
        <f t="shared" ref="D38:K38" si="4">C38+1</f>
        <v>3</v>
      </c>
      <c r="E38" s="214">
        <f t="shared" si="4"/>
        <v>4</v>
      </c>
      <c r="F38" s="214">
        <f t="shared" si="4"/>
        <v>5</v>
      </c>
      <c r="G38" s="214">
        <f t="shared" si="4"/>
        <v>6</v>
      </c>
      <c r="H38" s="214">
        <f t="shared" si="4"/>
        <v>7</v>
      </c>
      <c r="I38" s="214">
        <f t="shared" si="4"/>
        <v>8</v>
      </c>
      <c r="J38" s="214">
        <f t="shared" si="4"/>
        <v>9</v>
      </c>
      <c r="K38" s="214">
        <f t="shared" si="4"/>
        <v>10</v>
      </c>
    </row>
    <row r="39" spans="1:11">
      <c r="B39" s="215">
        <v>0.2</v>
      </c>
      <c r="C39" s="212">
        <v>120.71406628624933</v>
      </c>
      <c r="D39" s="213">
        <v>144.14373974104069</v>
      </c>
      <c r="E39" s="213">
        <v>171.77944624295185</v>
      </c>
      <c r="F39" s="213">
        <v>204.14935116889711</v>
      </c>
      <c r="G39" s="213">
        <v>242.08814190124252</v>
      </c>
      <c r="H39" s="213">
        <v>286.50988628654102</v>
      </c>
      <c r="I39" s="213">
        <v>338.76553213564677</v>
      </c>
      <c r="J39" s="213">
        <v>400.02479727400066</v>
      </c>
      <c r="K39" s="213">
        <v>472.13814876883532</v>
      </c>
    </row>
    <row r="40" spans="1:11">
      <c r="B40" s="215">
        <f>B39-1%</f>
        <v>0.19</v>
      </c>
      <c r="C40" s="211">
        <v>120.17835188449001</v>
      </c>
      <c r="D40" s="54">
        <v>142.33479011711754</v>
      </c>
      <c r="E40" s="54">
        <v>168.24362385795197</v>
      </c>
      <c r="F40" s="54">
        <v>198.3232988479368</v>
      </c>
      <c r="G40" s="54">
        <v>233.25797702987666</v>
      </c>
      <c r="H40" s="54">
        <v>273.78027279940454</v>
      </c>
      <c r="I40" s="54">
        <v>320.99814459135098</v>
      </c>
      <c r="J40" s="54">
        <v>375.81664237976338</v>
      </c>
      <c r="K40" s="54">
        <v>439.72482642032736</v>
      </c>
    </row>
    <row r="41" spans="1:11">
      <c r="B41" s="215">
        <f t="shared" ref="B41:B51" si="5">B40-1%</f>
        <v>0.18</v>
      </c>
      <c r="C41" s="211">
        <v>119.64267573181016</v>
      </c>
      <c r="D41" s="54">
        <v>140.53653730390232</v>
      </c>
      <c r="E41" s="54">
        <v>164.75669573618615</v>
      </c>
      <c r="F41" s="54">
        <v>192.62591150988118</v>
      </c>
      <c r="G41" s="54">
        <v>224.69653408927468</v>
      </c>
      <c r="H41" s="54">
        <v>261.54494434854587</v>
      </c>
      <c r="I41" s="54">
        <v>304.06855128012853</v>
      </c>
      <c r="J41" s="54">
        <v>352.95413689539453</v>
      </c>
      <c r="K41" s="54">
        <v>409.38322214277747</v>
      </c>
    </row>
    <row r="42" spans="1:11">
      <c r="B42" s="215">
        <f t="shared" si="5"/>
        <v>0.16999999999999998</v>
      </c>
      <c r="C42" s="211">
        <v>119.10694652699266</v>
      </c>
      <c r="D42" s="54">
        <v>138.74908079064483</v>
      </c>
      <c r="E42" s="54">
        <v>161.31850303546906</v>
      </c>
      <c r="F42" s="54">
        <v>187.05484683852166</v>
      </c>
      <c r="G42" s="54">
        <v>216.39694211132615</v>
      </c>
      <c r="H42" s="54">
        <v>249.78730679411888</v>
      </c>
      <c r="I42" s="54">
        <v>287.94266233447786</v>
      </c>
      <c r="J42" s="54">
        <v>331.37235926055666</v>
      </c>
      <c r="K42" s="54">
        <v>380.99635652745718</v>
      </c>
    </row>
    <row r="43" spans="1:11">
      <c r="B43" s="215">
        <f t="shared" si="5"/>
        <v>0.15999999999999998</v>
      </c>
      <c r="C43" s="211">
        <v>118.57127333143487</v>
      </c>
      <c r="D43" s="54">
        <v>136.97213237601625</v>
      </c>
      <c r="E43" s="54">
        <v>157.92870969442109</v>
      </c>
      <c r="F43" s="54">
        <v>181.60839234264176</v>
      </c>
      <c r="G43" s="54">
        <v>208.35287511363629</v>
      </c>
      <c r="H43" s="54">
        <v>238.49268052070329</v>
      </c>
      <c r="I43" s="54">
        <v>272.5900476792221</v>
      </c>
      <c r="J43" s="54">
        <v>311.00867551733927</v>
      </c>
      <c r="K43" s="54">
        <v>354.45687835959529</v>
      </c>
    </row>
    <row r="44" spans="1:11">
      <c r="B44" s="215">
        <f t="shared" si="5"/>
        <v>0.14999999999999997</v>
      </c>
      <c r="C44" s="211">
        <v>118.0355580526392</v>
      </c>
      <c r="D44" s="54">
        <v>135.20607087203541</v>
      </c>
      <c r="E44" s="54">
        <v>154.58681778795531</v>
      </c>
      <c r="F44" s="54">
        <v>176.28567734952691</v>
      </c>
      <c r="G44" s="54">
        <v>200.56033230995695</v>
      </c>
      <c r="H44" s="54">
        <v>227.64668682832848</v>
      </c>
      <c r="I44" s="54">
        <v>257.98102631346558</v>
      </c>
      <c r="J44" s="54">
        <v>291.80737395168342</v>
      </c>
      <c r="K44" s="54">
        <v>329.659272420251</v>
      </c>
    </row>
    <row r="45" spans="1:11">
      <c r="B45" s="215">
        <f t="shared" si="5"/>
        <v>0.13999999999999996</v>
      </c>
      <c r="C45" s="211">
        <v>117.49985888727167</v>
      </c>
      <c r="D45" s="54">
        <v>133.45067797076098</v>
      </c>
      <c r="E45" s="54">
        <v>151.29275206213478</v>
      </c>
      <c r="F45" s="54">
        <v>171.08352552636958</v>
      </c>
      <c r="G45" s="54">
        <v>193.01129225357442</v>
      </c>
      <c r="H45" s="54">
        <v>217.23525662760224</v>
      </c>
      <c r="I45" s="54">
        <v>244.08577418840429</v>
      </c>
      <c r="J45" s="54">
        <v>273.71165469458447</v>
      </c>
      <c r="K45" s="54">
        <v>306.50714100734501</v>
      </c>
    </row>
    <row r="46" spans="1:11">
      <c r="B46" s="215">
        <f t="shared" si="5"/>
        <v>0.12999999999999995</v>
      </c>
      <c r="C46" s="211">
        <v>116.96415137061211</v>
      </c>
      <c r="D46" s="54">
        <v>131.70599352575107</v>
      </c>
      <c r="E46" s="54">
        <v>148.04593010586464</v>
      </c>
      <c r="F46" s="54">
        <v>166.00120220259606</v>
      </c>
      <c r="G46" s="54">
        <v>185.70190130313324</v>
      </c>
      <c r="H46" s="54">
        <v>207.24579900702514</v>
      </c>
      <c r="I46" s="54">
        <v>230.87575898247735</v>
      </c>
      <c r="J46" s="54">
        <v>256.66608894661658</v>
      </c>
      <c r="K46" s="54">
        <v>284.90412345840753</v>
      </c>
    </row>
    <row r="47" spans="1:11">
      <c r="B47" s="215">
        <f t="shared" si="5"/>
        <v>0.11999999999999995</v>
      </c>
      <c r="C47" s="211">
        <v>116.42842457000947</v>
      </c>
      <c r="D47" s="54">
        <v>129.97198938761861</v>
      </c>
      <c r="E47" s="54">
        <v>144.84605431800594</v>
      </c>
      <c r="F47" s="54">
        <v>161.03595003441166</v>
      </c>
      <c r="G47" s="54">
        <v>178.6256823747224</v>
      </c>
      <c r="H47" s="54">
        <v>197.66332170337424</v>
      </c>
      <c r="I47" s="54">
        <v>218.32151139401981</v>
      </c>
      <c r="J47" s="54">
        <v>240.6225386292283</v>
      </c>
      <c r="K47" s="54">
        <v>264.76194755877879</v>
      </c>
    </row>
    <row r="48" spans="1:11">
      <c r="B48" s="215">
        <f t="shared" si="5"/>
        <v>0.10999999999999996</v>
      </c>
      <c r="C48" s="211">
        <v>115.8927541723528</v>
      </c>
      <c r="D48" s="54">
        <v>128.24865804939651</v>
      </c>
      <c r="E48" s="54">
        <v>141.69292617424622</v>
      </c>
      <c r="F48" s="54">
        <v>156.18701407469808</v>
      </c>
      <c r="G48" s="54">
        <v>171.77771665679199</v>
      </c>
      <c r="H48" s="54">
        <v>188.47472062440573</v>
      </c>
      <c r="I48" s="54">
        <v>206.39832760421456</v>
      </c>
      <c r="J48" s="54">
        <v>225.52947827073666</v>
      </c>
      <c r="K48" s="54">
        <v>245.99645980533722</v>
      </c>
    </row>
    <row r="49" spans="1:11">
      <c r="B49" s="215">
        <f t="shared" si="5"/>
        <v>9.9999999999999964E-2</v>
      </c>
      <c r="C49" s="211">
        <v>115.35703876482813</v>
      </c>
      <c r="D49" s="54">
        <v>126.53617245320441</v>
      </c>
      <c r="E49" s="54">
        <v>138.58643378843038</v>
      </c>
      <c r="F49" s="54">
        <v>151.45210643010114</v>
      </c>
      <c r="G49" s="54">
        <v>165.1521517206084</v>
      </c>
      <c r="H49" s="54">
        <v>179.668852342381</v>
      </c>
      <c r="I49" s="54">
        <v>195.07882272817349</v>
      </c>
      <c r="J49" s="54">
        <v>211.33903774864976</v>
      </c>
      <c r="K49" s="54">
        <v>228.52767960712316</v>
      </c>
    </row>
    <row r="50" spans="1:11">
      <c r="B50" s="215">
        <f t="shared" si="5"/>
        <v>8.9999999999999969E-2</v>
      </c>
      <c r="C50" s="211">
        <v>114.82134869182522</v>
      </c>
      <c r="D50" s="54">
        <v>124.83427637906112</v>
      </c>
      <c r="E50" s="54">
        <v>135.52588105358748</v>
      </c>
      <c r="F50" s="54">
        <v>146.82948807514975</v>
      </c>
      <c r="G50" s="54">
        <v>158.7434857445254</v>
      </c>
      <c r="H50" s="54">
        <v>171.23199010941511</v>
      </c>
      <c r="I50" s="54">
        <v>184.33981395045643</v>
      </c>
      <c r="J50" s="54">
        <v>198.00669858278411</v>
      </c>
      <c r="K50" s="54">
        <v>212.27539028047929</v>
      </c>
    </row>
    <row r="51" spans="1:11">
      <c r="B51" s="215">
        <f t="shared" si="5"/>
        <v>7.9999999999999974E-2</v>
      </c>
      <c r="C51" s="211">
        <v>114.28560927807379</v>
      </c>
      <c r="D51" s="54">
        <v>123.14321450776413</v>
      </c>
      <c r="E51" s="54">
        <v>132.51100208019375</v>
      </c>
      <c r="F51" s="54">
        <v>142.31755076763193</v>
      </c>
      <c r="G51" s="54">
        <v>152.54680790200294</v>
      </c>
      <c r="H51" s="54">
        <v>163.15132860620545</v>
      </c>
      <c r="I51" s="54">
        <v>174.15479022067703</v>
      </c>
      <c r="J51" s="54">
        <v>185.48826191673737</v>
      </c>
      <c r="K51" s="54">
        <v>197.17034510076456</v>
      </c>
    </row>
    <row r="52" spans="1:11">
      <c r="B52" s="99"/>
      <c r="C52" s="203"/>
      <c r="D52" s="203"/>
      <c r="E52" s="203"/>
      <c r="F52" s="203"/>
      <c r="G52" s="203"/>
      <c r="H52" s="203"/>
      <c r="I52" s="203"/>
      <c r="J52" s="203"/>
      <c r="K52" s="203"/>
    </row>
    <row r="54" spans="1:11" ht="46.5" customHeight="1">
      <c r="A54">
        <v>2</v>
      </c>
      <c r="B54" s="503" t="s">
        <v>24</v>
      </c>
      <c r="C54" s="503"/>
      <c r="D54" s="503"/>
      <c r="E54" s="503"/>
      <c r="F54" s="503"/>
      <c r="G54" s="503"/>
      <c r="H54" s="503"/>
      <c r="I54" s="503"/>
      <c r="J54" s="503"/>
      <c r="K54" s="503"/>
    </row>
    <row r="55" spans="1:11">
      <c r="B55" s="505" t="s">
        <v>25</v>
      </c>
      <c r="C55" s="505"/>
      <c r="D55" s="505"/>
      <c r="E55" s="505"/>
      <c r="F55" s="505"/>
      <c r="G55" s="505"/>
      <c r="H55" s="505"/>
      <c r="I55" s="505"/>
      <c r="J55" s="505"/>
      <c r="K55" s="505"/>
    </row>
    <row r="56" spans="1:11">
      <c r="B56" s="407"/>
      <c r="C56" s="217">
        <v>2</v>
      </c>
      <c r="D56" s="217">
        <f t="shared" ref="D56:K56" si="6">C56+1</f>
        <v>3</v>
      </c>
      <c r="E56" s="217">
        <f t="shared" si="6"/>
        <v>4</v>
      </c>
      <c r="F56" s="217">
        <f t="shared" si="6"/>
        <v>5</v>
      </c>
      <c r="G56" s="217">
        <f t="shared" si="6"/>
        <v>6</v>
      </c>
      <c r="H56" s="217">
        <f t="shared" si="6"/>
        <v>7</v>
      </c>
      <c r="I56" s="217">
        <f t="shared" si="6"/>
        <v>8</v>
      </c>
      <c r="J56" s="217">
        <f t="shared" si="6"/>
        <v>9</v>
      </c>
      <c r="K56" s="217">
        <f t="shared" si="6"/>
        <v>10</v>
      </c>
    </row>
    <row r="57" spans="1:11" hidden="1">
      <c r="A57" s="31"/>
      <c r="B57" s="407"/>
      <c r="C57" s="206">
        <v>-110</v>
      </c>
    </row>
    <row r="58" spans="1:11">
      <c r="A58" s="407"/>
      <c r="B58" s="218">
        <v>0.2</v>
      </c>
      <c r="C58" s="216">
        <f t="shared" ref="C58:K58" si="7">(C39+$C$57)/-$C$57/(C$38-1)</f>
        <v>9.740060260226667E-2</v>
      </c>
      <c r="D58" s="205">
        <f t="shared" si="7"/>
        <v>0.1551988170047304</v>
      </c>
      <c r="E58" s="205">
        <f t="shared" si="7"/>
        <v>0.18721044316046012</v>
      </c>
      <c r="F58" s="205">
        <f t="shared" si="7"/>
        <v>0.21397579811112979</v>
      </c>
      <c r="G58" s="205">
        <f t="shared" si="7"/>
        <v>0.24016025800225912</v>
      </c>
      <c r="H58" s="205">
        <f t="shared" si="7"/>
        <v>0.26743922164627426</v>
      </c>
      <c r="I58" s="205">
        <f t="shared" si="7"/>
        <v>0.29709809368265816</v>
      </c>
      <c r="J58" s="205">
        <f t="shared" si="7"/>
        <v>0.32957363326590983</v>
      </c>
      <c r="K58" s="205">
        <f t="shared" si="7"/>
        <v>0.36579610986751043</v>
      </c>
    </row>
    <row r="59" spans="1:11">
      <c r="B59" s="218">
        <f>B58-1%</f>
        <v>0.19</v>
      </c>
      <c r="C59" s="216">
        <f t="shared" ref="C59:K59" si="8">(C40+$C$57)/-$C$57/(C$38-1)</f>
        <v>9.2530471677181939E-2</v>
      </c>
      <c r="D59" s="205">
        <f t="shared" si="8"/>
        <v>0.14697631871417061</v>
      </c>
      <c r="E59" s="205">
        <f t="shared" si="8"/>
        <v>0.17649582987258172</v>
      </c>
      <c r="F59" s="205">
        <f t="shared" si="8"/>
        <v>0.20073477010894727</v>
      </c>
      <c r="G59" s="205">
        <f t="shared" si="8"/>
        <v>0.22410541278159393</v>
      </c>
      <c r="H59" s="205">
        <f t="shared" si="8"/>
        <v>0.24815192848394629</v>
      </c>
      <c r="I59" s="205">
        <f t="shared" si="8"/>
        <v>0.27402356440435194</v>
      </c>
      <c r="J59" s="205">
        <f t="shared" si="8"/>
        <v>0.30206436634064021</v>
      </c>
      <c r="K59" s="205">
        <f t="shared" si="8"/>
        <v>0.33305538022255288</v>
      </c>
    </row>
    <row r="60" spans="1:11">
      <c r="B60" s="218">
        <f t="shared" ref="B60:B70" si="9">B59-1%</f>
        <v>0.18</v>
      </c>
      <c r="C60" s="216">
        <f t="shared" ref="C60:K60" si="10">(C41+$C$57)/-$C$57/(C$38-1)</f>
        <v>8.7660688471001433E-2</v>
      </c>
      <c r="D60" s="205">
        <f t="shared" si="10"/>
        <v>0.13880244229046509</v>
      </c>
      <c r="E60" s="205">
        <f t="shared" si="10"/>
        <v>0.16592938101874591</v>
      </c>
      <c r="F60" s="205">
        <f t="shared" si="10"/>
        <v>0.18778616252245722</v>
      </c>
      <c r="G60" s="205">
        <f t="shared" si="10"/>
        <v>0.2085391528895903</v>
      </c>
      <c r="H60" s="205">
        <f t="shared" si="10"/>
        <v>0.22961355204325132</v>
      </c>
      <c r="I60" s="205">
        <f t="shared" si="10"/>
        <v>0.25203707958458249</v>
      </c>
      <c r="J60" s="205">
        <f t="shared" si="10"/>
        <v>0.27608424647203922</v>
      </c>
      <c r="K60" s="205">
        <f t="shared" si="10"/>
        <v>0.30240729509371461</v>
      </c>
    </row>
    <row r="61" spans="1:11">
      <c r="B61" s="218">
        <f t="shared" si="9"/>
        <v>0.16999999999999998</v>
      </c>
      <c r="C61" s="216">
        <f t="shared" ref="C61:K61" si="11">(C42+$C$57)/-$C$57/(C$38-1)</f>
        <v>8.2790422972660524E-2</v>
      </c>
      <c r="D61" s="205">
        <f t="shared" si="11"/>
        <v>0.13067763995747647</v>
      </c>
      <c r="E61" s="205">
        <f t="shared" si="11"/>
        <v>0.15551061525899715</v>
      </c>
      <c r="F61" s="205">
        <f t="shared" si="11"/>
        <v>0.17512465190573104</v>
      </c>
      <c r="G61" s="205">
        <f t="shared" si="11"/>
        <v>0.19344898565695665</v>
      </c>
      <c r="H61" s="205">
        <f t="shared" si="11"/>
        <v>0.2117989496880589</v>
      </c>
      <c r="I61" s="205">
        <f t="shared" si="11"/>
        <v>0.23109436666815306</v>
      </c>
      <c r="J61" s="205">
        <f t="shared" si="11"/>
        <v>0.25155949915972348</v>
      </c>
      <c r="K61" s="205">
        <f t="shared" si="11"/>
        <v>0.27373369346207793</v>
      </c>
    </row>
    <row r="62" spans="1:11">
      <c r="B62" s="218">
        <f t="shared" si="9"/>
        <v>0.15999999999999998</v>
      </c>
      <c r="C62" s="216">
        <f t="shared" ref="C62:K62" si="12">(C43+$C$57)/-$C$57/(C$38-1)</f>
        <v>7.7920666649407874E-2</v>
      </c>
      <c r="D62" s="205">
        <f t="shared" si="12"/>
        <v>0.12260060170916476</v>
      </c>
      <c r="E62" s="205">
        <f t="shared" si="12"/>
        <v>0.14523851422551845</v>
      </c>
      <c r="F62" s="205">
        <f t="shared" si="12"/>
        <v>0.16274634623327675</v>
      </c>
      <c r="G62" s="205">
        <f t="shared" si="12"/>
        <v>0.17882340929752052</v>
      </c>
      <c r="H62" s="205">
        <f t="shared" si="12"/>
        <v>0.19468587957682315</v>
      </c>
      <c r="I62" s="205">
        <f t="shared" si="12"/>
        <v>0.21115590607691179</v>
      </c>
      <c r="J62" s="205">
        <f t="shared" si="12"/>
        <v>0.22841894945152189</v>
      </c>
      <c r="K62" s="205">
        <f t="shared" si="12"/>
        <v>0.24692613975716698</v>
      </c>
    </row>
    <row r="63" spans="1:11">
      <c r="B63" s="218">
        <f t="shared" si="9"/>
        <v>0.14999999999999997</v>
      </c>
      <c r="C63" s="216">
        <f t="shared" ref="C63:K63" si="13">(C44+$C$57)/-$C$57/(C$38-1)</f>
        <v>7.3050527751265484E-2</v>
      </c>
      <c r="D63" s="205">
        <f t="shared" si="13"/>
        <v>0.11457304941834277</v>
      </c>
      <c r="E63" s="205">
        <f t="shared" si="13"/>
        <v>0.13511156905441005</v>
      </c>
      <c r="F63" s="205">
        <f t="shared" si="13"/>
        <v>0.15064926670347023</v>
      </c>
      <c r="G63" s="205">
        <f t="shared" si="13"/>
        <v>0.16465514965446718</v>
      </c>
      <c r="H63" s="205">
        <f t="shared" si="13"/>
        <v>0.1782525558004977</v>
      </c>
      <c r="I63" s="205">
        <f t="shared" si="13"/>
        <v>0.19218315105644881</v>
      </c>
      <c r="J63" s="205">
        <f t="shared" si="13"/>
        <v>0.20659928858145843</v>
      </c>
      <c r="K63" s="205">
        <f t="shared" si="13"/>
        <v>0.22187805294974849</v>
      </c>
    </row>
    <row r="64" spans="1:11">
      <c r="B64" s="218">
        <f t="shared" si="9"/>
        <v>0.13999999999999996</v>
      </c>
      <c r="C64" s="216">
        <f t="shared" ref="C64:K64" si="14">(C45+$C$57)/-$C$57/(C$38-1)</f>
        <v>6.8180535338833378E-2</v>
      </c>
      <c r="D64" s="205">
        <f t="shared" si="14"/>
        <v>0.10659399077618627</v>
      </c>
      <c r="E64" s="205">
        <f t="shared" si="14"/>
        <v>0.12512955170343873</v>
      </c>
      <c r="F64" s="205">
        <f t="shared" si="14"/>
        <v>0.13882619437811269</v>
      </c>
      <c r="G64" s="205">
        <f t="shared" si="14"/>
        <v>0.15092962227922621</v>
      </c>
      <c r="H64" s="205">
        <f t="shared" si="14"/>
        <v>0.1624776615569731</v>
      </c>
      <c r="I64" s="205">
        <f t="shared" si="14"/>
        <v>0.1741373690758497</v>
      </c>
      <c r="J64" s="205">
        <f t="shared" si="14"/>
        <v>0.18603597124384599</v>
      </c>
      <c r="K64" s="205">
        <f t="shared" si="14"/>
        <v>0.19849206162358082</v>
      </c>
    </row>
    <row r="65" spans="2:11">
      <c r="B65" s="218">
        <f t="shared" si="9"/>
        <v>0.12999999999999995</v>
      </c>
      <c r="C65" s="216">
        <f t="shared" ref="C65:K65" si="15">(C46+$C$57)/-$C$57/(C$38-1)</f>
        <v>6.3310467005564683E-2</v>
      </c>
      <c r="D65" s="205">
        <f t="shared" si="15"/>
        <v>9.8663606935232129E-2</v>
      </c>
      <c r="E65" s="205">
        <f t="shared" si="15"/>
        <v>0.11529069729049891</v>
      </c>
      <c r="F65" s="205">
        <f t="shared" si="15"/>
        <v>0.12727545955135469</v>
      </c>
      <c r="G65" s="205">
        <f t="shared" si="15"/>
        <v>0.13763982055115134</v>
      </c>
      <c r="H65" s="205">
        <f t="shared" si="15"/>
        <v>0.14734211970761385</v>
      </c>
      <c r="I65" s="205">
        <f t="shared" si="15"/>
        <v>0.15698150517204851</v>
      </c>
      <c r="J65" s="205">
        <f t="shared" si="15"/>
        <v>0.16666601016660976</v>
      </c>
      <c r="K65" s="205">
        <f t="shared" si="15"/>
        <v>0.17667083177616921</v>
      </c>
    </row>
    <row r="66" spans="2:11">
      <c r="B66" s="218">
        <f t="shared" si="9"/>
        <v>0.11999999999999995</v>
      </c>
      <c r="C66" s="216">
        <f t="shared" ref="C66:K66" si="16">(C47+$C$57)/-$C$57/(C$38-1)</f>
        <v>5.8440223363722441E-2</v>
      </c>
      <c r="D66" s="205">
        <f t="shared" si="16"/>
        <v>9.0781769943720933E-2</v>
      </c>
      <c r="E66" s="205">
        <f t="shared" si="16"/>
        <v>0.1055941039939574</v>
      </c>
      <c r="F66" s="205">
        <f t="shared" si="16"/>
        <v>0.11599079553275377</v>
      </c>
      <c r="G66" s="205">
        <f t="shared" si="16"/>
        <v>0.12477396795404072</v>
      </c>
      <c r="H66" s="205">
        <f t="shared" si="16"/>
        <v>0.13282321470208217</v>
      </c>
      <c r="I66" s="205">
        <f t="shared" si="16"/>
        <v>0.14067728752470104</v>
      </c>
      <c r="J66" s="205">
        <f t="shared" si="16"/>
        <v>0.14843470298775943</v>
      </c>
      <c r="K66" s="205">
        <f t="shared" si="16"/>
        <v>0.156325199554322</v>
      </c>
    </row>
    <row r="67" spans="2:11">
      <c r="B67" s="218">
        <f t="shared" si="9"/>
        <v>0.10999999999999996</v>
      </c>
      <c r="C67" s="216">
        <f t="shared" ref="C67:K67" si="17">(C48+$C$57)/-$C$57/(C$38-1)</f>
        <v>5.3570492475934504E-2</v>
      </c>
      <c r="D67" s="205">
        <f t="shared" si="17"/>
        <v>8.2948445679075042E-2</v>
      </c>
      <c r="E67" s="205">
        <f t="shared" si="17"/>
        <v>9.6039170224988549E-2</v>
      </c>
      <c r="F67" s="205">
        <f t="shared" si="17"/>
        <v>0.10497048653340474</v>
      </c>
      <c r="G67" s="205">
        <f t="shared" si="17"/>
        <v>0.11232312119416725</v>
      </c>
      <c r="H67" s="205">
        <f t="shared" si="17"/>
        <v>0.11890109185516019</v>
      </c>
      <c r="I67" s="205">
        <f t="shared" si="17"/>
        <v>0.12519263325222671</v>
      </c>
      <c r="J67" s="205">
        <f t="shared" si="17"/>
        <v>0.13128349803492803</v>
      </c>
      <c r="K67" s="205">
        <f t="shared" si="17"/>
        <v>0.13737016141953254</v>
      </c>
    </row>
    <row r="68" spans="2:11">
      <c r="B68" s="218">
        <f t="shared" si="9"/>
        <v>9.9999999999999964E-2</v>
      </c>
      <c r="C68" s="216">
        <f t="shared" ref="C68:K68" si="18">(C49+$C$57)/-$C$57/(C$38-1)</f>
        <v>4.8700352407528479E-2</v>
      </c>
      <c r="D68" s="205">
        <f t="shared" si="18"/>
        <v>7.5164420241838253E-2</v>
      </c>
      <c r="E68" s="205">
        <f t="shared" si="18"/>
        <v>8.6625556934637526E-2</v>
      </c>
      <c r="F68" s="205">
        <f t="shared" si="18"/>
        <v>9.4209332795684414E-2</v>
      </c>
      <c r="G68" s="205">
        <f t="shared" si="18"/>
        <v>0.10027663949201529</v>
      </c>
      <c r="H68" s="205">
        <f t="shared" si="18"/>
        <v>0.10555886718542577</v>
      </c>
      <c r="I68" s="205">
        <f t="shared" si="18"/>
        <v>0.11049197756905649</v>
      </c>
      <c r="J68" s="205">
        <f t="shared" si="18"/>
        <v>0.11515799744164745</v>
      </c>
      <c r="K68" s="205">
        <f t="shared" si="18"/>
        <v>0.11972492889608399</v>
      </c>
    </row>
    <row r="69" spans="2:11">
      <c r="B69" s="218">
        <f t="shared" si="9"/>
        <v>8.9999999999999969E-2</v>
      </c>
      <c r="C69" s="216">
        <f t="shared" ref="C69:K69" si="19">(C50+$C$57)/-$C$57/(C$38-1)</f>
        <v>4.3830442652956561E-2</v>
      </c>
      <c r="D69" s="205">
        <f t="shared" si="19"/>
        <v>6.7428528995732373E-2</v>
      </c>
      <c r="E69" s="205">
        <f t="shared" si="19"/>
        <v>7.7351154707840861E-2</v>
      </c>
      <c r="F69" s="205">
        <f t="shared" si="19"/>
        <v>8.3703381988976713E-2</v>
      </c>
      <c r="G69" s="205">
        <f t="shared" si="19"/>
        <v>8.862451953550074E-2</v>
      </c>
      <c r="H69" s="205">
        <f t="shared" si="19"/>
        <v>9.27757425900229E-2</v>
      </c>
      <c r="I69" s="205">
        <f t="shared" si="19"/>
        <v>9.6545212922670695E-2</v>
      </c>
      <c r="J69" s="205">
        <f t="shared" si="19"/>
        <v>0.10000761202589104</v>
      </c>
      <c r="K69" s="205">
        <f t="shared" si="19"/>
        <v>0.10330847503078716</v>
      </c>
    </row>
    <row r="70" spans="2:11">
      <c r="B70" s="218">
        <f t="shared" si="9"/>
        <v>7.9999999999999974E-2</v>
      </c>
      <c r="C70" s="216">
        <f t="shared" ref="C70:K70" si="20">(C51+$C$57)/-$C$57/(C$38-1)</f>
        <v>3.8960084346125384E-2</v>
      </c>
      <c r="D70" s="205">
        <f t="shared" si="20"/>
        <v>5.974188412620058E-2</v>
      </c>
      <c r="E70" s="205">
        <f t="shared" si="20"/>
        <v>6.8215157818768926E-2</v>
      </c>
      <c r="F70" s="205">
        <f t="shared" si="20"/>
        <v>7.3448979017345289E-2</v>
      </c>
      <c r="G70" s="205">
        <f t="shared" si="20"/>
        <v>7.7357832549096256E-2</v>
      </c>
      <c r="H70" s="205">
        <f t="shared" si="20"/>
        <v>8.0532316070008256E-2</v>
      </c>
      <c r="I70" s="205">
        <f t="shared" si="20"/>
        <v>8.3317909377502636E-2</v>
      </c>
      <c r="J70" s="205">
        <f t="shared" si="20"/>
        <v>8.5782115814474286E-2</v>
      </c>
      <c r="K70" s="205">
        <f t="shared" si="20"/>
        <v>8.8050853637135926E-2</v>
      </c>
    </row>
    <row r="72" spans="2:11" ht="34.5" hidden="1" customHeight="1" outlineLevel="1">
      <c r="B72" s="503" t="s">
        <v>26</v>
      </c>
      <c r="C72" s="503"/>
      <c r="D72" s="503"/>
      <c r="E72" s="503"/>
      <c r="F72" s="503"/>
      <c r="G72" s="503"/>
      <c r="H72" s="503"/>
      <c r="I72" s="503"/>
      <c r="J72" s="503"/>
      <c r="K72" s="503"/>
    </row>
    <row r="73" spans="2:11" ht="13.5" hidden="1" customHeight="1" outlineLevel="1"/>
    <row r="74" spans="2:11" hidden="1" outlineLevel="1">
      <c r="C74" s="9">
        <v>2</v>
      </c>
      <c r="D74" s="9">
        <f t="shared" ref="D74:K74" si="21">C74+1</f>
        <v>3</v>
      </c>
      <c r="E74" s="9">
        <f t="shared" si="21"/>
        <v>4</v>
      </c>
      <c r="F74" s="9">
        <f t="shared" si="21"/>
        <v>5</v>
      </c>
      <c r="G74" s="9">
        <f t="shared" si="21"/>
        <v>6</v>
      </c>
      <c r="H74" s="9">
        <f t="shared" si="21"/>
        <v>7</v>
      </c>
      <c r="I74" s="9">
        <f t="shared" si="21"/>
        <v>8</v>
      </c>
      <c r="J74" s="9">
        <f t="shared" si="21"/>
        <v>9</v>
      </c>
      <c r="K74" s="9">
        <f t="shared" si="21"/>
        <v>10</v>
      </c>
    </row>
    <row r="75" spans="2:11" hidden="1" outlineLevel="1">
      <c r="B75" s="204">
        <v>0.2</v>
      </c>
      <c r="C75" s="54">
        <v>120.71404997049274</v>
      </c>
      <c r="D75" s="54">
        <v>144.14371854185993</v>
      </c>
      <c r="E75" s="54">
        <v>171.77942114386846</v>
      </c>
      <c r="F75" s="54">
        <v>224.14936604860009</v>
      </c>
      <c r="G75" s="54">
        <v>266.08851496738413</v>
      </c>
      <c r="H75" s="54">
        <v>335.30972649218165</v>
      </c>
      <c r="I75" s="54">
        <v>397.35468788767145</v>
      </c>
      <c r="J75" s="54">
        <v>470.33043219114222</v>
      </c>
      <c r="K75" s="54">
        <v>556.50387752465872</v>
      </c>
    </row>
    <row r="76" spans="2:11" hidden="1" outlineLevel="1">
      <c r="B76" s="204">
        <f>B75-1%</f>
        <v>0.19</v>
      </c>
      <c r="C76" s="54">
        <v>120.17838610988341</v>
      </c>
      <c r="D76" s="54">
        <v>142.33474937713657</v>
      </c>
      <c r="E76" s="54">
        <v>168.24350961587817</v>
      </c>
      <c r="F76" s="54">
        <v>218.32318104022349</v>
      </c>
      <c r="G76" s="54">
        <v>257.05809191846436</v>
      </c>
      <c r="H76" s="54">
        <v>322.10282005480963</v>
      </c>
      <c r="I76" s="54">
        <v>378.5280062598415</v>
      </c>
      <c r="J76" s="54">
        <v>444.27952131833968</v>
      </c>
      <c r="K76" s="54">
        <v>521.19366056219974</v>
      </c>
    </row>
    <row r="77" spans="2:11" hidden="1" outlineLevel="1">
      <c r="B77" s="204">
        <f t="shared" ref="B77:B87" si="22">B76-1%</f>
        <v>0.18</v>
      </c>
      <c r="C77" s="54">
        <v>119.64265238317691</v>
      </c>
      <c r="D77" s="54">
        <v>140.53654912472339</v>
      </c>
      <c r="E77" s="54">
        <v>164.75657596483177</v>
      </c>
      <c r="F77" s="54">
        <v>212.62577393045967</v>
      </c>
      <c r="G77" s="54">
        <v>248.29623487605744</v>
      </c>
      <c r="H77" s="54">
        <v>309.39332106745201</v>
      </c>
      <c r="I77" s="54">
        <v>360.55368563611768</v>
      </c>
      <c r="J77" s="54">
        <v>419.60731293222898</v>
      </c>
      <c r="K77" s="54">
        <v>488.03562214194386</v>
      </c>
    </row>
    <row r="78" spans="2:11" hidden="1" outlineLevel="1">
      <c r="B78" s="204">
        <f t="shared" si="22"/>
        <v>0.16999999999999998</v>
      </c>
      <c r="C78" s="54">
        <v>119.10694591539962</v>
      </c>
      <c r="D78" s="54">
        <v>138.74904762556775</v>
      </c>
      <c r="E78" s="54">
        <v>161.31841393039704</v>
      </c>
      <c r="F78" s="54">
        <v>207.05459500741171</v>
      </c>
      <c r="G78" s="54">
        <v>239.79683794494417</v>
      </c>
      <c r="H78" s="54">
        <v>297.16458033801928</v>
      </c>
      <c r="I78" s="54">
        <v>343.39906665282354</v>
      </c>
      <c r="J78" s="54">
        <v>396.25448107582804</v>
      </c>
      <c r="K78" s="54">
        <v>456.90915196029192</v>
      </c>
    </row>
    <row r="79" spans="2:11" hidden="1" outlineLevel="1">
      <c r="B79" s="204">
        <f t="shared" si="22"/>
        <v>0.15999999999999998</v>
      </c>
      <c r="C79" s="54">
        <v>118.5712814332924</v>
      </c>
      <c r="D79" s="54">
        <v>136.972083983462</v>
      </c>
      <c r="E79" s="54">
        <v>157.92853881152683</v>
      </c>
      <c r="F79" s="54">
        <v>201.6086061235699</v>
      </c>
      <c r="G79" s="54">
        <v>231.55360725415545</v>
      </c>
      <c r="H79" s="54">
        <v>285.40503505327172</v>
      </c>
      <c r="I79" s="54">
        <v>327.03015968010476</v>
      </c>
      <c r="J79" s="54">
        <v>374.15986703903206</v>
      </c>
      <c r="K79" s="54">
        <v>427.71166730069632</v>
      </c>
    </row>
    <row r="80" spans="2:11" hidden="1" outlineLevel="1">
      <c r="B80" s="204">
        <f t="shared" si="22"/>
        <v>0.14999999999999997</v>
      </c>
      <c r="C80" s="54">
        <v>118.03553108667165</v>
      </c>
      <c r="D80" s="54">
        <v>135.20608150475718</v>
      </c>
      <c r="E80" s="54">
        <v>154.58683885850039</v>
      </c>
      <c r="F80" s="54">
        <v>196.28548461279485</v>
      </c>
      <c r="G80" s="54">
        <v>223.56046035731265</v>
      </c>
      <c r="H80" s="54">
        <v>274.09662974472383</v>
      </c>
      <c r="I80" s="54">
        <v>311.41967910695894</v>
      </c>
      <c r="J80" s="54">
        <v>353.26140594999549</v>
      </c>
      <c r="K80" s="54">
        <v>400.33093611507263</v>
      </c>
    </row>
    <row r="81" spans="1:11" hidden="1" outlineLevel="1">
      <c r="B81" s="204">
        <f t="shared" si="22"/>
        <v>0.13999999999999996</v>
      </c>
      <c r="C81" s="54">
        <v>117.4998531978822</v>
      </c>
      <c r="D81" s="54">
        <v>133.45065271620643</v>
      </c>
      <c r="E81" s="54">
        <v>151.2928174756465</v>
      </c>
      <c r="F81" s="54">
        <v>191.08374615956546</v>
      </c>
      <c r="G81" s="54">
        <v>215.81160582076421</v>
      </c>
      <c r="H81" s="54">
        <v>263.2276485663869</v>
      </c>
      <c r="I81" s="54">
        <v>296.53584875334269</v>
      </c>
      <c r="J81" s="54">
        <v>333.50472422564076</v>
      </c>
      <c r="K81" s="54">
        <v>374.66996764986504</v>
      </c>
    </row>
    <row r="82" spans="1:11" hidden="1" outlineLevel="1">
      <c r="B82" s="204">
        <f t="shared" si="22"/>
        <v>0.12999999999999995</v>
      </c>
      <c r="C82" s="54">
        <v>116.96412257044645</v>
      </c>
      <c r="D82" s="54">
        <v>131.70595850483903</v>
      </c>
      <c r="E82" s="54">
        <v>148.04596637092726</v>
      </c>
      <c r="F82" s="54">
        <v>186.00095606377766</v>
      </c>
      <c r="G82" s="54">
        <v>208.30207495652729</v>
      </c>
      <c r="H82" s="54">
        <v>252.78400313280139</v>
      </c>
      <c r="I82" s="54">
        <v>282.35057626639411</v>
      </c>
      <c r="J82" s="54">
        <v>314.83384282495655</v>
      </c>
      <c r="K82" s="54">
        <v>350.63227046020688</v>
      </c>
    </row>
    <row r="83" spans="1:11" hidden="1" outlineLevel="1">
      <c r="B83" s="204">
        <f t="shared" si="22"/>
        <v>0.11999999999999995</v>
      </c>
      <c r="C83" s="54">
        <v>116.42844790749461</v>
      </c>
      <c r="D83" s="54">
        <v>129.97201748606835</v>
      </c>
      <c r="E83" s="54">
        <v>144.84608496046869</v>
      </c>
      <c r="F83" s="54">
        <v>181.03641580031953</v>
      </c>
      <c r="G83" s="54">
        <v>201.02593142322121</v>
      </c>
      <c r="H83" s="54">
        <v>242.75076369411937</v>
      </c>
      <c r="I83" s="54">
        <v>268.83570887283815</v>
      </c>
      <c r="J83" s="54">
        <v>297.19834919571218</v>
      </c>
      <c r="K83" s="54">
        <v>328.12794527333517</v>
      </c>
    </row>
    <row r="84" spans="1:11" hidden="1" outlineLevel="1">
      <c r="B84" s="204">
        <f t="shared" si="22"/>
        <v>0.10999999999999996</v>
      </c>
      <c r="C84" s="54">
        <v>115.89275886642358</v>
      </c>
      <c r="D84" s="54">
        <v>128.2486636446734</v>
      </c>
      <c r="E84" s="54">
        <v>141.69293220948717</v>
      </c>
      <c r="F84" s="54">
        <v>176.18694416191556</v>
      </c>
      <c r="G84" s="54">
        <v>193.97793410961384</v>
      </c>
      <c r="H84" s="54">
        <v>233.11692423698941</v>
      </c>
      <c r="I84" s="54">
        <v>255.96522100798904</v>
      </c>
      <c r="J84" s="54">
        <v>280.54933985582863</v>
      </c>
      <c r="K84" s="54">
        <v>307.06876441996042</v>
      </c>
    </row>
    <row r="85" spans="1:11" hidden="1" outlineLevel="1">
      <c r="B85" s="204">
        <f t="shared" si="22"/>
        <v>9.9999999999999964E-2</v>
      </c>
      <c r="C85" s="54">
        <v>115.35704258926341</v>
      </c>
      <c r="D85" s="54">
        <v>126.53617696584374</v>
      </c>
      <c r="E85" s="54">
        <v>138.58643860191211</v>
      </c>
      <c r="F85" s="54">
        <v>171.45231005822347</v>
      </c>
      <c r="G85" s="54">
        <v>187.15208516642201</v>
      </c>
      <c r="H85" s="54">
        <v>223.86919040121987</v>
      </c>
      <c r="I85" s="54">
        <v>243.71226465999973</v>
      </c>
      <c r="J85" s="54">
        <v>264.83549460561574</v>
      </c>
      <c r="K85" s="54">
        <v>287.37271963355226</v>
      </c>
    </row>
    <row r="86" spans="1:11" hidden="1" outlineLevel="1">
      <c r="B86" s="204">
        <f t="shared" si="22"/>
        <v>8.9999999999999969E-2</v>
      </c>
      <c r="C86" s="54">
        <v>114.82131356675816</v>
      </c>
      <c r="D86" s="54">
        <v>124.83440644751332</v>
      </c>
      <c r="E86" s="54">
        <v>135.5257196780031</v>
      </c>
      <c r="F86" s="54">
        <v>166.82956623971791</v>
      </c>
      <c r="G86" s="54">
        <v>180.54318160015183</v>
      </c>
      <c r="H86" s="54">
        <v>214.99359275276998</v>
      </c>
      <c r="I86" s="54">
        <v>232.05171138267897</v>
      </c>
      <c r="J86" s="54">
        <v>250.01288591558517</v>
      </c>
      <c r="K86" s="54">
        <v>268.96172443960364</v>
      </c>
    </row>
    <row r="87" spans="1:11" hidden="1" outlineLevel="1">
      <c r="B87" s="204">
        <f t="shared" si="22"/>
        <v>7.9999999999999974E-2</v>
      </c>
      <c r="C87" s="54">
        <v>114.28565391508081</v>
      </c>
      <c r="D87" s="54">
        <v>123.1431692531862</v>
      </c>
      <c r="E87" s="54">
        <v>132.51095489989947</v>
      </c>
      <c r="F87" s="54">
        <v>162.31751823237016</v>
      </c>
      <c r="G87" s="54">
        <v>174.14652155070652</v>
      </c>
      <c r="H87" s="54">
        <v>206.47929710495481</v>
      </c>
      <c r="I87" s="54">
        <v>220.95877286757576</v>
      </c>
      <c r="J87" s="54">
        <v>236.03675675524181</v>
      </c>
      <c r="K87" s="54">
        <v>251.76360740403402</v>
      </c>
    </row>
    <row r="88" spans="1:11" collapsed="1"/>
    <row r="89" spans="1:11" ht="44.25" customHeight="1">
      <c r="A89">
        <v>3</v>
      </c>
      <c r="B89" s="503" t="s">
        <v>27</v>
      </c>
      <c r="C89" s="503"/>
      <c r="D89" s="503"/>
      <c r="E89" s="503"/>
      <c r="F89" s="503"/>
      <c r="G89" s="503"/>
      <c r="H89" s="503"/>
      <c r="I89" s="503"/>
      <c r="J89" s="503"/>
      <c r="K89" s="503"/>
    </row>
    <row r="90" spans="1:11" s="17" customFormat="1">
      <c r="B90" s="17" t="s">
        <v>23</v>
      </c>
    </row>
    <row r="91" spans="1:11">
      <c r="C91" s="219">
        <v>2</v>
      </c>
      <c r="D91" s="219">
        <f t="shared" ref="D91:K91" si="23">C91+1</f>
        <v>3</v>
      </c>
      <c r="E91" s="219">
        <f t="shared" si="23"/>
        <v>4</v>
      </c>
      <c r="F91" s="219">
        <f t="shared" si="23"/>
        <v>5</v>
      </c>
      <c r="G91" s="219">
        <f t="shared" si="23"/>
        <v>6</v>
      </c>
      <c r="H91" s="219">
        <f t="shared" si="23"/>
        <v>7</v>
      </c>
      <c r="I91" s="219">
        <f t="shared" si="23"/>
        <v>8</v>
      </c>
      <c r="J91" s="219">
        <f t="shared" si="23"/>
        <v>9</v>
      </c>
      <c r="K91" s="219">
        <f t="shared" si="23"/>
        <v>10</v>
      </c>
    </row>
    <row r="92" spans="1:11">
      <c r="B92" s="220">
        <v>0.2</v>
      </c>
      <c r="C92" s="212">
        <v>48.000015068003052</v>
      </c>
      <c r="D92" s="213">
        <v>57.599957274833287</v>
      </c>
      <c r="E92" s="213">
        <v>69.154580853991689</v>
      </c>
      <c r="F92" s="213">
        <v>82.985329208443872</v>
      </c>
      <c r="G92" s="213">
        <v>99.582523122027538</v>
      </c>
      <c r="H92" s="213">
        <v>119.49892951753299</v>
      </c>
      <c r="I92" s="213">
        <v>143.47062124512402</v>
      </c>
      <c r="J92" s="213">
        <v>172.16513917761424</v>
      </c>
      <c r="K92" s="213">
        <v>206.59715267333701</v>
      </c>
    </row>
    <row r="93" spans="1:11">
      <c r="B93" s="220">
        <f>B92-1%</f>
        <v>0.19</v>
      </c>
      <c r="C93" s="211">
        <v>47.600017095929246</v>
      </c>
      <c r="D93" s="54">
        <v>56.643995132801557</v>
      </c>
      <c r="E93" s="54">
        <v>67.438494456795894</v>
      </c>
      <c r="F93" s="54">
        <v>80.251910048725236</v>
      </c>
      <c r="G93" s="54">
        <v>95.499583782352062</v>
      </c>
      <c r="H93" s="54">
        <v>113.64433694912391</v>
      </c>
      <c r="I93" s="54">
        <v>135.30150867644028</v>
      </c>
      <c r="J93" s="54">
        <v>161.00904691726535</v>
      </c>
      <c r="K93" s="54">
        <v>191.59985032586121</v>
      </c>
    </row>
    <row r="94" spans="1:11">
      <c r="B94" s="220">
        <f t="shared" ref="B94:B104" si="24">B93-1%</f>
        <v>0.18</v>
      </c>
      <c r="C94" s="211">
        <v>47.199994397610773</v>
      </c>
      <c r="D94" s="54">
        <v>55.696045376078018</v>
      </c>
      <c r="E94" s="54">
        <v>65.751116585767335</v>
      </c>
      <c r="F94" s="54">
        <v>77.586168840815816</v>
      </c>
      <c r="G94" s="54">
        <v>91.551689879972173</v>
      </c>
      <c r="H94" s="54">
        <v>108.03116434781217</v>
      </c>
      <c r="I94" s="54">
        <v>127.53421027865424</v>
      </c>
      <c r="J94" s="54">
        <v>150.49082530842196</v>
      </c>
      <c r="K94" s="54">
        <v>177.57961919315821</v>
      </c>
    </row>
    <row r="95" spans="1:11">
      <c r="B95" s="220">
        <f t="shared" si="24"/>
        <v>0.16999999999999998</v>
      </c>
      <c r="C95" s="211">
        <v>46.800009058237997</v>
      </c>
      <c r="D95" s="54">
        <v>54.756041267499867</v>
      </c>
      <c r="E95" s="54">
        <v>64.092151878320976</v>
      </c>
      <c r="F95" s="54">
        <v>74.987798641440023</v>
      </c>
      <c r="G95" s="54">
        <v>87.735787611936431</v>
      </c>
      <c r="H95" s="54">
        <v>102.65073825508803</v>
      </c>
      <c r="I95" s="54">
        <v>120.15303276059608</v>
      </c>
      <c r="J95" s="54">
        <v>140.5788970539526</v>
      </c>
      <c r="K95" s="54">
        <v>164.47786428757749</v>
      </c>
    </row>
    <row r="96" spans="1:11">
      <c r="B96" s="220">
        <f t="shared" si="24"/>
        <v>0.15999999999999998</v>
      </c>
      <c r="C96" s="211">
        <v>46.399980135828379</v>
      </c>
      <c r="D96" s="54">
        <v>53.824038679001347</v>
      </c>
      <c r="E96" s="54">
        <v>62.461194064571117</v>
      </c>
      <c r="F96" s="54">
        <v>72.455115462438471</v>
      </c>
      <c r="G96" s="54">
        <v>84.047797778966228</v>
      </c>
      <c r="H96" s="54">
        <v>97.495528368514272</v>
      </c>
      <c r="I96" s="54">
        <v>113.14087321462894</v>
      </c>
      <c r="J96" s="54">
        <v>131.24336400979479</v>
      </c>
      <c r="K96" s="54">
        <v>152.24180709435589</v>
      </c>
    </row>
    <row r="97" spans="2:11">
      <c r="B97" s="220">
        <f t="shared" si="24"/>
        <v>0.14999999999999997</v>
      </c>
      <c r="C97" s="211">
        <v>46.000004143566279</v>
      </c>
      <c r="D97" s="54">
        <v>52.900024333324922</v>
      </c>
      <c r="E97" s="54">
        <v>60.858278754127802</v>
      </c>
      <c r="F97" s="54">
        <v>69.987055384564854</v>
      </c>
      <c r="G97" s="54">
        <v>80.484983612434831</v>
      </c>
      <c r="H97" s="54">
        <v>92.557883893427999</v>
      </c>
      <c r="I97" s="54">
        <v>106.482367965194</v>
      </c>
      <c r="J97" s="54">
        <v>122.45460427034364</v>
      </c>
      <c r="K97" s="54">
        <v>140.82312913225798</v>
      </c>
    </row>
    <row r="98" spans="2:11">
      <c r="B98" s="220">
        <f t="shared" si="24"/>
        <v>0.13999999999999996</v>
      </c>
      <c r="C98" s="211">
        <v>45.599985052261509</v>
      </c>
      <c r="D98" s="54">
        <v>51.984023646231435</v>
      </c>
      <c r="E98" s="54">
        <v>59.282995040322845</v>
      </c>
      <c r="F98" s="54">
        <v>67.582659417967946</v>
      </c>
      <c r="G98" s="54">
        <v>77.044400621276793</v>
      </c>
      <c r="H98" s="54">
        <v>87.830313774324821</v>
      </c>
      <c r="I98" s="54">
        <v>100.16256754964493</v>
      </c>
      <c r="J98" s="54">
        <v>114.18546388782595</v>
      </c>
      <c r="K98" s="54">
        <v>130.17181751141615</v>
      </c>
    </row>
    <row r="99" spans="2:11">
      <c r="B99" s="220">
        <f t="shared" si="24"/>
        <v>0.12999999999999995</v>
      </c>
      <c r="C99" s="211">
        <v>45.199988080546596</v>
      </c>
      <c r="D99" s="54">
        <v>51.075979122527876</v>
      </c>
      <c r="E99" s="54">
        <v>57.735190152970972</v>
      </c>
      <c r="F99" s="54">
        <v>65.240755503181916</v>
      </c>
      <c r="G99" s="54">
        <v>73.722087494816932</v>
      </c>
      <c r="H99" s="54">
        <v>83.305944636051223</v>
      </c>
      <c r="I99" s="54">
        <v>94.167342421369028</v>
      </c>
      <c r="J99" s="54">
        <v>106.40935438611993</v>
      </c>
      <c r="K99" s="54">
        <v>120.24187624303272</v>
      </c>
    </row>
    <row r="100" spans="2:11">
      <c r="B100" s="220">
        <f t="shared" si="24"/>
        <v>0.11999999999999995</v>
      </c>
      <c r="C100" s="211">
        <v>44.800013890282912</v>
      </c>
      <c r="D100" s="54">
        <v>50.176040301121652</v>
      </c>
      <c r="E100" s="54">
        <v>56.214598071853672</v>
      </c>
      <c r="F100" s="54">
        <v>62.960298442983913</v>
      </c>
      <c r="G100" s="54">
        <v>70.515627129190676</v>
      </c>
      <c r="H100" s="54">
        <v>78.977485686844474</v>
      </c>
      <c r="I100" s="54">
        <v>88.481995189327733</v>
      </c>
      <c r="J100" s="54">
        <v>99.099782623666769</v>
      </c>
      <c r="K100" s="54">
        <v>110.99213651117559</v>
      </c>
    </row>
    <row r="101" spans="2:11">
      <c r="B101" s="220">
        <f t="shared" si="24"/>
        <v>0.10999999999999996</v>
      </c>
      <c r="C101" s="211">
        <v>44.399992602625538</v>
      </c>
      <c r="D101" s="54">
        <v>49.283958171790069</v>
      </c>
      <c r="E101" s="54">
        <v>54.720870913356706</v>
      </c>
      <c r="F101" s="54">
        <v>60.740278050365674</v>
      </c>
      <c r="G101" s="54">
        <v>67.421519226305477</v>
      </c>
      <c r="H101" s="54">
        <v>74.838052580001786</v>
      </c>
      <c r="I101" s="54">
        <v>83.09387462631878</v>
      </c>
      <c r="J101" s="54">
        <v>92.234099819090702</v>
      </c>
      <c r="K101" s="54">
        <v>102.38002355269107</v>
      </c>
    </row>
    <row r="102" spans="2:11">
      <c r="B102" s="220">
        <f t="shared" si="24"/>
        <v>9.9999999999999964E-2</v>
      </c>
      <c r="C102" s="211">
        <v>43.999982167793959</v>
      </c>
      <c r="D102" s="54">
        <v>48.400028337241196</v>
      </c>
      <c r="E102" s="54">
        <v>53.253906171966058</v>
      </c>
      <c r="F102" s="54">
        <v>58.579238463475889</v>
      </c>
      <c r="G102" s="54">
        <v>64.437318947176479</v>
      </c>
      <c r="H102" s="54">
        <v>70.880927581998947</v>
      </c>
      <c r="I102" s="54">
        <v>77.989305401054239</v>
      </c>
      <c r="J102" s="54">
        <v>85.788579230723215</v>
      </c>
      <c r="K102" s="54">
        <v>94.367140730014185</v>
      </c>
    </row>
    <row r="103" spans="2:11">
      <c r="B103" s="220">
        <f t="shared" si="24"/>
        <v>8.9999999999999969E-2</v>
      </c>
      <c r="C103" s="211">
        <v>43.599980615708908</v>
      </c>
      <c r="D103" s="54">
        <v>47.524020458306161</v>
      </c>
      <c r="E103" s="54">
        <v>51.813328414914601</v>
      </c>
      <c r="F103" s="54">
        <v>56.47664716269945</v>
      </c>
      <c r="G103" s="54">
        <v>61.559480494722592</v>
      </c>
      <c r="H103" s="54">
        <v>67.099896055126194</v>
      </c>
      <c r="I103" s="54">
        <v>73.156121415895115</v>
      </c>
      <c r="J103" s="54">
        <v>79.739999875330582</v>
      </c>
      <c r="K103" s="54">
        <v>86.916766766826441</v>
      </c>
    </row>
    <row r="104" spans="2:11">
      <c r="B104" s="220">
        <f t="shared" si="24"/>
        <v>7.9999999999999974E-2</v>
      </c>
      <c r="C104" s="211">
        <v>43.200015482201813</v>
      </c>
      <c r="D104" s="54">
        <v>46.656042549216394</v>
      </c>
      <c r="E104" s="54">
        <v>50.399077969999198</v>
      </c>
      <c r="F104" s="54">
        <v>54.431024794032986</v>
      </c>
      <c r="G104" s="54">
        <v>58.785385209756015</v>
      </c>
      <c r="H104" s="54">
        <v>63.488366016695615</v>
      </c>
      <c r="I104" s="54">
        <v>68.581738156804803</v>
      </c>
      <c r="J104" s="54">
        <v>74.068321206381327</v>
      </c>
      <c r="K104" s="54">
        <v>79.994119990549109</v>
      </c>
    </row>
    <row r="105" spans="2:11">
      <c r="B105" s="99"/>
      <c r="C105" s="203"/>
      <c r="D105" s="203"/>
      <c r="E105" s="203"/>
      <c r="F105" s="203"/>
      <c r="G105" s="203"/>
      <c r="H105" s="203"/>
      <c r="I105" s="203"/>
      <c r="J105" s="203"/>
      <c r="K105" s="203"/>
    </row>
  </sheetData>
  <mergeCells count="7">
    <mergeCell ref="B89:K89"/>
    <mergeCell ref="B72:K72"/>
    <mergeCell ref="B1:K1"/>
    <mergeCell ref="B19:K19"/>
    <mergeCell ref="B36:K36"/>
    <mergeCell ref="B54:K54"/>
    <mergeCell ref="B55:K5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E4275-4EFC-4921-BC4E-76193E90BB65}">
  <sheetPr codeName="Sheet17">
    <tabColor theme="5" tint="0.79998168889431442"/>
  </sheetPr>
  <dimension ref="B1:V75"/>
  <sheetViews>
    <sheetView showGridLines="0" zoomScale="62" workbookViewId="0">
      <pane xSplit="9" ySplit="14" topLeftCell="J74" activePane="bottomRight" state="frozen"/>
      <selection pane="topRight" activeCell="B54" sqref="B54:K54"/>
      <selection pane="bottomLeft" activeCell="B54" sqref="B54:K54"/>
      <selection pane="bottomRight" activeCell="D15" sqref="D15"/>
    </sheetView>
  </sheetViews>
  <sheetFormatPr defaultColWidth="0" defaultRowHeight="15"/>
  <cols>
    <col min="1" max="1" width="3" customWidth="1"/>
    <col min="2" max="4" width="9.140625" customWidth="1"/>
    <col min="5" max="5" width="15.28515625" customWidth="1"/>
    <col min="6" max="6" width="17.28515625" customWidth="1"/>
    <col min="7" max="7" width="15.28515625" customWidth="1"/>
    <col min="8" max="8" width="35.42578125" customWidth="1"/>
    <col min="9" max="22" width="14.7109375" customWidth="1"/>
    <col min="23" max="23" width="10.5703125" customWidth="1"/>
  </cols>
  <sheetData>
    <row r="1" spans="2:22" s="3" customFormat="1" ht="23.25">
      <c r="B1" s="4" t="s">
        <v>28</v>
      </c>
    </row>
    <row r="2" spans="2:22" ht="15.75">
      <c r="B2" s="5"/>
    </row>
    <row r="4" spans="2:22">
      <c r="B4" t="s">
        <v>29</v>
      </c>
      <c r="D4" s="6">
        <v>1</v>
      </c>
    </row>
    <row r="6" spans="2:22">
      <c r="B6" t="s">
        <v>30</v>
      </c>
      <c r="J6" s="7">
        <f>I7+1</f>
        <v>45292</v>
      </c>
      <c r="K6" s="7">
        <f t="shared" ref="K6:V6" si="0">J7+1</f>
        <v>45658</v>
      </c>
      <c r="L6" s="7">
        <f t="shared" si="0"/>
        <v>46023</v>
      </c>
      <c r="M6" s="7">
        <f t="shared" si="0"/>
        <v>46388</v>
      </c>
      <c r="N6" s="7">
        <f t="shared" si="0"/>
        <v>46753</v>
      </c>
      <c r="O6" s="7">
        <f t="shared" si="0"/>
        <v>47119</v>
      </c>
      <c r="P6" s="7">
        <f t="shared" si="0"/>
        <v>47484</v>
      </c>
      <c r="Q6" s="7">
        <f t="shared" si="0"/>
        <v>47849</v>
      </c>
      <c r="R6" s="7">
        <f t="shared" si="0"/>
        <v>48214</v>
      </c>
      <c r="S6" s="7">
        <f t="shared" si="0"/>
        <v>48580</v>
      </c>
      <c r="T6" s="7">
        <f t="shared" si="0"/>
        <v>48945</v>
      </c>
      <c r="U6" s="7">
        <f t="shared" si="0"/>
        <v>49310</v>
      </c>
      <c r="V6" s="7">
        <f t="shared" si="0"/>
        <v>49675</v>
      </c>
    </row>
    <row r="7" spans="2:22">
      <c r="B7" t="s">
        <v>31</v>
      </c>
      <c r="I7" s="8">
        <f>'Output_Standalone (IDR)'!I7</f>
        <v>45291</v>
      </c>
      <c r="J7" s="7">
        <f>EOMONTH(J6,12-1)</f>
        <v>45657</v>
      </c>
      <c r="K7" s="7">
        <f t="shared" ref="K7:V7" si="1">EOMONTH(K6,12-1)</f>
        <v>46022</v>
      </c>
      <c r="L7" s="7">
        <f t="shared" si="1"/>
        <v>46387</v>
      </c>
      <c r="M7" s="7">
        <f t="shared" si="1"/>
        <v>46752</v>
      </c>
      <c r="N7" s="7">
        <f t="shared" si="1"/>
        <v>47118</v>
      </c>
      <c r="O7" s="7">
        <f t="shared" si="1"/>
        <v>47483</v>
      </c>
      <c r="P7" s="7">
        <f t="shared" si="1"/>
        <v>47848</v>
      </c>
      <c r="Q7" s="7">
        <f t="shared" si="1"/>
        <v>48213</v>
      </c>
      <c r="R7" s="7">
        <f t="shared" si="1"/>
        <v>48579</v>
      </c>
      <c r="S7" s="7">
        <f t="shared" si="1"/>
        <v>48944</v>
      </c>
      <c r="T7" s="7">
        <f t="shared" si="1"/>
        <v>49309</v>
      </c>
      <c r="U7" s="7">
        <f t="shared" si="1"/>
        <v>49674</v>
      </c>
      <c r="V7" s="7">
        <f t="shared" si="1"/>
        <v>50040</v>
      </c>
    </row>
    <row r="8" spans="2:22">
      <c r="B8" t="s">
        <v>32</v>
      </c>
      <c r="J8" s="9">
        <f>YEAR(J7)</f>
        <v>2024</v>
      </c>
      <c r="K8" s="9">
        <f t="shared" ref="K8:V8" si="2">YEAR(K7)</f>
        <v>2025</v>
      </c>
      <c r="L8" s="9">
        <f t="shared" si="2"/>
        <v>2026</v>
      </c>
      <c r="M8" s="9">
        <f t="shared" si="2"/>
        <v>2027</v>
      </c>
      <c r="N8" s="9">
        <f t="shared" si="2"/>
        <v>2028</v>
      </c>
      <c r="O8" s="9">
        <f t="shared" si="2"/>
        <v>2029</v>
      </c>
      <c r="P8" s="9">
        <f t="shared" si="2"/>
        <v>2030</v>
      </c>
      <c r="Q8" s="9">
        <f t="shared" si="2"/>
        <v>2031</v>
      </c>
      <c r="R8" s="9">
        <f t="shared" si="2"/>
        <v>2032</v>
      </c>
      <c r="S8" s="9">
        <f t="shared" si="2"/>
        <v>2033</v>
      </c>
      <c r="T8" s="9">
        <f t="shared" si="2"/>
        <v>2034</v>
      </c>
      <c r="U8" s="9">
        <f t="shared" si="2"/>
        <v>2035</v>
      </c>
      <c r="V8" s="9">
        <f t="shared" si="2"/>
        <v>2036</v>
      </c>
    </row>
    <row r="9" spans="2:22">
      <c r="B9" t="s">
        <v>33</v>
      </c>
      <c r="J9" s="10">
        <f>J7-J6+1</f>
        <v>366</v>
      </c>
      <c r="K9" s="10">
        <f t="shared" ref="K9:V9" si="3">K7-K6+1</f>
        <v>365</v>
      </c>
      <c r="L9" s="10">
        <f t="shared" si="3"/>
        <v>365</v>
      </c>
      <c r="M9" s="10">
        <f t="shared" si="3"/>
        <v>365</v>
      </c>
      <c r="N9" s="10">
        <f t="shared" si="3"/>
        <v>366</v>
      </c>
      <c r="O9" s="10">
        <f t="shared" si="3"/>
        <v>365</v>
      </c>
      <c r="P9" s="10">
        <f t="shared" si="3"/>
        <v>365</v>
      </c>
      <c r="Q9" s="10">
        <f t="shared" si="3"/>
        <v>365</v>
      </c>
      <c r="R9" s="10">
        <f t="shared" si="3"/>
        <v>366</v>
      </c>
      <c r="S9" s="10">
        <f t="shared" si="3"/>
        <v>365</v>
      </c>
      <c r="T9" s="10">
        <f t="shared" si="3"/>
        <v>365</v>
      </c>
      <c r="U9" s="10">
        <f t="shared" si="3"/>
        <v>365</v>
      </c>
      <c r="V9" s="10">
        <f t="shared" si="3"/>
        <v>366</v>
      </c>
    </row>
    <row r="10" spans="2:22">
      <c r="E10" s="11" t="s">
        <v>34</v>
      </c>
      <c r="F10" s="11" t="s">
        <v>35</v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</row>
    <row r="11" spans="2:22">
      <c r="B11" s="407" t="s">
        <v>36</v>
      </c>
      <c r="E11" s="12">
        <f>'Output_Standalone (IDR)'!E11</f>
        <v>45291</v>
      </c>
      <c r="F11" s="12">
        <f>'Output_Standalone (IDR)'!F11</f>
        <v>45291</v>
      </c>
      <c r="J11" s="13">
        <f t="shared" ref="J11:V11" si="4">IF(J7=$F$11,1,0)</f>
        <v>0</v>
      </c>
      <c r="K11" s="13">
        <f t="shared" si="4"/>
        <v>0</v>
      </c>
      <c r="L11" s="13">
        <f t="shared" si="4"/>
        <v>0</v>
      </c>
      <c r="M11" s="13">
        <f t="shared" si="4"/>
        <v>0</v>
      </c>
      <c r="N11" s="13">
        <f t="shared" si="4"/>
        <v>0</v>
      </c>
      <c r="O11" s="13">
        <f t="shared" si="4"/>
        <v>0</v>
      </c>
      <c r="P11" s="13">
        <f t="shared" si="4"/>
        <v>0</v>
      </c>
      <c r="Q11" s="13">
        <f t="shared" si="4"/>
        <v>0</v>
      </c>
      <c r="R11" s="13">
        <f t="shared" si="4"/>
        <v>0</v>
      </c>
      <c r="S11" s="13">
        <f t="shared" si="4"/>
        <v>0</v>
      </c>
      <c r="T11" s="13">
        <f t="shared" si="4"/>
        <v>0</v>
      </c>
      <c r="U11" s="13">
        <f t="shared" si="4"/>
        <v>0</v>
      </c>
      <c r="V11" s="13">
        <f t="shared" si="4"/>
        <v>0</v>
      </c>
    </row>
    <row r="12" spans="2:22">
      <c r="B12" t="s">
        <v>37</v>
      </c>
      <c r="E12" s="12">
        <f>'Output_Standalone (IDR)'!E12</f>
        <v>45292</v>
      </c>
      <c r="F12" s="12">
        <f>'Output_Standalone (IDR)'!F12+1</f>
        <v>50041</v>
      </c>
      <c r="J12" s="13">
        <f>IF(J11=1,0,IF(J7&gt;$F$12,0,1))</f>
        <v>1</v>
      </c>
      <c r="K12" s="13">
        <f>IF(K11=1,0,IF(K7&gt;$F$12,0,1))</f>
        <v>1</v>
      </c>
      <c r="L12" s="13">
        <f t="shared" ref="L12:V12" si="5">IF(L11=1,0,IF(L7&gt;$F$12,0,1))</f>
        <v>1</v>
      </c>
      <c r="M12" s="13">
        <f t="shared" si="5"/>
        <v>1</v>
      </c>
      <c r="N12" s="13">
        <f t="shared" si="5"/>
        <v>1</v>
      </c>
      <c r="O12" s="13">
        <f t="shared" si="5"/>
        <v>1</v>
      </c>
      <c r="P12" s="13">
        <f t="shared" si="5"/>
        <v>1</v>
      </c>
      <c r="Q12" s="13">
        <f t="shared" si="5"/>
        <v>1</v>
      </c>
      <c r="R12" s="13">
        <f t="shared" si="5"/>
        <v>1</v>
      </c>
      <c r="S12" s="13">
        <f t="shared" si="5"/>
        <v>1</v>
      </c>
      <c r="T12" s="13">
        <v>1</v>
      </c>
      <c r="U12" s="13">
        <f t="shared" si="5"/>
        <v>1</v>
      </c>
      <c r="V12" s="13">
        <f t="shared" si="5"/>
        <v>1</v>
      </c>
    </row>
    <row r="13" spans="2:22">
      <c r="F13" s="7"/>
    </row>
    <row r="14" spans="2:22">
      <c r="B14" t="s">
        <v>38</v>
      </c>
      <c r="J14">
        <f>SUM($J$12:J12)</f>
        <v>1</v>
      </c>
      <c r="K14">
        <f>SUM($J$12:K12)</f>
        <v>2</v>
      </c>
      <c r="L14">
        <f>SUM($J$12:L12)</f>
        <v>3</v>
      </c>
      <c r="M14">
        <f>SUM($J$12:M12)</f>
        <v>4</v>
      </c>
      <c r="N14">
        <f>SUM($J$12:N12)</f>
        <v>5</v>
      </c>
      <c r="O14">
        <f>SUM($J$12:O12)</f>
        <v>6</v>
      </c>
      <c r="P14">
        <f>SUM($J$12:P12)</f>
        <v>7</v>
      </c>
      <c r="Q14">
        <f>SUM($J$12:Q12)</f>
        <v>8</v>
      </c>
      <c r="R14">
        <f>SUM($J$12:R12)</f>
        <v>9</v>
      </c>
      <c r="S14">
        <f>SUM($J$12:S12)</f>
        <v>10</v>
      </c>
      <c r="T14">
        <f>SUM($J$12:T12)</f>
        <v>11</v>
      </c>
      <c r="U14">
        <f>SUM($J$12:U12)</f>
        <v>12</v>
      </c>
      <c r="V14">
        <f>SUM($J$12:V12)</f>
        <v>13</v>
      </c>
    </row>
    <row r="16" spans="2:22" ht="24" thickBot="1">
      <c r="B16" s="14" t="s">
        <v>39</v>
      </c>
      <c r="C16" s="14"/>
      <c r="D16" s="14"/>
      <c r="E16" s="14"/>
      <c r="F16" s="14"/>
      <c r="G16" s="14"/>
      <c r="H16" s="14"/>
      <c r="I16" s="14"/>
      <c r="J16" s="14"/>
      <c r="K16" s="14">
        <v>1</v>
      </c>
      <c r="L16" s="14">
        <f>K16+1</f>
        <v>2</v>
      </c>
      <c r="M16" s="14">
        <f t="shared" ref="M16:T16" si="6">L16+1</f>
        <v>3</v>
      </c>
      <c r="N16" s="14">
        <f t="shared" si="6"/>
        <v>4</v>
      </c>
      <c r="O16" s="14">
        <f t="shared" si="6"/>
        <v>5</v>
      </c>
      <c r="P16" s="14">
        <f t="shared" si="6"/>
        <v>6</v>
      </c>
      <c r="Q16" s="14">
        <f t="shared" si="6"/>
        <v>7</v>
      </c>
      <c r="R16" s="14">
        <f t="shared" si="6"/>
        <v>8</v>
      </c>
      <c r="S16" s="14">
        <f t="shared" si="6"/>
        <v>9</v>
      </c>
      <c r="T16" s="14">
        <f t="shared" si="6"/>
        <v>10</v>
      </c>
      <c r="U16" s="14"/>
      <c r="V16" s="14"/>
    </row>
    <row r="18" spans="2:22" ht="15.75">
      <c r="B18" s="15" t="s">
        <v>40</v>
      </c>
      <c r="K18" s="9">
        <f>J18+1</f>
        <v>1</v>
      </c>
      <c r="L18" s="9">
        <f t="shared" ref="L18:V18" si="7">K18+1</f>
        <v>2</v>
      </c>
      <c r="M18" s="9">
        <f t="shared" si="7"/>
        <v>3</v>
      </c>
      <c r="N18" s="9">
        <f t="shared" si="7"/>
        <v>4</v>
      </c>
      <c r="O18" s="9">
        <f t="shared" si="7"/>
        <v>5</v>
      </c>
      <c r="P18" s="9">
        <f t="shared" si="7"/>
        <v>6</v>
      </c>
      <c r="Q18" s="9">
        <f t="shared" si="7"/>
        <v>7</v>
      </c>
      <c r="R18" s="9">
        <f t="shared" si="7"/>
        <v>8</v>
      </c>
      <c r="S18" s="9">
        <f t="shared" si="7"/>
        <v>9</v>
      </c>
      <c r="T18" s="9">
        <f t="shared" si="7"/>
        <v>10</v>
      </c>
      <c r="U18">
        <f t="shared" si="7"/>
        <v>11</v>
      </c>
      <c r="V18">
        <f t="shared" si="7"/>
        <v>12</v>
      </c>
    </row>
    <row r="20" spans="2:22">
      <c r="B20" t="s">
        <v>41</v>
      </c>
      <c r="F20" s="57">
        <v>1</v>
      </c>
      <c r="J20" s="13">
        <f>IF($F$20=J18,1,0)</f>
        <v>0</v>
      </c>
      <c r="K20" s="13">
        <f t="shared" ref="K20:V20" si="8">IF($F$20=K18,1,0)</f>
        <v>1</v>
      </c>
      <c r="L20" s="13">
        <f t="shared" si="8"/>
        <v>0</v>
      </c>
      <c r="M20" s="13">
        <f t="shared" si="8"/>
        <v>0</v>
      </c>
      <c r="N20" s="13">
        <f t="shared" si="8"/>
        <v>0</v>
      </c>
      <c r="O20" s="13">
        <f t="shared" si="8"/>
        <v>0</v>
      </c>
      <c r="P20" s="13">
        <f t="shared" si="8"/>
        <v>0</v>
      </c>
      <c r="Q20" s="13">
        <f t="shared" si="8"/>
        <v>0</v>
      </c>
      <c r="R20" s="13">
        <f t="shared" si="8"/>
        <v>0</v>
      </c>
      <c r="S20" s="13">
        <f t="shared" si="8"/>
        <v>0</v>
      </c>
      <c r="T20" s="13">
        <f t="shared" si="8"/>
        <v>0</v>
      </c>
      <c r="U20" s="13">
        <f t="shared" si="8"/>
        <v>0</v>
      </c>
      <c r="V20" s="13">
        <f t="shared" si="8"/>
        <v>0</v>
      </c>
    </row>
    <row r="21" spans="2:22">
      <c r="B21" t="s">
        <v>42</v>
      </c>
      <c r="F21" s="98">
        <f>F22</f>
        <v>11</v>
      </c>
      <c r="J21" s="13">
        <f t="shared" ref="J21:V21" si="9">IF($F$21=J18,1,0)*J12</f>
        <v>0</v>
      </c>
      <c r="K21" s="13">
        <f t="shared" si="9"/>
        <v>0</v>
      </c>
      <c r="L21" s="13">
        <f t="shared" si="9"/>
        <v>0</v>
      </c>
      <c r="M21" s="13">
        <f t="shared" si="9"/>
        <v>0</v>
      </c>
      <c r="N21" s="13">
        <f t="shared" si="9"/>
        <v>0</v>
      </c>
      <c r="O21" s="13">
        <f t="shared" si="9"/>
        <v>0</v>
      </c>
      <c r="P21" s="13">
        <f t="shared" si="9"/>
        <v>0</v>
      </c>
      <c r="Q21" s="13">
        <f t="shared" si="9"/>
        <v>0</v>
      </c>
      <c r="R21" s="13">
        <f t="shared" si="9"/>
        <v>0</v>
      </c>
      <c r="S21" s="13">
        <f t="shared" si="9"/>
        <v>0</v>
      </c>
      <c r="T21" s="71">
        <f t="shared" si="9"/>
        <v>0</v>
      </c>
      <c r="U21" s="13">
        <f t="shared" si="9"/>
        <v>1</v>
      </c>
      <c r="V21" s="13">
        <f t="shared" si="9"/>
        <v>0</v>
      </c>
    </row>
    <row r="22" spans="2:22">
      <c r="B22" t="s">
        <v>43</v>
      </c>
      <c r="E22">
        <f>Simulation!I19</f>
        <v>11</v>
      </c>
      <c r="F22" s="57">
        <f>Simulation!I19</f>
        <v>11</v>
      </c>
      <c r="G22" s="17" t="s">
        <v>32</v>
      </c>
      <c r="J22" s="13">
        <f t="shared" ref="J22:V22" si="10">IF(J18=0,0,IF(J18&lt;=$F$22,1,0)*J12)</f>
        <v>0</v>
      </c>
      <c r="K22" s="71">
        <f t="shared" si="10"/>
        <v>1</v>
      </c>
      <c r="L22" s="13">
        <f t="shared" si="10"/>
        <v>1</v>
      </c>
      <c r="M22" s="13">
        <f t="shared" si="10"/>
        <v>1</v>
      </c>
      <c r="N22" s="13">
        <f t="shared" si="10"/>
        <v>1</v>
      </c>
      <c r="O22" s="13">
        <f t="shared" si="10"/>
        <v>1</v>
      </c>
      <c r="P22" s="13">
        <f t="shared" si="10"/>
        <v>1</v>
      </c>
      <c r="Q22" s="13">
        <f t="shared" si="10"/>
        <v>1</v>
      </c>
      <c r="R22" s="13">
        <f t="shared" si="10"/>
        <v>1</v>
      </c>
      <c r="S22" s="13">
        <f t="shared" si="10"/>
        <v>1</v>
      </c>
      <c r="T22" s="13">
        <f t="shared" si="10"/>
        <v>1</v>
      </c>
      <c r="U22" s="13">
        <f t="shared" si="10"/>
        <v>1</v>
      </c>
      <c r="V22" s="13">
        <f t="shared" si="10"/>
        <v>0</v>
      </c>
    </row>
    <row r="24" spans="2:22" ht="15.75">
      <c r="B24" s="15" t="s">
        <v>44</v>
      </c>
    </row>
    <row r="25" spans="2:22" ht="15.75">
      <c r="B25" s="41" t="s">
        <v>45</v>
      </c>
    </row>
    <row r="26" spans="2:22">
      <c r="B26" s="407" t="s">
        <v>46</v>
      </c>
      <c r="F26" s="6">
        <f>SUM(Input!J1238:J1240)</f>
        <v>42</v>
      </c>
      <c r="I26" s="42">
        <f>SUM(J26:V26)</f>
        <v>42</v>
      </c>
      <c r="J26" s="1">
        <f>$F26*J$20</f>
        <v>0</v>
      </c>
      <c r="K26" s="1">
        <f t="shared" ref="K26:V26" si="11">$F26*K$20</f>
        <v>42</v>
      </c>
      <c r="L26" s="1">
        <f t="shared" si="11"/>
        <v>0</v>
      </c>
      <c r="M26" s="1">
        <f t="shared" si="11"/>
        <v>0</v>
      </c>
      <c r="N26" s="1">
        <f t="shared" si="11"/>
        <v>0</v>
      </c>
      <c r="O26" s="1">
        <f t="shared" si="11"/>
        <v>0</v>
      </c>
      <c r="P26" s="1">
        <f t="shared" si="11"/>
        <v>0</v>
      </c>
      <c r="Q26" s="1">
        <f t="shared" si="11"/>
        <v>0</v>
      </c>
      <c r="R26" s="1">
        <f t="shared" si="11"/>
        <v>0</v>
      </c>
      <c r="S26" s="1">
        <f t="shared" si="11"/>
        <v>0</v>
      </c>
      <c r="T26" s="1">
        <f t="shared" si="11"/>
        <v>0</v>
      </c>
      <c r="U26" s="1">
        <f t="shared" si="11"/>
        <v>0</v>
      </c>
      <c r="V26" s="1">
        <f t="shared" si="11"/>
        <v>0</v>
      </c>
    </row>
    <row r="27" spans="2:22">
      <c r="B27" s="407" t="s">
        <v>47</v>
      </c>
      <c r="F27" s="39">
        <v>0</v>
      </c>
      <c r="I27" s="42">
        <f>SUM(J27:V27)</f>
        <v>0</v>
      </c>
      <c r="J27" s="1">
        <f>$F27*J$20*J$26</f>
        <v>0</v>
      </c>
      <c r="K27" s="1">
        <f t="shared" ref="K27:V28" si="12">$F27*K$20*K$26</f>
        <v>0</v>
      </c>
      <c r="L27" s="1">
        <f t="shared" si="12"/>
        <v>0</v>
      </c>
      <c r="M27" s="1">
        <f t="shared" si="12"/>
        <v>0</v>
      </c>
      <c r="N27" s="1">
        <f t="shared" si="12"/>
        <v>0</v>
      </c>
      <c r="O27" s="1">
        <f t="shared" si="12"/>
        <v>0</v>
      </c>
      <c r="P27" s="1">
        <f t="shared" si="12"/>
        <v>0</v>
      </c>
      <c r="Q27" s="1">
        <f t="shared" si="12"/>
        <v>0</v>
      </c>
      <c r="R27" s="1">
        <f t="shared" si="12"/>
        <v>0</v>
      </c>
      <c r="S27" s="1">
        <f t="shared" si="12"/>
        <v>0</v>
      </c>
      <c r="T27" s="1">
        <f t="shared" si="12"/>
        <v>0</v>
      </c>
      <c r="U27" s="1">
        <f t="shared" si="12"/>
        <v>0</v>
      </c>
      <c r="V27" s="1">
        <f t="shared" si="12"/>
        <v>0</v>
      </c>
    </row>
    <row r="28" spans="2:22">
      <c r="B28" s="407" t="s">
        <v>48</v>
      </c>
      <c r="F28" s="21">
        <f>100%-F27</f>
        <v>1</v>
      </c>
      <c r="I28" s="42">
        <f>SUM(J28:V28)</f>
        <v>42</v>
      </c>
      <c r="J28" s="1">
        <f>$F28*J$20*J$26</f>
        <v>0</v>
      </c>
      <c r="K28" s="1">
        <f t="shared" si="12"/>
        <v>42</v>
      </c>
      <c r="L28" s="1">
        <f t="shared" si="12"/>
        <v>0</v>
      </c>
      <c r="M28" s="1">
        <f t="shared" si="12"/>
        <v>0</v>
      </c>
      <c r="N28" s="1">
        <f t="shared" si="12"/>
        <v>0</v>
      </c>
      <c r="O28" s="1">
        <f t="shared" si="12"/>
        <v>0</v>
      </c>
      <c r="P28" s="1">
        <f t="shared" si="12"/>
        <v>0</v>
      </c>
      <c r="Q28" s="1">
        <f t="shared" si="12"/>
        <v>0</v>
      </c>
      <c r="R28" s="1">
        <f t="shared" si="12"/>
        <v>0</v>
      </c>
      <c r="S28" s="1">
        <f t="shared" si="12"/>
        <v>0</v>
      </c>
      <c r="T28" s="1">
        <f t="shared" si="12"/>
        <v>0</v>
      </c>
      <c r="U28" s="1">
        <f t="shared" si="12"/>
        <v>0</v>
      </c>
      <c r="V28" s="1">
        <f t="shared" si="12"/>
        <v>0</v>
      </c>
    </row>
    <row r="29" spans="2:22">
      <c r="B29" s="28" t="s">
        <v>39</v>
      </c>
      <c r="C29" s="28"/>
      <c r="D29" s="28"/>
      <c r="E29" s="28"/>
      <c r="F29" s="28"/>
      <c r="G29" s="28"/>
      <c r="H29" s="28"/>
      <c r="I29" s="42">
        <f>SUM(J29:V29)</f>
        <v>42</v>
      </c>
      <c r="J29" s="47">
        <f>SUM(J27:J28)</f>
        <v>0</v>
      </c>
      <c r="K29" s="47">
        <f t="shared" ref="K29:V29" si="13">SUM(K27:K28)</f>
        <v>42</v>
      </c>
      <c r="L29" s="47">
        <f t="shared" si="13"/>
        <v>0</v>
      </c>
      <c r="M29" s="47">
        <f t="shared" si="13"/>
        <v>0</v>
      </c>
      <c r="N29" s="47">
        <f t="shared" si="13"/>
        <v>0</v>
      </c>
      <c r="O29" s="47">
        <f t="shared" si="13"/>
        <v>0</v>
      </c>
      <c r="P29" s="47">
        <f t="shared" si="13"/>
        <v>0</v>
      </c>
      <c r="Q29" s="47">
        <f t="shared" si="13"/>
        <v>0</v>
      </c>
      <c r="R29" s="47">
        <f t="shared" si="13"/>
        <v>0</v>
      </c>
      <c r="S29" s="47">
        <f t="shared" si="13"/>
        <v>0</v>
      </c>
      <c r="T29" s="47">
        <f t="shared" si="13"/>
        <v>0</v>
      </c>
      <c r="U29" s="47">
        <f t="shared" si="13"/>
        <v>0</v>
      </c>
      <c r="V29" s="47">
        <f t="shared" si="13"/>
        <v>0</v>
      </c>
    </row>
    <row r="32" spans="2:22" ht="15.75">
      <c r="B32" s="15" t="s">
        <v>49</v>
      </c>
    </row>
    <row r="33" spans="2:22">
      <c r="B33" s="407" t="s">
        <v>50</v>
      </c>
      <c r="I33" s="97">
        <f>SUM(J33:V33)</f>
        <v>-42</v>
      </c>
      <c r="J33">
        <f>J28</f>
        <v>0</v>
      </c>
      <c r="K33">
        <f t="shared" ref="K33:V33" si="14">-K28</f>
        <v>-42</v>
      </c>
      <c r="L33">
        <f t="shared" si="14"/>
        <v>0</v>
      </c>
      <c r="M33">
        <f t="shared" si="14"/>
        <v>0</v>
      </c>
      <c r="N33">
        <f t="shared" si="14"/>
        <v>0</v>
      </c>
      <c r="O33">
        <f t="shared" si="14"/>
        <v>0</v>
      </c>
      <c r="P33">
        <f t="shared" si="14"/>
        <v>0</v>
      </c>
      <c r="Q33">
        <f t="shared" si="14"/>
        <v>0</v>
      </c>
      <c r="R33">
        <f t="shared" si="14"/>
        <v>0</v>
      </c>
      <c r="S33">
        <f t="shared" si="14"/>
        <v>0</v>
      </c>
      <c r="T33">
        <f t="shared" si="14"/>
        <v>0</v>
      </c>
      <c r="U33">
        <f t="shared" si="14"/>
        <v>0</v>
      </c>
      <c r="V33">
        <f t="shared" si="14"/>
        <v>0</v>
      </c>
    </row>
    <row r="34" spans="2:22">
      <c r="B34" s="407" t="s">
        <v>51</v>
      </c>
      <c r="I34" s="97">
        <f>SUM(J34:V34)</f>
        <v>66.937183322100012</v>
      </c>
      <c r="J34">
        <f>J48*J22</f>
        <v>0</v>
      </c>
      <c r="K34">
        <f t="shared" ref="K34:V34" si="15">K48*K22</f>
        <v>0</v>
      </c>
      <c r="L34">
        <f t="shared" si="15"/>
        <v>4.2</v>
      </c>
      <c r="M34">
        <f t="shared" si="15"/>
        <v>4.62</v>
      </c>
      <c r="N34">
        <f t="shared" si="15"/>
        <v>5.0820000000000007</v>
      </c>
      <c r="O34">
        <f t="shared" si="15"/>
        <v>5.5902000000000003</v>
      </c>
      <c r="P34">
        <f t="shared" si="15"/>
        <v>6.1492200000000006</v>
      </c>
      <c r="Q34">
        <f t="shared" si="15"/>
        <v>6.7641420000000014</v>
      </c>
      <c r="R34">
        <f t="shared" si="15"/>
        <v>7.4405562000000023</v>
      </c>
      <c r="S34">
        <f t="shared" si="15"/>
        <v>8.1846118200000024</v>
      </c>
      <c r="T34">
        <f t="shared" si="15"/>
        <v>9.0030730020000025</v>
      </c>
      <c r="U34">
        <f t="shared" si="15"/>
        <v>9.9033803001000038</v>
      </c>
      <c r="V34">
        <f t="shared" si="15"/>
        <v>0</v>
      </c>
    </row>
    <row r="35" spans="2:22">
      <c r="B35" s="407" t="s">
        <v>52</v>
      </c>
      <c r="I35" s="97">
        <f>SUM(J35:V35)</f>
        <v>108.93718332210001</v>
      </c>
      <c r="J35">
        <f>SUM($I$34,$I$28)*J21</f>
        <v>0</v>
      </c>
      <c r="K35">
        <f t="shared" ref="K35:V35" si="16">SUM($I$34,$I$28)*K21</f>
        <v>0</v>
      </c>
      <c r="L35">
        <f t="shared" si="16"/>
        <v>0</v>
      </c>
      <c r="M35">
        <f t="shared" si="16"/>
        <v>0</v>
      </c>
      <c r="N35">
        <f t="shared" si="16"/>
        <v>0</v>
      </c>
      <c r="O35">
        <f t="shared" si="16"/>
        <v>0</v>
      </c>
      <c r="P35">
        <f t="shared" si="16"/>
        <v>0</v>
      </c>
      <c r="Q35">
        <f t="shared" si="16"/>
        <v>0</v>
      </c>
      <c r="R35">
        <f t="shared" si="16"/>
        <v>0</v>
      </c>
      <c r="S35">
        <f t="shared" si="16"/>
        <v>0</v>
      </c>
      <c r="T35">
        <f t="shared" si="16"/>
        <v>0</v>
      </c>
      <c r="U35">
        <f t="shared" si="16"/>
        <v>108.93718332210001</v>
      </c>
      <c r="V35">
        <f t="shared" si="16"/>
        <v>0</v>
      </c>
    </row>
    <row r="36" spans="2:22">
      <c r="B36" s="28" t="s">
        <v>53</v>
      </c>
      <c r="C36" s="28"/>
      <c r="D36" s="28"/>
      <c r="E36" s="28"/>
      <c r="F36" s="28"/>
      <c r="G36" s="28"/>
      <c r="H36" s="28"/>
      <c r="I36" s="97">
        <f>SUM(J36:V36)</f>
        <v>66.937183322100012</v>
      </c>
      <c r="J36" s="28">
        <f>SUM(J33,J35)</f>
        <v>0</v>
      </c>
      <c r="K36" s="28">
        <f t="shared" ref="K36:V36" si="17">SUM(K33,K35)</f>
        <v>-42</v>
      </c>
      <c r="L36" s="28">
        <f t="shared" si="17"/>
        <v>0</v>
      </c>
      <c r="M36" s="28">
        <f t="shared" si="17"/>
        <v>0</v>
      </c>
      <c r="N36" s="28">
        <f t="shared" si="17"/>
        <v>0</v>
      </c>
      <c r="O36" s="28">
        <f t="shared" si="17"/>
        <v>0</v>
      </c>
      <c r="P36" s="28">
        <f t="shared" si="17"/>
        <v>0</v>
      </c>
      <c r="Q36" s="28">
        <f t="shared" si="17"/>
        <v>0</v>
      </c>
      <c r="R36" s="28">
        <f t="shared" si="17"/>
        <v>0</v>
      </c>
      <c r="S36" s="28">
        <f t="shared" si="17"/>
        <v>0</v>
      </c>
      <c r="T36" s="28">
        <f t="shared" si="17"/>
        <v>0</v>
      </c>
      <c r="U36" s="28">
        <f t="shared" si="17"/>
        <v>108.93718332210001</v>
      </c>
      <c r="V36" s="28">
        <f t="shared" si="17"/>
        <v>0</v>
      </c>
    </row>
    <row r="38" spans="2:22">
      <c r="B38" s="407" t="s">
        <v>54</v>
      </c>
      <c r="H38" s="31">
        <v>0.10000000000000009</v>
      </c>
      <c r="I38" s="208" t="e">
        <f>IRR(J36:T36)</f>
        <v>#NUM!</v>
      </c>
    </row>
    <row r="39" spans="2:22">
      <c r="B39" s="407" t="s">
        <v>55</v>
      </c>
      <c r="F39" s="31">
        <v>0.12</v>
      </c>
      <c r="H39">
        <v>0</v>
      </c>
      <c r="I39" s="209">
        <f>ROUND(XNPV(F39,K39:T39,K7:T7),0)</f>
        <v>0</v>
      </c>
      <c r="J39">
        <f>SUM(J35)</f>
        <v>0</v>
      </c>
      <c r="K39">
        <f t="shared" ref="K39:V39" si="18">SUM(K35)</f>
        <v>0</v>
      </c>
      <c r="L39">
        <f t="shared" si="18"/>
        <v>0</v>
      </c>
      <c r="M39">
        <f t="shared" si="18"/>
        <v>0</v>
      </c>
      <c r="N39">
        <f t="shared" si="18"/>
        <v>0</v>
      </c>
      <c r="O39">
        <f t="shared" si="18"/>
        <v>0</v>
      </c>
      <c r="P39">
        <f t="shared" si="18"/>
        <v>0</v>
      </c>
      <c r="Q39">
        <f t="shared" si="18"/>
        <v>0</v>
      </c>
      <c r="R39">
        <f t="shared" si="18"/>
        <v>0</v>
      </c>
      <c r="S39">
        <f t="shared" si="18"/>
        <v>0</v>
      </c>
      <c r="T39">
        <f t="shared" si="18"/>
        <v>0</v>
      </c>
      <c r="U39">
        <f t="shared" si="18"/>
        <v>108.93718332210001</v>
      </c>
      <c r="V39">
        <f t="shared" si="18"/>
        <v>0</v>
      </c>
    </row>
    <row r="41" spans="2:22" ht="15.75">
      <c r="B41" s="15" t="s">
        <v>56</v>
      </c>
    </row>
    <row r="42" spans="2:22">
      <c r="B42" s="407" t="s">
        <v>57</v>
      </c>
      <c r="J42">
        <f>I45</f>
        <v>0</v>
      </c>
      <c r="K42">
        <f t="shared" ref="K42:V42" si="19">J45</f>
        <v>0</v>
      </c>
      <c r="L42">
        <f t="shared" si="19"/>
        <v>42</v>
      </c>
      <c r="M42">
        <f t="shared" si="19"/>
        <v>46.2</v>
      </c>
      <c r="N42">
        <f t="shared" si="19"/>
        <v>50.82</v>
      </c>
      <c r="O42">
        <f t="shared" si="19"/>
        <v>55.902000000000001</v>
      </c>
      <c r="P42">
        <f t="shared" si="19"/>
        <v>61.492200000000004</v>
      </c>
      <c r="Q42">
        <f t="shared" si="19"/>
        <v>67.641420000000011</v>
      </c>
      <c r="R42">
        <f t="shared" si="19"/>
        <v>74.405562000000018</v>
      </c>
      <c r="S42">
        <f t="shared" si="19"/>
        <v>81.846118200000021</v>
      </c>
      <c r="T42">
        <f t="shared" si="19"/>
        <v>90.030730020000021</v>
      </c>
      <c r="U42">
        <f t="shared" si="19"/>
        <v>99.033803022000029</v>
      </c>
      <c r="V42">
        <f t="shared" si="19"/>
        <v>108.93718332210003</v>
      </c>
    </row>
    <row r="43" spans="2:22">
      <c r="B43" s="407" t="s">
        <v>58</v>
      </c>
      <c r="J43">
        <f>J28</f>
        <v>0</v>
      </c>
      <c r="K43">
        <f t="shared" ref="K43:V43" si="20">K28</f>
        <v>42</v>
      </c>
      <c r="L43">
        <f t="shared" si="20"/>
        <v>0</v>
      </c>
      <c r="M43">
        <f t="shared" si="20"/>
        <v>0</v>
      </c>
      <c r="N43">
        <f t="shared" si="20"/>
        <v>0</v>
      </c>
      <c r="O43">
        <f t="shared" si="20"/>
        <v>0</v>
      </c>
      <c r="P43">
        <f t="shared" si="20"/>
        <v>0</v>
      </c>
      <c r="Q43">
        <f t="shared" si="20"/>
        <v>0</v>
      </c>
      <c r="R43">
        <f t="shared" si="20"/>
        <v>0</v>
      </c>
      <c r="S43">
        <f t="shared" si="20"/>
        <v>0</v>
      </c>
      <c r="T43">
        <f t="shared" si="20"/>
        <v>0</v>
      </c>
      <c r="U43">
        <f t="shared" si="20"/>
        <v>0</v>
      </c>
      <c r="V43">
        <f t="shared" si="20"/>
        <v>0</v>
      </c>
    </row>
    <row r="44" spans="2:22">
      <c r="B44" s="407" t="s">
        <v>59</v>
      </c>
      <c r="J44">
        <f>J48</f>
        <v>0</v>
      </c>
      <c r="K44">
        <f t="shared" ref="K44:V44" si="21">K48</f>
        <v>0</v>
      </c>
      <c r="L44">
        <f t="shared" si="21"/>
        <v>4.2</v>
      </c>
      <c r="M44">
        <f t="shared" si="21"/>
        <v>4.62</v>
      </c>
      <c r="N44">
        <f t="shared" si="21"/>
        <v>5.0820000000000007</v>
      </c>
      <c r="O44">
        <f t="shared" si="21"/>
        <v>5.5902000000000003</v>
      </c>
      <c r="P44">
        <f t="shared" si="21"/>
        <v>6.1492200000000006</v>
      </c>
      <c r="Q44">
        <f t="shared" si="21"/>
        <v>6.7641420000000014</v>
      </c>
      <c r="R44">
        <f t="shared" si="21"/>
        <v>7.4405562000000023</v>
      </c>
      <c r="S44">
        <f t="shared" si="21"/>
        <v>8.1846118200000024</v>
      </c>
      <c r="T44">
        <f t="shared" si="21"/>
        <v>9.0030730020000025</v>
      </c>
      <c r="U44">
        <f t="shared" si="21"/>
        <v>9.9033803001000038</v>
      </c>
      <c r="V44">
        <f t="shared" si="21"/>
        <v>10.893718311210003</v>
      </c>
    </row>
    <row r="45" spans="2:22">
      <c r="B45" s="407" t="s">
        <v>60</v>
      </c>
      <c r="I45">
        <v>0</v>
      </c>
      <c r="J45">
        <f>SUM(J42:J44)</f>
        <v>0</v>
      </c>
      <c r="K45">
        <f t="shared" ref="K45:V45" si="22">SUM(K42:K44)</f>
        <v>42</v>
      </c>
      <c r="L45">
        <f t="shared" si="22"/>
        <v>46.2</v>
      </c>
      <c r="M45">
        <f t="shared" si="22"/>
        <v>50.82</v>
      </c>
      <c r="N45">
        <f t="shared" si="22"/>
        <v>55.902000000000001</v>
      </c>
      <c r="O45">
        <f t="shared" si="22"/>
        <v>61.492200000000004</v>
      </c>
      <c r="P45">
        <f t="shared" si="22"/>
        <v>67.641420000000011</v>
      </c>
      <c r="Q45">
        <f t="shared" si="22"/>
        <v>74.405562000000018</v>
      </c>
      <c r="R45">
        <f t="shared" si="22"/>
        <v>81.846118200000021</v>
      </c>
      <c r="S45">
        <f t="shared" si="22"/>
        <v>90.030730020000021</v>
      </c>
      <c r="T45">
        <f t="shared" si="22"/>
        <v>99.033803022000029</v>
      </c>
      <c r="U45">
        <f t="shared" si="22"/>
        <v>108.93718332210003</v>
      </c>
      <c r="V45">
        <f t="shared" si="22"/>
        <v>119.83090163331003</v>
      </c>
    </row>
    <row r="47" spans="2:22">
      <c r="B47" s="407" t="s">
        <v>61</v>
      </c>
      <c r="F47" s="35">
        <v>0.1</v>
      </c>
      <c r="I47">
        <f>SUM(J47:V47)</f>
        <v>77.830901656410006</v>
      </c>
      <c r="J47" s="98">
        <f>AVERAGE(J42)*$F$47</f>
        <v>0</v>
      </c>
      <c r="K47" s="98">
        <f t="shared" ref="K47:V47" si="23">AVERAGE(K42)*$F$47</f>
        <v>0</v>
      </c>
      <c r="L47" s="98">
        <f t="shared" si="23"/>
        <v>4.2</v>
      </c>
      <c r="M47" s="98">
        <f t="shared" si="23"/>
        <v>4.62</v>
      </c>
      <c r="N47" s="98">
        <f t="shared" si="23"/>
        <v>5.0820000000000007</v>
      </c>
      <c r="O47" s="98">
        <f t="shared" si="23"/>
        <v>5.5902000000000003</v>
      </c>
      <c r="P47" s="98">
        <f t="shared" si="23"/>
        <v>6.1492200000000006</v>
      </c>
      <c r="Q47" s="98">
        <f t="shared" si="23"/>
        <v>6.7641420000000014</v>
      </c>
      <c r="R47" s="98">
        <f t="shared" si="23"/>
        <v>7.4405562000000023</v>
      </c>
      <c r="S47" s="98">
        <f t="shared" si="23"/>
        <v>8.1846118200000024</v>
      </c>
      <c r="T47" s="98">
        <f t="shared" si="23"/>
        <v>9.0030730020000025</v>
      </c>
      <c r="U47" s="98">
        <f t="shared" si="23"/>
        <v>9.903380302200004</v>
      </c>
      <c r="V47" s="98">
        <f t="shared" si="23"/>
        <v>10.893718332210003</v>
      </c>
    </row>
    <row r="48" spans="2:22">
      <c r="B48" s="407" t="s">
        <v>62</v>
      </c>
      <c r="F48" s="31"/>
      <c r="I48">
        <f>SUM(J48:V48)</f>
        <v>77.83090163331002</v>
      </c>
      <c r="J48" s="57">
        <v>0</v>
      </c>
      <c r="K48" s="57">
        <v>0</v>
      </c>
      <c r="L48" s="57">
        <v>4.2</v>
      </c>
      <c r="M48" s="57">
        <v>4.62</v>
      </c>
      <c r="N48" s="57">
        <v>5.0820000000000007</v>
      </c>
      <c r="O48" s="57">
        <v>5.5902000000000003</v>
      </c>
      <c r="P48" s="57">
        <v>6.1492200000000006</v>
      </c>
      <c r="Q48" s="57">
        <v>6.7641420000000014</v>
      </c>
      <c r="R48" s="57">
        <v>7.4405562000000023</v>
      </c>
      <c r="S48" s="57">
        <v>8.1846118200000024</v>
      </c>
      <c r="T48" s="57">
        <v>9.0030730020000025</v>
      </c>
      <c r="U48" s="57">
        <v>9.9033803001000038</v>
      </c>
      <c r="V48" s="57">
        <v>10.893718311210003</v>
      </c>
    </row>
    <row r="49" spans="2:22">
      <c r="I49" s="110">
        <f>ROUND((I47-I48)*1000000, 0)</f>
        <v>0</v>
      </c>
    </row>
    <row r="51" spans="2:22" ht="15.75">
      <c r="B51" s="15" t="s">
        <v>63</v>
      </c>
    </row>
    <row r="52" spans="2:22">
      <c r="B52" t="s">
        <v>64</v>
      </c>
      <c r="E52" s="57">
        <v>0</v>
      </c>
      <c r="F52" s="98">
        <f>F26</f>
        <v>42</v>
      </c>
      <c r="J52">
        <f>IF($E$52=1,$F$52*J20,J27)</f>
        <v>0</v>
      </c>
      <c r="K52">
        <f t="shared" ref="K52:V52" si="24">IF($E$52=1,$F$52*K20,K27)</f>
        <v>0</v>
      </c>
      <c r="L52">
        <f t="shared" si="24"/>
        <v>0</v>
      </c>
      <c r="M52">
        <f t="shared" si="24"/>
        <v>0</v>
      </c>
      <c r="N52">
        <f t="shared" si="24"/>
        <v>0</v>
      </c>
      <c r="O52">
        <f t="shared" si="24"/>
        <v>0</v>
      </c>
      <c r="P52">
        <f t="shared" si="24"/>
        <v>0</v>
      </c>
      <c r="Q52">
        <f t="shared" si="24"/>
        <v>0</v>
      </c>
      <c r="R52">
        <f t="shared" si="24"/>
        <v>0</v>
      </c>
      <c r="S52">
        <f t="shared" si="24"/>
        <v>0</v>
      </c>
      <c r="T52">
        <f t="shared" si="24"/>
        <v>0</v>
      </c>
      <c r="U52">
        <f t="shared" si="24"/>
        <v>0</v>
      </c>
      <c r="V52">
        <f t="shared" si="24"/>
        <v>0</v>
      </c>
    </row>
    <row r="54" spans="2:22" ht="15.75">
      <c r="B54" s="15" t="s">
        <v>65</v>
      </c>
      <c r="I54" s="31">
        <f>SUM(J54:W54)</f>
        <v>1</v>
      </c>
      <c r="J54" s="57"/>
      <c r="K54" s="57"/>
      <c r="L54" s="35">
        <v>0.25</v>
      </c>
      <c r="M54" s="35">
        <v>0.25</v>
      </c>
      <c r="N54" s="35">
        <v>0.25</v>
      </c>
      <c r="O54" s="35">
        <v>0.25</v>
      </c>
      <c r="P54" s="57"/>
      <c r="Q54" s="57"/>
      <c r="R54" s="57"/>
      <c r="S54" s="57"/>
      <c r="T54" s="57"/>
      <c r="U54" s="57"/>
      <c r="V54" s="57"/>
    </row>
    <row r="55" spans="2:22">
      <c r="B55" s="407" t="s">
        <v>66</v>
      </c>
      <c r="I55" s="97">
        <f>SUM(J55:V55)</f>
        <v>0</v>
      </c>
      <c r="J55">
        <f>-J52</f>
        <v>0</v>
      </c>
      <c r="K55">
        <f t="shared" ref="K55:V55" si="25">-K52</f>
        <v>0</v>
      </c>
      <c r="L55">
        <f t="shared" si="25"/>
        <v>0</v>
      </c>
      <c r="M55">
        <f t="shared" si="25"/>
        <v>0</v>
      </c>
      <c r="N55">
        <f t="shared" si="25"/>
        <v>0</v>
      </c>
      <c r="O55">
        <f t="shared" si="25"/>
        <v>0</v>
      </c>
      <c r="P55">
        <f t="shared" si="25"/>
        <v>0</v>
      </c>
      <c r="Q55">
        <f t="shared" si="25"/>
        <v>0</v>
      </c>
      <c r="R55">
        <f t="shared" si="25"/>
        <v>0</v>
      </c>
      <c r="S55">
        <f t="shared" si="25"/>
        <v>0</v>
      </c>
      <c r="T55">
        <f t="shared" si="25"/>
        <v>0</v>
      </c>
      <c r="U55">
        <f t="shared" si="25"/>
        <v>0</v>
      </c>
      <c r="V55">
        <f t="shared" si="25"/>
        <v>0</v>
      </c>
    </row>
    <row r="56" spans="2:22">
      <c r="B56" s="407" t="s">
        <v>67</v>
      </c>
      <c r="F56" s="31">
        <v>0.1</v>
      </c>
      <c r="I56" s="97">
        <f>SUM(J56:V56)</f>
        <v>0</v>
      </c>
      <c r="J56">
        <f>-$I$55*J54</f>
        <v>0</v>
      </c>
      <c r="K56">
        <f t="shared" ref="K56:V56" si="26">-$I$55*K54</f>
        <v>0</v>
      </c>
      <c r="L56">
        <f t="shared" si="26"/>
        <v>0</v>
      </c>
      <c r="M56">
        <f t="shared" si="26"/>
        <v>0</v>
      </c>
      <c r="N56">
        <f t="shared" si="26"/>
        <v>0</v>
      </c>
      <c r="O56">
        <f t="shared" si="26"/>
        <v>0</v>
      </c>
      <c r="P56">
        <f t="shared" si="26"/>
        <v>0</v>
      </c>
      <c r="Q56">
        <f t="shared" si="26"/>
        <v>0</v>
      </c>
      <c r="R56">
        <f t="shared" si="26"/>
        <v>0</v>
      </c>
      <c r="S56">
        <f t="shared" si="26"/>
        <v>0</v>
      </c>
      <c r="T56">
        <f t="shared" si="26"/>
        <v>0</v>
      </c>
      <c r="U56">
        <f t="shared" si="26"/>
        <v>0</v>
      </c>
      <c r="V56">
        <f t="shared" si="26"/>
        <v>0</v>
      </c>
    </row>
    <row r="57" spans="2:22">
      <c r="B57" s="407" t="s">
        <v>51</v>
      </c>
      <c r="I57" s="97">
        <f>SUM(J57:V57)</f>
        <v>0</v>
      </c>
      <c r="J57">
        <f t="shared" ref="J57:V57" si="27">J69</f>
        <v>0</v>
      </c>
      <c r="K57">
        <f t="shared" si="27"/>
        <v>0</v>
      </c>
      <c r="L57">
        <f t="shared" si="27"/>
        <v>0</v>
      </c>
      <c r="M57">
        <f t="shared" si="27"/>
        <v>0</v>
      </c>
      <c r="N57">
        <f t="shared" si="27"/>
        <v>0</v>
      </c>
      <c r="O57">
        <f t="shared" si="27"/>
        <v>0</v>
      </c>
      <c r="P57">
        <f t="shared" si="27"/>
        <v>0</v>
      </c>
      <c r="Q57">
        <f t="shared" si="27"/>
        <v>0</v>
      </c>
      <c r="R57">
        <f t="shared" si="27"/>
        <v>0</v>
      </c>
      <c r="S57">
        <f t="shared" si="27"/>
        <v>0</v>
      </c>
      <c r="T57">
        <f t="shared" si="27"/>
        <v>0</v>
      </c>
      <c r="U57">
        <f t="shared" si="27"/>
        <v>0</v>
      </c>
      <c r="V57">
        <f t="shared" si="27"/>
        <v>0</v>
      </c>
    </row>
    <row r="58" spans="2:22">
      <c r="B58" s="28" t="s">
        <v>53</v>
      </c>
      <c r="C58" s="28"/>
      <c r="D58" s="28"/>
      <c r="E58" s="28"/>
      <c r="F58" s="28"/>
      <c r="G58" s="28"/>
      <c r="H58" s="28"/>
      <c r="I58" s="97">
        <f>SUM(J58:V58)</f>
        <v>0</v>
      </c>
      <c r="J58" s="28">
        <f>SUM(J55:J57)</f>
        <v>0</v>
      </c>
      <c r="K58" s="28">
        <f t="shared" ref="K58:V58" si="28">SUM(K55:K57)</f>
        <v>0</v>
      </c>
      <c r="L58" s="28">
        <f t="shared" si="28"/>
        <v>0</v>
      </c>
      <c r="M58" s="28">
        <f t="shared" si="28"/>
        <v>0</v>
      </c>
      <c r="N58" s="28">
        <f t="shared" si="28"/>
        <v>0</v>
      </c>
      <c r="O58" s="28">
        <f t="shared" si="28"/>
        <v>0</v>
      </c>
      <c r="P58" s="28">
        <f t="shared" si="28"/>
        <v>0</v>
      </c>
      <c r="Q58" s="28">
        <f t="shared" si="28"/>
        <v>0</v>
      </c>
      <c r="R58" s="28">
        <f t="shared" si="28"/>
        <v>0</v>
      </c>
      <c r="S58" s="28">
        <f t="shared" si="28"/>
        <v>0</v>
      </c>
      <c r="T58" s="28">
        <f t="shared" si="28"/>
        <v>0</v>
      </c>
      <c r="U58" s="28">
        <f t="shared" si="28"/>
        <v>0</v>
      </c>
      <c r="V58" s="28">
        <f t="shared" si="28"/>
        <v>0</v>
      </c>
    </row>
    <row r="60" spans="2:22">
      <c r="B60" s="407" t="s">
        <v>54</v>
      </c>
      <c r="I60" s="208" t="e">
        <f>IRR(J58:T58)</f>
        <v>#NUM!</v>
      </c>
    </row>
    <row r="61" spans="2:22">
      <c r="B61" s="407" t="s">
        <v>55</v>
      </c>
      <c r="F61" s="31">
        <v>0.1</v>
      </c>
      <c r="I61" s="209">
        <f>ROUND(XNPV(F61,K61:T61,K7:T7),0)</f>
        <v>0</v>
      </c>
      <c r="J61">
        <f>SUM(J56:J57)</f>
        <v>0</v>
      </c>
      <c r="K61">
        <f t="shared" ref="K61:V61" si="29">SUM(K56:K57)</f>
        <v>0</v>
      </c>
      <c r="L61">
        <f t="shared" si="29"/>
        <v>0</v>
      </c>
      <c r="M61">
        <f t="shared" si="29"/>
        <v>0</v>
      </c>
      <c r="N61">
        <f t="shared" si="29"/>
        <v>0</v>
      </c>
      <c r="O61">
        <f t="shared" si="29"/>
        <v>0</v>
      </c>
      <c r="P61">
        <f t="shared" si="29"/>
        <v>0</v>
      </c>
      <c r="Q61">
        <f t="shared" si="29"/>
        <v>0</v>
      </c>
      <c r="R61">
        <f t="shared" si="29"/>
        <v>0</v>
      </c>
      <c r="S61">
        <f t="shared" si="29"/>
        <v>0</v>
      </c>
      <c r="T61">
        <f t="shared" si="29"/>
        <v>0</v>
      </c>
      <c r="U61">
        <f t="shared" si="29"/>
        <v>0</v>
      </c>
      <c r="V61">
        <f t="shared" si="29"/>
        <v>0</v>
      </c>
    </row>
    <row r="63" spans="2:22" ht="15.75">
      <c r="B63" s="15" t="s">
        <v>56</v>
      </c>
    </row>
    <row r="64" spans="2:22">
      <c r="B64" s="407" t="s">
        <v>57</v>
      </c>
      <c r="J64">
        <f>I67</f>
        <v>0</v>
      </c>
      <c r="K64">
        <f t="shared" ref="K64:V64" si="30">J67</f>
        <v>0</v>
      </c>
      <c r="L64">
        <f t="shared" si="30"/>
        <v>0</v>
      </c>
      <c r="M64">
        <f t="shared" si="30"/>
        <v>0</v>
      </c>
      <c r="N64">
        <f t="shared" si="30"/>
        <v>0</v>
      </c>
      <c r="O64">
        <f t="shared" si="30"/>
        <v>0</v>
      </c>
      <c r="P64">
        <f t="shared" si="30"/>
        <v>0</v>
      </c>
      <c r="Q64">
        <f t="shared" si="30"/>
        <v>0</v>
      </c>
      <c r="R64">
        <f t="shared" si="30"/>
        <v>0</v>
      </c>
      <c r="S64">
        <f t="shared" si="30"/>
        <v>0</v>
      </c>
      <c r="T64">
        <f t="shared" si="30"/>
        <v>0</v>
      </c>
      <c r="U64">
        <f t="shared" si="30"/>
        <v>0</v>
      </c>
      <c r="V64">
        <f t="shared" si="30"/>
        <v>0</v>
      </c>
    </row>
    <row r="65" spans="2:22">
      <c r="B65" s="407" t="s">
        <v>58</v>
      </c>
      <c r="J65">
        <f>J52</f>
        <v>0</v>
      </c>
      <c r="K65">
        <f t="shared" ref="K65:V65" si="31">K52</f>
        <v>0</v>
      </c>
      <c r="L65">
        <f t="shared" si="31"/>
        <v>0</v>
      </c>
      <c r="M65">
        <f t="shared" si="31"/>
        <v>0</v>
      </c>
      <c r="N65">
        <f t="shared" si="31"/>
        <v>0</v>
      </c>
      <c r="O65">
        <f t="shared" si="31"/>
        <v>0</v>
      </c>
      <c r="P65">
        <f t="shared" si="31"/>
        <v>0</v>
      </c>
      <c r="Q65">
        <f t="shared" si="31"/>
        <v>0</v>
      </c>
      <c r="R65">
        <f t="shared" si="31"/>
        <v>0</v>
      </c>
      <c r="S65">
        <f t="shared" si="31"/>
        <v>0</v>
      </c>
      <c r="T65">
        <f t="shared" si="31"/>
        <v>0</v>
      </c>
      <c r="U65">
        <f t="shared" si="31"/>
        <v>0</v>
      </c>
      <c r="V65">
        <f t="shared" si="31"/>
        <v>0</v>
      </c>
    </row>
    <row r="66" spans="2:22">
      <c r="B66" s="407" t="s">
        <v>67</v>
      </c>
      <c r="J66">
        <f>-J56</f>
        <v>0</v>
      </c>
      <c r="K66">
        <f t="shared" ref="K66:V66" si="32">-K56</f>
        <v>0</v>
      </c>
      <c r="L66">
        <f t="shared" si="32"/>
        <v>0</v>
      </c>
      <c r="M66">
        <f t="shared" si="32"/>
        <v>0</v>
      </c>
      <c r="N66">
        <f t="shared" si="32"/>
        <v>0</v>
      </c>
      <c r="O66">
        <f t="shared" si="32"/>
        <v>0</v>
      </c>
      <c r="P66">
        <f t="shared" si="32"/>
        <v>0</v>
      </c>
      <c r="Q66">
        <f t="shared" si="32"/>
        <v>0</v>
      </c>
      <c r="R66">
        <f t="shared" si="32"/>
        <v>0</v>
      </c>
      <c r="S66">
        <f t="shared" si="32"/>
        <v>0</v>
      </c>
      <c r="T66">
        <f t="shared" si="32"/>
        <v>0</v>
      </c>
      <c r="U66">
        <f t="shared" si="32"/>
        <v>0</v>
      </c>
      <c r="V66">
        <f t="shared" si="32"/>
        <v>0</v>
      </c>
    </row>
    <row r="67" spans="2:22">
      <c r="B67" s="407" t="s">
        <v>60</v>
      </c>
      <c r="I67">
        <v>0</v>
      </c>
      <c r="J67">
        <f t="shared" ref="J67:V67" si="33">SUM(J64:J66)</f>
        <v>0</v>
      </c>
      <c r="K67">
        <f t="shared" si="33"/>
        <v>0</v>
      </c>
      <c r="L67">
        <f t="shared" si="33"/>
        <v>0</v>
      </c>
      <c r="M67">
        <f t="shared" si="33"/>
        <v>0</v>
      </c>
      <c r="N67">
        <f t="shared" si="33"/>
        <v>0</v>
      </c>
      <c r="O67">
        <f t="shared" si="33"/>
        <v>0</v>
      </c>
      <c r="P67">
        <f t="shared" si="33"/>
        <v>0</v>
      </c>
      <c r="Q67">
        <f t="shared" si="33"/>
        <v>0</v>
      </c>
      <c r="R67">
        <f t="shared" si="33"/>
        <v>0</v>
      </c>
      <c r="S67">
        <f t="shared" si="33"/>
        <v>0</v>
      </c>
      <c r="T67">
        <f t="shared" si="33"/>
        <v>0</v>
      </c>
      <c r="U67">
        <f t="shared" si="33"/>
        <v>0</v>
      </c>
      <c r="V67">
        <f t="shared" si="33"/>
        <v>0</v>
      </c>
    </row>
    <row r="69" spans="2:22">
      <c r="B69" s="407" t="s">
        <v>61</v>
      </c>
      <c r="F69" s="35">
        <v>0.1</v>
      </c>
      <c r="I69">
        <f>SUM(J69:V69)</f>
        <v>0</v>
      </c>
      <c r="J69" s="98">
        <f>AVERAGE(J64)*$F$69*J22</f>
        <v>0</v>
      </c>
      <c r="K69" s="98">
        <f t="shared" ref="K69:V69" si="34">AVERAGE(K64)*$F$69*K22</f>
        <v>0</v>
      </c>
      <c r="L69" s="98">
        <f t="shared" si="34"/>
        <v>0</v>
      </c>
      <c r="M69" s="98">
        <f t="shared" si="34"/>
        <v>0</v>
      </c>
      <c r="N69" s="98">
        <f t="shared" si="34"/>
        <v>0</v>
      </c>
      <c r="O69" s="98">
        <f t="shared" si="34"/>
        <v>0</v>
      </c>
      <c r="P69" s="98">
        <f t="shared" si="34"/>
        <v>0</v>
      </c>
      <c r="Q69" s="98">
        <f t="shared" si="34"/>
        <v>0</v>
      </c>
      <c r="R69" s="98">
        <f t="shared" si="34"/>
        <v>0</v>
      </c>
      <c r="S69" s="98">
        <f t="shared" si="34"/>
        <v>0</v>
      </c>
      <c r="T69" s="98">
        <f t="shared" si="34"/>
        <v>0</v>
      </c>
      <c r="U69" s="98">
        <f t="shared" si="34"/>
        <v>0</v>
      </c>
      <c r="V69" s="98">
        <f t="shared" si="34"/>
        <v>0</v>
      </c>
    </row>
    <row r="73" spans="2:22">
      <c r="F73">
        <v>40</v>
      </c>
      <c r="K73">
        <f>-F73</f>
        <v>-40</v>
      </c>
    </row>
    <row r="75" spans="2:22">
      <c r="F75" s="31">
        <v>0.12</v>
      </c>
    </row>
  </sheetData>
  <conditionalFormatting sqref="J11:V11">
    <cfRule type="cellIs" dxfId="68" priority="9" operator="equal">
      <formula>1</formula>
    </cfRule>
  </conditionalFormatting>
  <conditionalFormatting sqref="K12:V12">
    <cfRule type="cellIs" dxfId="67" priority="8" operator="equal">
      <formula>1</formula>
    </cfRule>
  </conditionalFormatting>
  <conditionalFormatting sqref="J12">
    <cfRule type="cellIs" dxfId="66" priority="7" operator="equal">
      <formula>1</formula>
    </cfRule>
  </conditionalFormatting>
  <conditionalFormatting sqref="J22:V22">
    <cfRule type="cellIs" dxfId="65" priority="2" operator="equal">
      <formula>1</formula>
    </cfRule>
  </conditionalFormatting>
  <conditionalFormatting sqref="J20:J21">
    <cfRule type="cellIs" dxfId="64" priority="5" operator="equal">
      <formula>1</formula>
    </cfRule>
  </conditionalFormatting>
  <conditionalFormatting sqref="L20:V21">
    <cfRule type="cellIs" dxfId="63" priority="4" operator="equal">
      <formula>1</formula>
    </cfRule>
  </conditionalFormatting>
  <conditionalFormatting sqref="K20:K21">
    <cfRule type="cellIs" dxfId="62" priority="3" operator="equal">
      <formula>1</formula>
    </cfRule>
  </conditionalFormatting>
  <conditionalFormatting sqref="I49">
    <cfRule type="cellIs" dxfId="61" priority="1" operator="not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E4A0F-A2D8-4A60-B1F6-C87505C47129}">
  <sheetPr codeName="Sheet21">
    <tabColor theme="5" tint="0.79998168889431442"/>
  </sheetPr>
  <dimension ref="A1:L174"/>
  <sheetViews>
    <sheetView showGridLines="0" topLeftCell="A37" zoomScale="96" workbookViewId="0">
      <selection activeCell="B47" sqref="B47"/>
    </sheetView>
  </sheetViews>
  <sheetFormatPr defaultColWidth="0" defaultRowHeight="15" outlineLevelRow="1"/>
  <cols>
    <col min="1" max="1" width="13.5703125" customWidth="1"/>
    <col min="2" max="11" width="6" customWidth="1"/>
    <col min="12" max="12" width="9.140625" customWidth="1"/>
    <col min="13" max="16384" width="9.140625" hidden="1"/>
  </cols>
  <sheetData>
    <row r="1" spans="1:11" ht="36.75" hidden="1" customHeight="1" outlineLevel="1">
      <c r="B1" s="503" t="s">
        <v>17</v>
      </c>
      <c r="C1" s="503"/>
      <c r="D1" s="503"/>
      <c r="E1" s="503"/>
      <c r="F1" s="503"/>
      <c r="G1" s="503"/>
      <c r="H1" s="503"/>
      <c r="I1" s="503"/>
      <c r="J1" s="503"/>
      <c r="K1" s="503"/>
    </row>
    <row r="2" spans="1:11" hidden="1" outlineLevel="1">
      <c r="C2" s="207" t="s">
        <v>18</v>
      </c>
      <c r="D2" s="207"/>
      <c r="E2" s="207"/>
      <c r="F2" s="207"/>
      <c r="G2" s="207"/>
      <c r="H2" s="207"/>
      <c r="I2" s="207"/>
      <c r="J2" s="207"/>
      <c r="K2" s="207"/>
    </row>
    <row r="3" spans="1:11" hidden="1" outlineLevel="1">
      <c r="C3" s="219">
        <v>2</v>
      </c>
      <c r="D3" s="219">
        <f>C3+1</f>
        <v>3</v>
      </c>
      <c r="E3" s="219">
        <f t="shared" ref="E3:K3" si="0">D3+1</f>
        <v>4</v>
      </c>
      <c r="F3" s="219">
        <f t="shared" si="0"/>
        <v>5</v>
      </c>
      <c r="G3" s="219">
        <f t="shared" si="0"/>
        <v>6</v>
      </c>
      <c r="H3" s="219">
        <f t="shared" si="0"/>
        <v>7</v>
      </c>
      <c r="I3" s="219">
        <f t="shared" si="0"/>
        <v>8</v>
      </c>
      <c r="J3" s="219">
        <f t="shared" si="0"/>
        <v>9</v>
      </c>
      <c r="K3" s="219">
        <f t="shared" si="0"/>
        <v>10</v>
      </c>
    </row>
    <row r="4" spans="1:11" hidden="1" outlineLevel="1">
      <c r="B4" s="220">
        <v>0.2</v>
      </c>
      <c r="C4" s="212">
        <v>94.560439482988215</v>
      </c>
      <c r="D4" s="213">
        <v>122.86313162736765</v>
      </c>
      <c r="E4" s="213">
        <v>145.46528694719916</v>
      </c>
      <c r="F4" s="213">
        <v>181.20735566089795</v>
      </c>
      <c r="G4" s="213">
        <v>203.4977346166512</v>
      </c>
      <c r="H4" s="213">
        <v>251.39455407671113</v>
      </c>
      <c r="I4" s="213">
        <v>290.76183804397965</v>
      </c>
      <c r="J4" s="213">
        <v>339.6386167043741</v>
      </c>
      <c r="K4" s="213">
        <v>418.83527229428603</v>
      </c>
    </row>
    <row r="5" spans="1:11" hidden="1" outlineLevel="1">
      <c r="B5" s="220">
        <f>B4-1%</f>
        <v>0.19</v>
      </c>
      <c r="C5" s="211">
        <v>94.024716138043246</v>
      </c>
      <c r="D5" s="54">
        <v>121.05410501383645</v>
      </c>
      <c r="E5" s="54">
        <v>141.92970693607083</v>
      </c>
      <c r="F5" s="54">
        <v>175.3816876472913</v>
      </c>
      <c r="G5" s="54">
        <v>194.46808206730731</v>
      </c>
      <c r="H5" s="54">
        <v>238.18790521604194</v>
      </c>
      <c r="I5" s="54">
        <v>271.93469588923705</v>
      </c>
      <c r="J5" s="54">
        <v>313.58856057020876</v>
      </c>
      <c r="K5" s="54">
        <v>383.52292998042941</v>
      </c>
    </row>
    <row r="6" spans="1:11" hidden="1" outlineLevel="1">
      <c r="B6" s="220">
        <f t="shared" ref="B6:B16" si="1">B5-1%</f>
        <v>0.18</v>
      </c>
      <c r="C6" s="211">
        <v>93.488997226511714</v>
      </c>
      <c r="D6" s="54">
        <v>119.25588893173962</v>
      </c>
      <c r="E6" s="54">
        <v>138.4428211424607</v>
      </c>
      <c r="F6" s="54">
        <v>169.68413604068164</v>
      </c>
      <c r="G6" s="54">
        <v>185.70589569632014</v>
      </c>
      <c r="H6" s="54">
        <v>225.47832606989084</v>
      </c>
      <c r="I6" s="54">
        <v>253.95959906318168</v>
      </c>
      <c r="J6" s="54">
        <v>288.91675876996379</v>
      </c>
      <c r="K6" s="54">
        <v>350.36245374433577</v>
      </c>
    </row>
    <row r="7" spans="1:11" hidden="1" outlineLevel="1">
      <c r="A7" s="407"/>
      <c r="B7" s="220">
        <f t="shared" si="1"/>
        <v>0.16999999999999998</v>
      </c>
      <c r="C7" s="211">
        <v>92.953334966582176</v>
      </c>
      <c r="D7" s="54">
        <v>117.46824363246888</v>
      </c>
      <c r="E7" s="54">
        <v>135.00441640630808</v>
      </c>
      <c r="F7" s="54">
        <v>164.11284324173354</v>
      </c>
      <c r="G7" s="54">
        <v>177.20629960558438</v>
      </c>
      <c r="H7" s="54">
        <v>213.2500875668141</v>
      </c>
      <c r="I7" s="54">
        <v>236.80479070446358</v>
      </c>
      <c r="J7" s="54">
        <v>265.56303522246128</v>
      </c>
      <c r="K7" s="54">
        <v>319.23989056257182</v>
      </c>
    </row>
    <row r="8" spans="1:11" hidden="1" outlineLevel="1">
      <c r="B8" s="220">
        <f t="shared" si="1"/>
        <v>0.15999999999999998</v>
      </c>
      <c r="C8" s="211">
        <v>92.417625037927792</v>
      </c>
      <c r="D8" s="54">
        <v>115.69142886926483</v>
      </c>
      <c r="E8" s="54">
        <v>131.61477089472905</v>
      </c>
      <c r="F8" s="54">
        <v>158.66705552421112</v>
      </c>
      <c r="G8" s="54">
        <v>168.96269981204941</v>
      </c>
      <c r="H8" s="54">
        <v>201.48920993741521</v>
      </c>
      <c r="I8" s="54">
        <v>220.43620880030585</v>
      </c>
      <c r="J8" s="54">
        <v>243.46773607912459</v>
      </c>
      <c r="K8" s="54">
        <v>290.03993279412816</v>
      </c>
    </row>
    <row r="9" spans="1:11" hidden="1" outlineLevel="1">
      <c r="B9" s="220">
        <f t="shared" si="1"/>
        <v>0.14999999999999997</v>
      </c>
      <c r="C9" s="211">
        <v>91.881910155821956</v>
      </c>
      <c r="D9" s="54">
        <v>113.92536777488242</v>
      </c>
      <c r="E9" s="54">
        <v>128.27287934840029</v>
      </c>
      <c r="F9" s="54">
        <v>153.34362093078397</v>
      </c>
      <c r="G9" s="54">
        <v>160.96935331546462</v>
      </c>
      <c r="H9" s="54">
        <v>190.18175171215961</v>
      </c>
      <c r="I9" s="54">
        <v>204.82579927476348</v>
      </c>
      <c r="J9" s="54">
        <v>222.57030466707522</v>
      </c>
      <c r="K9" s="54">
        <v>262.65879771923244</v>
      </c>
    </row>
    <row r="10" spans="1:11" hidden="1" outlineLevel="1">
      <c r="B10" s="220">
        <f t="shared" si="1"/>
        <v>0.13999999999999996</v>
      </c>
      <c r="C10" s="211">
        <v>91.346185856127036</v>
      </c>
      <c r="D10" s="54">
        <v>112.16994392236616</v>
      </c>
      <c r="E10" s="54">
        <v>124.97877903070328</v>
      </c>
      <c r="F10" s="54">
        <v>148.14178943255425</v>
      </c>
      <c r="G10" s="54">
        <v>153.22110495551854</v>
      </c>
      <c r="H10" s="54">
        <v>179.31272018238528</v>
      </c>
      <c r="I10" s="54">
        <v>189.94107089397505</v>
      </c>
      <c r="J10" s="54">
        <v>202.81288824378822</v>
      </c>
      <c r="K10" s="54">
        <v>236.99781655297275</v>
      </c>
    </row>
    <row r="11" spans="1:11" hidden="1" outlineLevel="1">
      <c r="B11" s="220">
        <f t="shared" si="1"/>
        <v>0.12999999999999995</v>
      </c>
      <c r="C11" s="211">
        <v>90.810467377085928</v>
      </c>
      <c r="D11" s="54">
        <v>110.42524636062365</v>
      </c>
      <c r="E11" s="54">
        <v>121.73201774494257</v>
      </c>
      <c r="F11" s="54">
        <v>143.05917684306905</v>
      </c>
      <c r="G11" s="54">
        <v>145.71153261684478</v>
      </c>
      <c r="H11" s="54">
        <v>168.86912474852485</v>
      </c>
      <c r="I11" s="54">
        <v>175.75611903638602</v>
      </c>
      <c r="J11" s="54">
        <v>184.14290882842303</v>
      </c>
      <c r="K11" s="54">
        <v>212.96098049482973</v>
      </c>
    </row>
    <row r="12" spans="1:11" hidden="1" outlineLevel="1">
      <c r="B12" s="220">
        <f t="shared" si="1"/>
        <v>0.11999999999999995</v>
      </c>
      <c r="C12" s="211">
        <v>90.274792714134094</v>
      </c>
      <c r="D12" s="54">
        <v>108.69130534185297</v>
      </c>
      <c r="E12" s="54">
        <v>118.53213633448399</v>
      </c>
      <c r="F12" s="54">
        <v>138.09463657961092</v>
      </c>
      <c r="G12" s="54">
        <v>138.43538908353867</v>
      </c>
      <c r="H12" s="54">
        <v>158.83588530984284</v>
      </c>
      <c r="I12" s="54">
        <v>162.24125164283004</v>
      </c>
      <c r="J12" s="54">
        <v>166.50741519917867</v>
      </c>
      <c r="K12" s="54">
        <v>190.45665530795796</v>
      </c>
    </row>
    <row r="13" spans="1:11" hidden="1" outlineLevel="1">
      <c r="B13" s="220">
        <f t="shared" si="1"/>
        <v>0.10999999999999996</v>
      </c>
      <c r="C13" s="211">
        <v>89.739103673063042</v>
      </c>
      <c r="D13" s="54">
        <v>106.96795150045799</v>
      </c>
      <c r="E13" s="54">
        <v>115.37898358350249</v>
      </c>
      <c r="F13" s="54">
        <v>133.24516494120695</v>
      </c>
      <c r="G13" s="54">
        <v>131.3873917699313</v>
      </c>
      <c r="H13" s="54">
        <v>149.20204585271287</v>
      </c>
      <c r="I13" s="54">
        <v>149.37076377798093</v>
      </c>
      <c r="J13" s="54">
        <v>149.85840585929515</v>
      </c>
      <c r="K13" s="54">
        <v>169.3974744545832</v>
      </c>
    </row>
    <row r="14" spans="1:11" hidden="1" outlineLevel="1">
      <c r="B14" s="220">
        <f t="shared" si="1"/>
        <v>9.9999999999999964E-2</v>
      </c>
      <c r="C14" s="211">
        <v>89.20338739590288</v>
      </c>
      <c r="D14" s="54">
        <v>105.25546482162834</v>
      </c>
      <c r="E14" s="54">
        <v>112.27248997592743</v>
      </c>
      <c r="F14" s="54">
        <v>128.51053083751486</v>
      </c>
      <c r="G14" s="54">
        <v>124.56154282673947</v>
      </c>
      <c r="H14" s="54">
        <v>139.95431201694333</v>
      </c>
      <c r="I14" s="54">
        <v>137.11780742999161</v>
      </c>
      <c r="J14" s="54">
        <v>134.14456060908219</v>
      </c>
      <c r="K14" s="54">
        <v>149.70142966817508</v>
      </c>
    </row>
    <row r="15" spans="1:11" hidden="1" outlineLevel="1">
      <c r="B15" s="220">
        <f t="shared" si="1"/>
        <v>8.9999999999999969E-2</v>
      </c>
      <c r="C15" s="211">
        <v>88.667658373397629</v>
      </c>
      <c r="D15" s="54">
        <v>103.55369430329792</v>
      </c>
      <c r="E15" s="54">
        <v>109.21177105201842</v>
      </c>
      <c r="F15" s="54">
        <v>123.88778701900928</v>
      </c>
      <c r="G15" s="54">
        <v>117.9526392604693</v>
      </c>
      <c r="H15" s="54">
        <v>131.07871436849345</v>
      </c>
      <c r="I15" s="54">
        <v>125.45725415267087</v>
      </c>
      <c r="J15" s="54">
        <v>119.32195191905164</v>
      </c>
      <c r="K15" s="54">
        <v>131.29043447422646</v>
      </c>
    </row>
    <row r="16" spans="1:11" hidden="1" outlineLevel="1">
      <c r="B16" s="220">
        <f t="shared" si="1"/>
        <v>7.9999999999999974E-2</v>
      </c>
      <c r="C16" s="211">
        <v>88.131998721720294</v>
      </c>
      <c r="D16" s="54">
        <v>101.8624571089708</v>
      </c>
      <c r="E16" s="54">
        <v>106.19700627391478</v>
      </c>
      <c r="F16" s="54">
        <v>119.37573901166155</v>
      </c>
      <c r="G16" s="54">
        <v>111.555979211024</v>
      </c>
      <c r="H16" s="54">
        <v>122.56441872067829</v>
      </c>
      <c r="I16" s="54">
        <v>114.36431563756766</v>
      </c>
      <c r="J16" s="54">
        <v>105.34582275870831</v>
      </c>
      <c r="K16" s="54">
        <v>114.09231743865685</v>
      </c>
    </row>
    <row r="17" spans="1:11" hidden="1" outlineLevel="1">
      <c r="B17" s="31"/>
    </row>
    <row r="18" spans="1:11" hidden="1" outlineLevel="1">
      <c r="B18" s="31"/>
    </row>
    <row r="19" spans="1:11" ht="33" hidden="1" customHeight="1" outlineLevel="1">
      <c r="A19" s="407" t="s">
        <v>19</v>
      </c>
      <c r="B19" s="503" t="s">
        <v>20</v>
      </c>
      <c r="C19" s="504"/>
      <c r="D19" s="504"/>
      <c r="E19" s="504"/>
      <c r="F19" s="504"/>
      <c r="G19" s="504"/>
      <c r="H19" s="504"/>
      <c r="I19" s="504"/>
      <c r="J19" s="504"/>
      <c r="K19" s="504"/>
    </row>
    <row r="20" spans="1:11" hidden="1" outlineLevel="1">
      <c r="C20" s="217">
        <v>2</v>
      </c>
      <c r="D20" s="217">
        <f>C20+1</f>
        <v>3</v>
      </c>
      <c r="E20" s="217">
        <f t="shared" ref="E20:K20" si="2">D20+1</f>
        <v>4</v>
      </c>
      <c r="F20" s="217">
        <f t="shared" si="2"/>
        <v>5</v>
      </c>
      <c r="G20" s="217">
        <f t="shared" si="2"/>
        <v>6</v>
      </c>
      <c r="H20" s="217">
        <f t="shared" si="2"/>
        <v>7</v>
      </c>
      <c r="I20" s="217">
        <f t="shared" si="2"/>
        <v>8</v>
      </c>
      <c r="J20" s="217">
        <f t="shared" si="2"/>
        <v>9</v>
      </c>
      <c r="K20" s="217">
        <f t="shared" si="2"/>
        <v>10</v>
      </c>
    </row>
    <row r="21" spans="1:11" hidden="1" outlineLevel="1">
      <c r="B21" s="218">
        <v>0.2</v>
      </c>
      <c r="C21" s="212">
        <v>67.33928815928644</v>
      </c>
      <c r="D21" s="213">
        <v>100.71381898746998</v>
      </c>
      <c r="E21" s="213">
        <v>118.07729960178654</v>
      </c>
      <c r="F21" s="213">
        <v>120.91285075771142</v>
      </c>
      <c r="G21" s="213">
        <v>122.75247626310409</v>
      </c>
      <c r="H21" s="213">
        <v>132.85457861552536</v>
      </c>
      <c r="I21" s="213">
        <v>148.61658664131818</v>
      </c>
      <c r="J21" s="213">
        <v>172.4133588712474</v>
      </c>
      <c r="K21" s="213">
        <v>244.34474600379141</v>
      </c>
    </row>
    <row r="22" spans="1:11" hidden="1" outlineLevel="1">
      <c r="B22" s="218">
        <f>B21-1%</f>
        <v>0.19</v>
      </c>
      <c r="C22" s="211">
        <v>66.80356481434147</v>
      </c>
      <c r="D22" s="54">
        <v>98.90479237393879</v>
      </c>
      <c r="E22" s="54">
        <v>114.5417195906582</v>
      </c>
      <c r="F22" s="54">
        <v>115.08718274410478</v>
      </c>
      <c r="G22" s="54">
        <v>113.72282371376019</v>
      </c>
      <c r="H22" s="54">
        <v>119.64792975485616</v>
      </c>
      <c r="I22" s="54">
        <v>129.78944448657558</v>
      </c>
      <c r="J22" s="54">
        <v>146.36330273708205</v>
      </c>
      <c r="K22" s="54">
        <v>209.0324036899348</v>
      </c>
    </row>
    <row r="23" spans="1:11" hidden="1" outlineLevel="1">
      <c r="B23" s="218">
        <f t="shared" ref="B23:B33" si="3">B22-1%</f>
        <v>0.18</v>
      </c>
      <c r="C23" s="211">
        <v>66.267845902809938</v>
      </c>
      <c r="D23" s="54">
        <v>97.106576291841947</v>
      </c>
      <c r="E23" s="54">
        <v>111.05483379704808</v>
      </c>
      <c r="F23" s="54">
        <v>109.38963113749512</v>
      </c>
      <c r="G23" s="54">
        <v>104.96063734277303</v>
      </c>
      <c r="H23" s="54">
        <v>106.93835060870506</v>
      </c>
      <c r="I23" s="54">
        <v>111.81434766052021</v>
      </c>
      <c r="J23" s="54">
        <v>121.69150093683709</v>
      </c>
      <c r="K23" s="54">
        <v>175.87192745384115</v>
      </c>
    </row>
    <row r="24" spans="1:11" hidden="1" outlineLevel="1">
      <c r="A24" s="407" t="s">
        <v>21</v>
      </c>
      <c r="B24" s="218">
        <f t="shared" si="3"/>
        <v>0.16999999999999998</v>
      </c>
      <c r="C24" s="211">
        <v>65.7321836428804</v>
      </c>
      <c r="D24" s="54">
        <v>95.318930992571211</v>
      </c>
      <c r="E24" s="54">
        <v>107.61642906089546</v>
      </c>
      <c r="F24" s="54">
        <v>103.81833833854702</v>
      </c>
      <c r="G24" s="54">
        <v>96.461041252037262</v>
      </c>
      <c r="H24" s="54">
        <v>94.710112105628326</v>
      </c>
      <c r="I24" s="54">
        <v>94.659539301802113</v>
      </c>
      <c r="J24" s="54">
        <v>98.337777389334576</v>
      </c>
      <c r="K24" s="54">
        <v>144.7493642720772</v>
      </c>
    </row>
    <row r="25" spans="1:11" hidden="1" outlineLevel="1">
      <c r="B25" s="218">
        <f t="shared" si="3"/>
        <v>0.15999999999999998</v>
      </c>
      <c r="C25" s="211">
        <v>65.196473714226016</v>
      </c>
      <c r="D25" s="54">
        <v>93.542116229367167</v>
      </c>
      <c r="E25" s="54">
        <v>104.22678354931642</v>
      </c>
      <c r="F25" s="54">
        <v>98.372550621024601</v>
      </c>
      <c r="G25" s="54">
        <v>88.217441458502293</v>
      </c>
      <c r="H25" s="54">
        <v>82.949234476229435</v>
      </c>
      <c r="I25" s="54">
        <v>78.290957397644377</v>
      </c>
      <c r="J25" s="54">
        <v>76.242478245997887</v>
      </c>
      <c r="K25" s="54">
        <v>115.54940650363355</v>
      </c>
    </row>
    <row r="26" spans="1:11" hidden="1" outlineLevel="1">
      <c r="B26" s="218">
        <f t="shared" si="3"/>
        <v>0.14999999999999997</v>
      </c>
      <c r="C26" s="211">
        <v>64.66075883212018</v>
      </c>
      <c r="D26" s="54">
        <v>91.776055134984745</v>
      </c>
      <c r="E26" s="54">
        <v>100.88489200298767</v>
      </c>
      <c r="F26" s="54">
        <v>93.049116027597449</v>
      </c>
      <c r="G26" s="54">
        <v>80.224094961917501</v>
      </c>
      <c r="H26" s="54">
        <v>71.641776250973834</v>
      </c>
      <c r="I26" s="54">
        <v>62.680547872102011</v>
      </c>
      <c r="J26" s="54">
        <v>55.345046833948516</v>
      </c>
      <c r="K26" s="54">
        <v>88.168271428737825</v>
      </c>
    </row>
    <row r="27" spans="1:11" hidden="1" outlineLevel="1">
      <c r="B27" s="218">
        <f t="shared" si="3"/>
        <v>0.13999999999999996</v>
      </c>
      <c r="C27" s="211">
        <v>64.125034532425261</v>
      </c>
      <c r="D27" s="54">
        <v>90.020631282468486</v>
      </c>
      <c r="E27" s="54">
        <v>97.59079168529064</v>
      </c>
      <c r="F27" s="54">
        <v>87.847284529367727</v>
      </c>
      <c r="G27" s="54">
        <v>72.475846601971426</v>
      </c>
      <c r="H27" s="54">
        <v>60.772744721199501</v>
      </c>
      <c r="I27" s="54">
        <v>47.79581949131358</v>
      </c>
      <c r="J27" s="54">
        <v>35.587630410661518</v>
      </c>
      <c r="K27" s="54">
        <v>62.507290262478136</v>
      </c>
    </row>
    <row r="28" spans="1:11" hidden="1" outlineLevel="1">
      <c r="B28" s="218">
        <f t="shared" si="3"/>
        <v>0.12999999999999995</v>
      </c>
      <c r="C28" s="211">
        <v>63.589316053384152</v>
      </c>
      <c r="D28" s="54">
        <v>88.275933720725988</v>
      </c>
      <c r="E28" s="54">
        <v>94.344030399529942</v>
      </c>
      <c r="F28" s="54">
        <v>82.764671939882533</v>
      </c>
      <c r="G28" s="54">
        <v>64.966274263297663</v>
      </c>
      <c r="H28" s="54">
        <v>50.329149287339078</v>
      </c>
      <c r="I28" s="54">
        <v>33.610867633724553</v>
      </c>
      <c r="J28" s="54">
        <v>16.917650995296327</v>
      </c>
      <c r="K28" s="54">
        <v>38.470454204335113</v>
      </c>
    </row>
    <row r="29" spans="1:11" hidden="1" outlineLevel="1">
      <c r="B29" s="218">
        <f t="shared" si="3"/>
        <v>0.11999999999999995</v>
      </c>
      <c r="C29" s="211">
        <v>63.053641390432318</v>
      </c>
      <c r="D29" s="54">
        <v>86.541992701955309</v>
      </c>
      <c r="E29" s="54">
        <v>91.144148989071368</v>
      </c>
      <c r="F29" s="54">
        <v>77.8001316764244</v>
      </c>
      <c r="G29" s="54">
        <v>57.690130729991552</v>
      </c>
      <c r="H29" s="54">
        <v>40.295909848657061</v>
      </c>
      <c r="I29" s="54">
        <v>20.096000240168564</v>
      </c>
      <c r="J29" s="54">
        <v>-0.71784263394803816</v>
      </c>
      <c r="K29" s="54">
        <v>15.966129017463345</v>
      </c>
    </row>
    <row r="30" spans="1:11" hidden="1" outlineLevel="1">
      <c r="B30" s="218">
        <f t="shared" si="3"/>
        <v>0.10999999999999996</v>
      </c>
      <c r="C30" s="211">
        <v>62.517952349361266</v>
      </c>
      <c r="D30" s="54">
        <v>84.818638860560327</v>
      </c>
      <c r="E30" s="54">
        <v>87.990996238089849</v>
      </c>
      <c r="F30" s="54">
        <v>72.95066003802043</v>
      </c>
      <c r="G30" s="54">
        <v>50.642133416384183</v>
      </c>
      <c r="H30" s="54">
        <v>30.662070391527095</v>
      </c>
      <c r="I30" s="54">
        <v>7.2255123753194539</v>
      </c>
      <c r="J30" s="54">
        <v>-17.366851973831558</v>
      </c>
      <c r="K30" s="54">
        <v>-5.0930518359114103</v>
      </c>
    </row>
    <row r="31" spans="1:11" hidden="1" outlineLevel="1">
      <c r="B31" s="218">
        <f t="shared" si="3"/>
        <v>9.9999999999999964E-2</v>
      </c>
      <c r="C31" s="211">
        <v>61.982236072201104</v>
      </c>
      <c r="D31" s="54">
        <v>83.106152181730664</v>
      </c>
      <c r="E31" s="54">
        <v>84.884502630514788</v>
      </c>
      <c r="F31" s="54">
        <v>68.216025934328343</v>
      </c>
      <c r="G31" s="54">
        <v>43.816284473192354</v>
      </c>
      <c r="H31" s="54">
        <v>21.414336555757558</v>
      </c>
      <c r="I31" s="54">
        <v>-5.0274439726698574</v>
      </c>
      <c r="J31" s="54">
        <v>-33.080697224044513</v>
      </c>
      <c r="K31" s="54">
        <v>-24.789096622319533</v>
      </c>
    </row>
    <row r="32" spans="1:11" hidden="1" outlineLevel="1">
      <c r="B32" s="218">
        <f t="shared" si="3"/>
        <v>8.9999999999999969E-2</v>
      </c>
      <c r="C32" s="211">
        <v>61.446507049695853</v>
      </c>
      <c r="D32" s="54">
        <v>81.404381663400244</v>
      </c>
      <c r="E32" s="54">
        <v>81.823783706605781</v>
      </c>
      <c r="F32" s="54">
        <v>63.593282115822767</v>
      </c>
      <c r="G32" s="54">
        <v>37.207380906922182</v>
      </c>
      <c r="H32" s="54">
        <v>12.538738907307675</v>
      </c>
      <c r="I32" s="54">
        <v>-16.687997249990602</v>
      </c>
      <c r="J32" s="54">
        <v>-47.903305914075062</v>
      </c>
      <c r="K32" s="54">
        <v>-43.200091816268156</v>
      </c>
    </row>
    <row r="33" spans="1:11" hidden="1" outlineLevel="1">
      <c r="B33" s="218">
        <f t="shared" si="3"/>
        <v>7.9999999999999974E-2</v>
      </c>
      <c r="C33" s="211">
        <v>60.910847398018518</v>
      </c>
      <c r="D33" s="54">
        <v>79.713144469073143</v>
      </c>
      <c r="E33" s="54">
        <v>78.809018928502155</v>
      </c>
      <c r="F33" s="54">
        <v>59.081234108475037</v>
      </c>
      <c r="G33" s="54">
        <v>30.81072085747688</v>
      </c>
      <c r="H33" s="54">
        <v>4.0244432594925144</v>
      </c>
      <c r="I33" s="54">
        <v>-27.780935765093815</v>
      </c>
      <c r="J33" s="54">
        <v>-61.879435074418396</v>
      </c>
      <c r="K33" s="54">
        <v>-60.398208851837765</v>
      </c>
    </row>
    <row r="34" spans="1:11" collapsed="1"/>
    <row r="36" spans="1:11" ht="44.25" customHeight="1">
      <c r="A36" s="421" t="s">
        <v>68</v>
      </c>
      <c r="B36" s="503" t="s">
        <v>22</v>
      </c>
      <c r="C36" s="503"/>
      <c r="D36" s="503"/>
      <c r="E36" s="503"/>
      <c r="F36" s="503"/>
      <c r="G36" s="503"/>
      <c r="H36" s="503"/>
      <c r="I36" s="503"/>
      <c r="J36" s="503"/>
      <c r="K36" s="503"/>
    </row>
    <row r="37" spans="1:11" s="17" customFormat="1">
      <c r="A37" s="421" t="s">
        <v>69</v>
      </c>
      <c r="B37" s="17" t="s">
        <v>23</v>
      </c>
    </row>
    <row r="38" spans="1:11">
      <c r="A38" s="221"/>
      <c r="C38" s="214">
        <v>2</v>
      </c>
      <c r="D38" s="214">
        <f t="shared" ref="D38:K38" si="4">C38+1</f>
        <v>3</v>
      </c>
      <c r="E38" s="214">
        <f t="shared" si="4"/>
        <v>4</v>
      </c>
      <c r="F38" s="214">
        <f t="shared" si="4"/>
        <v>5</v>
      </c>
      <c r="G38" s="214">
        <f t="shared" si="4"/>
        <v>6</v>
      </c>
      <c r="H38" s="214">
        <f t="shared" si="4"/>
        <v>7</v>
      </c>
      <c r="I38" s="214">
        <f t="shared" si="4"/>
        <v>8</v>
      </c>
      <c r="J38" s="214">
        <f t="shared" si="4"/>
        <v>9</v>
      </c>
      <c r="K38" s="214">
        <f t="shared" si="4"/>
        <v>10</v>
      </c>
    </row>
    <row r="39" spans="1:11">
      <c r="A39" s="221"/>
      <c r="B39" s="215">
        <v>0.2</v>
      </c>
      <c r="C39" s="212">
        <v>121.00002141494316</v>
      </c>
      <c r="D39" s="213">
        <v>145.19993233923722</v>
      </c>
      <c r="E39" s="213">
        <v>174.32721608969811</v>
      </c>
      <c r="F39" s="213">
        <v>229.19222743945622</v>
      </c>
      <c r="G39" s="213">
        <v>275.03125540736994</v>
      </c>
      <c r="H39" s="213">
        <v>350.03660103499521</v>
      </c>
      <c r="I39" s="213">
        <v>420.25533885411863</v>
      </c>
      <c r="J39" s="213">
        <v>504.30484553430563</v>
      </c>
      <c r="K39" s="213">
        <v>605.16514237553372</v>
      </c>
    </row>
    <row r="40" spans="1:11">
      <c r="A40" s="221"/>
      <c r="B40" s="215">
        <f>B39-1%</f>
        <v>0.19</v>
      </c>
      <c r="C40" s="211">
        <v>120.44998584540943</v>
      </c>
      <c r="D40" s="54">
        <v>143.33543613573332</v>
      </c>
      <c r="E40" s="54">
        <v>170.65070205079482</v>
      </c>
      <c r="F40" s="54">
        <v>223.07428750671022</v>
      </c>
      <c r="G40" s="54">
        <v>265.45838378395263</v>
      </c>
      <c r="H40" s="54">
        <v>335.89481743831914</v>
      </c>
      <c r="I40" s="54">
        <v>399.9059925873708</v>
      </c>
      <c r="J40" s="54">
        <v>475.88884003597809</v>
      </c>
      <c r="K40" s="54">
        <v>566.30706625976495</v>
      </c>
    </row>
    <row r="41" spans="1:11">
      <c r="A41" s="221"/>
      <c r="B41" s="215">
        <f t="shared" ref="B41:B51" si="5">B40-1%</f>
        <v>0.18</v>
      </c>
      <c r="C41" s="211">
        <v>119.89998587796289</v>
      </c>
      <c r="D41" s="54">
        <v>141.4820112320632</v>
      </c>
      <c r="E41" s="54">
        <v>167.02445550565662</v>
      </c>
      <c r="F41" s="54">
        <v>217.08880374590819</v>
      </c>
      <c r="G41" s="54">
        <v>256.16482890635831</v>
      </c>
      <c r="H41" s="54">
        <v>322.2748958017545</v>
      </c>
      <c r="I41" s="54">
        <v>380.45592057290719</v>
      </c>
      <c r="J41" s="54">
        <v>448.93976264321026</v>
      </c>
      <c r="K41" s="54">
        <v>529.74622497229711</v>
      </c>
    </row>
    <row r="42" spans="1:11">
      <c r="A42" s="221"/>
      <c r="B42" s="215">
        <f t="shared" si="5"/>
        <v>0.16999999999999998</v>
      </c>
      <c r="C42" s="211">
        <v>119.35002186134363</v>
      </c>
      <c r="D42" s="54">
        <v>139.63953667659609</v>
      </c>
      <c r="E42" s="54">
        <v>163.44836964597033</v>
      </c>
      <c r="F42" s="54">
        <v>211.23467025725085</v>
      </c>
      <c r="G42" s="54">
        <v>247.14463161588688</v>
      </c>
      <c r="H42" s="54">
        <v>309.1597885303928</v>
      </c>
      <c r="I42" s="54">
        <v>361.87198280124068</v>
      </c>
      <c r="J42" s="54">
        <v>423.39125121527763</v>
      </c>
      <c r="K42" s="54">
        <v>495.36631456412073</v>
      </c>
    </row>
    <row r="43" spans="1:11">
      <c r="A43" s="221"/>
      <c r="B43" s="215">
        <f t="shared" si="5"/>
        <v>0.15999999999999998</v>
      </c>
      <c r="C43" s="211">
        <v>118.79997739209101</v>
      </c>
      <c r="D43" s="54">
        <v>137.80808220233664</v>
      </c>
      <c r="E43" s="54">
        <v>159.92244804155203</v>
      </c>
      <c r="F43" s="54">
        <v>205.50970778626959</v>
      </c>
      <c r="G43" s="54">
        <v>238.39179790469686</v>
      </c>
      <c r="H43" s="54">
        <v>296.53382249704612</v>
      </c>
      <c r="I43" s="54">
        <v>344.11892857684865</v>
      </c>
      <c r="J43" s="54">
        <v>399.17919091703226</v>
      </c>
      <c r="K43" s="54">
        <v>463.04605168659413</v>
      </c>
    </row>
    <row r="44" spans="1:11">
      <c r="A44" s="221"/>
      <c r="B44" s="215">
        <f t="shared" si="5"/>
        <v>0.14999999999999997</v>
      </c>
      <c r="C44" s="211">
        <v>118.25002690076877</v>
      </c>
      <c r="D44" s="54">
        <v>135.98751145243781</v>
      </c>
      <c r="E44" s="54">
        <v>156.4456629565465</v>
      </c>
      <c r="F44" s="54">
        <v>199.91207966874339</v>
      </c>
      <c r="G44" s="54">
        <v>229.89905648063132</v>
      </c>
      <c r="H44" s="54">
        <v>284.38414506152401</v>
      </c>
      <c r="I44" s="54">
        <v>327.16739287043549</v>
      </c>
      <c r="J44" s="54">
        <v>376.24214906287227</v>
      </c>
      <c r="K44" s="54">
        <v>432.67776637297391</v>
      </c>
    </row>
    <row r="45" spans="1:11">
      <c r="A45" s="221"/>
      <c r="B45" s="215">
        <f t="shared" si="5"/>
        <v>0.13999999999999996</v>
      </c>
      <c r="C45" s="211">
        <v>117.69999127989801</v>
      </c>
      <c r="D45" s="54">
        <v>134.17801191247651</v>
      </c>
      <c r="E45" s="54">
        <v>153.01783433649894</v>
      </c>
      <c r="F45" s="54">
        <v>194.44031211912457</v>
      </c>
      <c r="G45" s="54">
        <v>221.66224012764616</v>
      </c>
      <c r="H45" s="54">
        <v>272.69416972235416</v>
      </c>
      <c r="I45" s="54">
        <v>310.98379095832519</v>
      </c>
      <c r="J45" s="54">
        <v>354.52052844456108</v>
      </c>
      <c r="K45" s="54">
        <v>404.15412828280466</v>
      </c>
    </row>
    <row r="46" spans="1:11">
      <c r="A46" s="221"/>
      <c r="B46" s="215">
        <f t="shared" si="5"/>
        <v>0.12999999999999995</v>
      </c>
      <c r="C46" s="211">
        <v>117.15002720664192</v>
      </c>
      <c r="D46" s="54">
        <v>132.37950153889219</v>
      </c>
      <c r="E46" s="54">
        <v>149.63882659048014</v>
      </c>
      <c r="F46" s="54">
        <v>189.09192165343211</v>
      </c>
      <c r="G46" s="54">
        <v>213.67422865566249</v>
      </c>
      <c r="H46" s="54">
        <v>261.45198960395828</v>
      </c>
      <c r="I46" s="54">
        <v>295.53923355281808</v>
      </c>
      <c r="J46" s="54">
        <v>333.95932238517651</v>
      </c>
      <c r="K46" s="54">
        <v>377.37521492653082</v>
      </c>
    </row>
    <row r="47" spans="1:11">
      <c r="A47" s="221"/>
      <c r="B47" s="215">
        <f t="shared" si="5"/>
        <v>0.11999999999999995</v>
      </c>
      <c r="C47" s="211">
        <v>116.59999432810937</v>
      </c>
      <c r="D47" s="54">
        <v>130.592036703594</v>
      </c>
      <c r="E47" s="54">
        <v>146.30832559442356</v>
      </c>
      <c r="F47" s="54">
        <v>183.86568281997702</v>
      </c>
      <c r="G47" s="54">
        <v>205.92959581523166</v>
      </c>
      <c r="H47" s="54">
        <v>250.64049981695067</v>
      </c>
      <c r="I47" s="54">
        <v>280.80512427225909</v>
      </c>
      <c r="J47" s="54">
        <v>314.50165014365325</v>
      </c>
      <c r="K47" s="54">
        <v>352.24248733974872</v>
      </c>
    </row>
    <row r="48" spans="1:11">
      <c r="A48" s="221"/>
      <c r="B48" s="215">
        <f t="shared" si="5"/>
        <v>0.10999999999999996</v>
      </c>
      <c r="C48" s="211">
        <v>116.04997385590069</v>
      </c>
      <c r="D48" s="54">
        <v>128.81552903297086</v>
      </c>
      <c r="E48" s="54">
        <v>143.02621670306775</v>
      </c>
      <c r="F48" s="54">
        <v>178.75885162325818</v>
      </c>
      <c r="G48" s="54">
        <v>198.42278242911689</v>
      </c>
      <c r="H48" s="54">
        <v>240.24908092488423</v>
      </c>
      <c r="I48" s="54">
        <v>266.75266007914155</v>
      </c>
      <c r="J48" s="54">
        <v>296.09473367707574</v>
      </c>
      <c r="K48" s="54">
        <v>328.666882634758</v>
      </c>
    </row>
    <row r="49" spans="1:11">
      <c r="A49" s="221"/>
      <c r="B49" s="215">
        <f t="shared" si="5"/>
        <v>9.9999999999999964E-2</v>
      </c>
      <c r="C49" s="211">
        <v>115.50000736612607</v>
      </c>
      <c r="D49" s="54">
        <v>127.04998849876435</v>
      </c>
      <c r="E49" s="54">
        <v>139.79150685389664</v>
      </c>
      <c r="F49" s="54">
        <v>173.77081878235771</v>
      </c>
      <c r="G49" s="54">
        <v>191.14758924678338</v>
      </c>
      <c r="H49" s="54">
        <v>230.26209575659021</v>
      </c>
      <c r="I49" s="54">
        <v>253.35482807282276</v>
      </c>
      <c r="J49" s="54">
        <v>278.69073580071</v>
      </c>
      <c r="K49" s="54">
        <v>306.55961819044205</v>
      </c>
    </row>
    <row r="50" spans="1:11">
      <c r="A50" s="221"/>
      <c r="B50" s="215">
        <f t="shared" si="5"/>
        <v>8.9999999999999969E-2</v>
      </c>
      <c r="C50" s="211">
        <v>114.95000625738187</v>
      </c>
      <c r="D50" s="54">
        <v>125.29553770266314</v>
      </c>
      <c r="E50" s="54">
        <v>136.60447767882513</v>
      </c>
      <c r="F50" s="54">
        <v>168.89876520233958</v>
      </c>
      <c r="G50" s="54">
        <v>184.09955430808955</v>
      </c>
      <c r="H50" s="54">
        <v>220.6685363111994</v>
      </c>
      <c r="I50" s="54">
        <v>240.58588476188302</v>
      </c>
      <c r="J50" s="54">
        <v>262.23777735566443</v>
      </c>
      <c r="K50" s="54">
        <v>285.8398238138883</v>
      </c>
    </row>
    <row r="51" spans="1:11">
      <c r="A51" s="221"/>
      <c r="B51" s="215">
        <f t="shared" si="5"/>
        <v>7.9999999999999974E-2</v>
      </c>
      <c r="C51" s="211">
        <v>114.39998530886749</v>
      </c>
      <c r="D51" s="54">
        <v>123.55199049547136</v>
      </c>
      <c r="E51" s="54">
        <v>133.46425494914456</v>
      </c>
      <c r="F51" s="54">
        <v>164.14164667878865</v>
      </c>
      <c r="G51" s="54">
        <v>177.27286853549347</v>
      </c>
      <c r="H51" s="54">
        <v>211.45494786217549</v>
      </c>
      <c r="I51" s="54">
        <v>228.41922228818811</v>
      </c>
      <c r="J51" s="54">
        <v>246.69300849511032</v>
      </c>
      <c r="K51" s="54">
        <v>266.42758636427823</v>
      </c>
    </row>
    <row r="52" spans="1:11">
      <c r="B52" s="99"/>
      <c r="C52" s="203"/>
      <c r="D52" s="203"/>
      <c r="E52" s="203"/>
      <c r="F52" s="203"/>
      <c r="G52" s="203"/>
      <c r="H52" s="203"/>
      <c r="I52" s="203"/>
      <c r="J52" s="203"/>
      <c r="K52" s="203"/>
    </row>
    <row r="53" spans="1:11" ht="44.25" customHeight="1">
      <c r="A53" s="221"/>
      <c r="B53" s="503" t="s">
        <v>70</v>
      </c>
      <c r="C53" s="503"/>
      <c r="D53" s="503"/>
      <c r="E53" s="503"/>
      <c r="F53" s="503"/>
      <c r="G53" s="503"/>
      <c r="H53" s="503"/>
      <c r="I53" s="503"/>
      <c r="J53" s="503"/>
      <c r="K53" s="503"/>
    </row>
    <row r="54" spans="1:11" s="17" customFormat="1">
      <c r="A54" s="221"/>
      <c r="B54" s="17" t="s">
        <v>23</v>
      </c>
    </row>
    <row r="55" spans="1:11">
      <c r="A55" s="221"/>
      <c r="C55" s="214">
        <v>2</v>
      </c>
      <c r="D55" s="214">
        <f t="shared" ref="D55:K55" si="6">C55+1</f>
        <v>3</v>
      </c>
      <c r="E55" s="214">
        <f t="shared" si="6"/>
        <v>4</v>
      </c>
      <c r="F55" s="214">
        <f t="shared" si="6"/>
        <v>5</v>
      </c>
      <c r="G55" s="214">
        <f t="shared" si="6"/>
        <v>6</v>
      </c>
      <c r="H55" s="214">
        <f t="shared" si="6"/>
        <v>7</v>
      </c>
      <c r="I55" s="214">
        <f t="shared" si="6"/>
        <v>8</v>
      </c>
      <c r="J55" s="214">
        <f t="shared" si="6"/>
        <v>9</v>
      </c>
      <c r="K55" s="214">
        <f t="shared" si="6"/>
        <v>10</v>
      </c>
    </row>
    <row r="56" spans="1:11">
      <c r="A56" s="221"/>
      <c r="B56" s="215">
        <v>0.2</v>
      </c>
      <c r="C56" s="212">
        <v>93.778870091241387</v>
      </c>
      <c r="D56" s="213">
        <v>123.05061969933956</v>
      </c>
      <c r="E56" s="213">
        <v>146.93922874428549</v>
      </c>
      <c r="F56" s="213">
        <v>168.8977225362697</v>
      </c>
      <c r="G56" s="213">
        <v>194.28599705382283</v>
      </c>
      <c r="H56" s="213">
        <v>231.49662557380944</v>
      </c>
      <c r="I56" s="213">
        <v>278.11008745145716</v>
      </c>
      <c r="J56" s="213">
        <v>337.07958770117892</v>
      </c>
      <c r="K56" s="213">
        <v>430.67461608503913</v>
      </c>
    </row>
    <row r="57" spans="1:11">
      <c r="A57" s="221"/>
      <c r="B57" s="215">
        <f>B56-1%</f>
        <v>0.19</v>
      </c>
      <c r="C57" s="211">
        <v>93.228834521707654</v>
      </c>
      <c r="D57" s="54">
        <v>121.18612349583566</v>
      </c>
      <c r="E57" s="54">
        <v>143.26271470538219</v>
      </c>
      <c r="F57" s="54">
        <v>162.7797826035237</v>
      </c>
      <c r="G57" s="54">
        <v>184.71312543040551</v>
      </c>
      <c r="H57" s="54">
        <v>217.35484197713336</v>
      </c>
      <c r="I57" s="54">
        <v>257.76074118470933</v>
      </c>
      <c r="J57" s="54">
        <v>308.66358220285139</v>
      </c>
      <c r="K57" s="54">
        <v>391.81653996927037</v>
      </c>
    </row>
    <row r="58" spans="1:11">
      <c r="A58" s="221"/>
      <c r="B58" s="215">
        <f t="shared" ref="B58:B68" si="7">B57-1%</f>
        <v>0.18</v>
      </c>
      <c r="C58" s="211">
        <v>92.678834554261115</v>
      </c>
      <c r="D58" s="54">
        <v>119.33269859216554</v>
      </c>
      <c r="E58" s="54">
        <v>139.63646816024399</v>
      </c>
      <c r="F58" s="54">
        <v>156.79429884272167</v>
      </c>
      <c r="G58" s="54">
        <v>175.41957055281119</v>
      </c>
      <c r="H58" s="54">
        <v>203.73492034056872</v>
      </c>
      <c r="I58" s="54">
        <v>238.31066917024572</v>
      </c>
      <c r="J58" s="54">
        <v>281.71450481008355</v>
      </c>
      <c r="K58" s="54">
        <v>355.25569868180253</v>
      </c>
    </row>
    <row r="59" spans="1:11">
      <c r="A59" s="221"/>
      <c r="B59" s="215">
        <f t="shared" si="7"/>
        <v>0.16999999999999998</v>
      </c>
      <c r="C59" s="211">
        <v>92.128870537641859</v>
      </c>
      <c r="D59" s="54">
        <v>117.49022403669844</v>
      </c>
      <c r="E59" s="54">
        <v>136.06038230055771</v>
      </c>
      <c r="F59" s="54">
        <v>150.94016535406433</v>
      </c>
      <c r="G59" s="54">
        <v>166.39937326233976</v>
      </c>
      <c r="H59" s="54">
        <v>190.61981306920703</v>
      </c>
      <c r="I59" s="54">
        <v>219.7267313985792</v>
      </c>
      <c r="J59" s="54">
        <v>256.16599338215093</v>
      </c>
      <c r="K59" s="54">
        <v>320.87578827362609</v>
      </c>
    </row>
    <row r="60" spans="1:11">
      <c r="A60" s="221"/>
      <c r="B60" s="215">
        <f t="shared" si="7"/>
        <v>0.15999999999999998</v>
      </c>
      <c r="C60" s="211">
        <v>91.578826068389233</v>
      </c>
      <c r="D60" s="54">
        <v>115.65876956243898</v>
      </c>
      <c r="E60" s="54">
        <v>132.5344606961394</v>
      </c>
      <c r="F60" s="54">
        <v>145.21520288308307</v>
      </c>
      <c r="G60" s="54">
        <v>157.64653955114974</v>
      </c>
      <c r="H60" s="54">
        <v>177.99384703586034</v>
      </c>
      <c r="I60" s="54">
        <v>201.97367717418717</v>
      </c>
      <c r="J60" s="54">
        <v>231.95393308390555</v>
      </c>
      <c r="K60" s="54">
        <v>288.55552539609948</v>
      </c>
    </row>
    <row r="61" spans="1:11">
      <c r="A61" s="221"/>
      <c r="B61" s="215">
        <f t="shared" si="7"/>
        <v>0.14999999999999997</v>
      </c>
      <c r="C61" s="211">
        <v>91.028875577066998</v>
      </c>
      <c r="D61" s="54">
        <v>113.83819881254016</v>
      </c>
      <c r="E61" s="54">
        <v>129.05767561113387</v>
      </c>
      <c r="F61" s="54">
        <v>139.61757476555687</v>
      </c>
      <c r="G61" s="54">
        <v>149.1537981270842</v>
      </c>
      <c r="H61" s="54">
        <v>165.84416960033823</v>
      </c>
      <c r="I61" s="54">
        <v>185.02214146777402</v>
      </c>
      <c r="J61" s="54">
        <v>209.01689122974557</v>
      </c>
      <c r="K61" s="54">
        <v>258.18724008247932</v>
      </c>
    </row>
    <row r="62" spans="1:11">
      <c r="A62" s="221"/>
      <c r="B62" s="215">
        <f t="shared" si="7"/>
        <v>0.13999999999999996</v>
      </c>
      <c r="C62" s="211">
        <v>90.478839956196239</v>
      </c>
      <c r="D62" s="54">
        <v>112.02869927257885</v>
      </c>
      <c r="E62" s="54">
        <v>125.62984699108631</v>
      </c>
      <c r="F62" s="54">
        <v>134.14580721593805</v>
      </c>
      <c r="G62" s="54">
        <v>140.91698177409904</v>
      </c>
      <c r="H62" s="54">
        <v>154.15419426116839</v>
      </c>
      <c r="I62" s="54">
        <v>168.83853955566371</v>
      </c>
      <c r="J62" s="54">
        <v>187.29527061143438</v>
      </c>
      <c r="K62" s="54">
        <v>229.66360199231005</v>
      </c>
    </row>
    <row r="63" spans="1:11">
      <c r="A63" s="221"/>
      <c r="B63" s="215">
        <f t="shared" si="7"/>
        <v>0.12999999999999995</v>
      </c>
      <c r="C63" s="211">
        <v>89.928875882940147</v>
      </c>
      <c r="D63" s="54">
        <v>110.23018889899453</v>
      </c>
      <c r="E63" s="54">
        <v>122.25083924506751</v>
      </c>
      <c r="F63" s="54">
        <v>128.79741675024559</v>
      </c>
      <c r="G63" s="54">
        <v>132.92897030211537</v>
      </c>
      <c r="H63" s="54">
        <v>142.91201414277251</v>
      </c>
      <c r="I63" s="54">
        <v>153.3939821501566</v>
      </c>
      <c r="J63" s="54">
        <v>166.7340645520498</v>
      </c>
      <c r="K63" s="54">
        <v>202.8846886360362</v>
      </c>
    </row>
    <row r="64" spans="1:11">
      <c r="A64" s="221"/>
      <c r="B64" s="215">
        <f t="shared" si="7"/>
        <v>0.11999999999999995</v>
      </c>
      <c r="C64" s="211">
        <v>89.378843004407599</v>
      </c>
      <c r="D64" s="54">
        <v>108.44272406369635</v>
      </c>
      <c r="E64" s="54">
        <v>118.92033824901094</v>
      </c>
      <c r="F64" s="54">
        <v>123.5711779167905</v>
      </c>
      <c r="G64" s="54">
        <v>125.18433746168455</v>
      </c>
      <c r="H64" s="54">
        <v>132.10052435576489</v>
      </c>
      <c r="I64" s="54">
        <v>138.65987286959762</v>
      </c>
      <c r="J64" s="54">
        <v>147.27639231052655</v>
      </c>
      <c r="K64" s="54">
        <v>177.75196104925411</v>
      </c>
    </row>
    <row r="65" spans="1:11">
      <c r="A65" s="221"/>
      <c r="B65" s="215">
        <f t="shared" si="7"/>
        <v>0.10999999999999996</v>
      </c>
      <c r="C65" s="211">
        <v>88.828822532198913</v>
      </c>
      <c r="D65" s="54">
        <v>106.6662163930732</v>
      </c>
      <c r="E65" s="54">
        <v>115.63822935765512</v>
      </c>
      <c r="F65" s="54">
        <v>118.46434672007166</v>
      </c>
      <c r="G65" s="54">
        <v>117.67752407556978</v>
      </c>
      <c r="H65" s="54">
        <v>121.70910546369845</v>
      </c>
      <c r="I65" s="54">
        <v>124.60740867648008</v>
      </c>
      <c r="J65" s="54">
        <v>128.86947584394903</v>
      </c>
      <c r="K65" s="54">
        <v>154.17635634426338</v>
      </c>
    </row>
    <row r="66" spans="1:11">
      <c r="A66" s="221"/>
      <c r="B66" s="215">
        <f t="shared" si="7"/>
        <v>9.9999999999999964E-2</v>
      </c>
      <c r="C66" s="211">
        <v>88.278827825276224</v>
      </c>
      <c r="D66" s="54">
        <v>104.90064189029314</v>
      </c>
      <c r="E66" s="54">
        <v>112.40347429616665</v>
      </c>
      <c r="F66" s="54">
        <v>113.47625767703425</v>
      </c>
      <c r="G66" s="54">
        <v>110.40226907098636</v>
      </c>
      <c r="H66" s="54">
        <v>111.72204582247559</v>
      </c>
      <c r="I66" s="54">
        <v>111.20949472842443</v>
      </c>
      <c r="J66" s="54">
        <v>111.46538783153522</v>
      </c>
      <c r="K66" s="54">
        <v>132.06899275035656</v>
      </c>
    </row>
    <row r="67" spans="1:11">
      <c r="A67" s="221"/>
      <c r="B67" s="215">
        <f t="shared" si="7"/>
        <v>8.9999999999999969E-2</v>
      </c>
      <c r="C67" s="211">
        <v>87.728854933680097</v>
      </c>
      <c r="D67" s="54">
        <v>103.14622506276547</v>
      </c>
      <c r="E67" s="54">
        <v>109.21649033341251</v>
      </c>
      <c r="F67" s="54">
        <v>108.60426029915305</v>
      </c>
      <c r="G67" s="54">
        <v>103.35429595454244</v>
      </c>
      <c r="H67" s="54">
        <v>102.12856085001363</v>
      </c>
      <c r="I67" s="54">
        <v>98.44063335922155</v>
      </c>
      <c r="J67" s="54">
        <v>95.01251952253773</v>
      </c>
      <c r="K67" s="54">
        <v>111.34929752339369</v>
      </c>
    </row>
    <row r="68" spans="1:11">
      <c r="A68" s="221"/>
      <c r="B68" s="215">
        <f t="shared" si="7"/>
        <v>7.9999999999999974E-2</v>
      </c>
      <c r="C68" s="211">
        <v>87.17883398516571</v>
      </c>
      <c r="D68" s="54">
        <v>101.4026778555737</v>
      </c>
      <c r="E68" s="54">
        <v>106.07626760373194</v>
      </c>
      <c r="F68" s="54">
        <v>103.84714177560213</v>
      </c>
      <c r="G68" s="54">
        <v>96.527610181946358</v>
      </c>
      <c r="H68" s="54">
        <v>92.914972400989711</v>
      </c>
      <c r="I68" s="54">
        <v>86.273970885526637</v>
      </c>
      <c r="J68" s="54">
        <v>79.467750661983615</v>
      </c>
      <c r="K68" s="54">
        <v>91.937060073783613</v>
      </c>
    </row>
    <row r="69" spans="1:11">
      <c r="B69" s="99"/>
      <c r="C69" s="203"/>
      <c r="D69" s="203"/>
      <c r="E69" s="203"/>
      <c r="F69" s="203"/>
      <c r="G69" s="203"/>
      <c r="H69" s="203"/>
      <c r="I69" s="203"/>
      <c r="J69" s="203"/>
      <c r="K69" s="203"/>
    </row>
    <row r="71" spans="1:11" ht="46.5" customHeight="1">
      <c r="A71">
        <v>2</v>
      </c>
      <c r="B71" s="503" t="s">
        <v>24</v>
      </c>
      <c r="C71" s="503"/>
      <c r="D71" s="503"/>
      <c r="E71" s="503"/>
      <c r="F71" s="503"/>
      <c r="G71" s="503"/>
      <c r="H71" s="503"/>
      <c r="I71" s="503"/>
      <c r="J71" s="503"/>
      <c r="K71" s="503"/>
    </row>
    <row r="72" spans="1:11">
      <c r="B72" s="505" t="s">
        <v>25</v>
      </c>
      <c r="C72" s="505"/>
      <c r="D72" s="505"/>
      <c r="E72" s="505"/>
      <c r="F72" s="505"/>
      <c r="G72" s="505"/>
      <c r="H72" s="505"/>
      <c r="I72" s="505"/>
      <c r="J72" s="505"/>
      <c r="K72" s="505"/>
    </row>
    <row r="73" spans="1:11">
      <c r="B73" s="407"/>
      <c r="C73" s="217">
        <v>2</v>
      </c>
      <c r="D73" s="217">
        <f t="shared" ref="D73:K73" si="8">C73+1</f>
        <v>3</v>
      </c>
      <c r="E73" s="217">
        <f t="shared" si="8"/>
        <v>4</v>
      </c>
      <c r="F73" s="217">
        <f t="shared" si="8"/>
        <v>5</v>
      </c>
      <c r="G73" s="217">
        <f t="shared" si="8"/>
        <v>6</v>
      </c>
      <c r="H73" s="217">
        <f t="shared" si="8"/>
        <v>7</v>
      </c>
      <c r="I73" s="217">
        <f t="shared" si="8"/>
        <v>8</v>
      </c>
      <c r="J73" s="217">
        <f t="shared" si="8"/>
        <v>9</v>
      </c>
      <c r="K73" s="217">
        <f t="shared" si="8"/>
        <v>10</v>
      </c>
    </row>
    <row r="74" spans="1:11" hidden="1">
      <c r="A74" s="31"/>
      <c r="B74" s="407"/>
      <c r="C74" s="206">
        <v>-110</v>
      </c>
    </row>
    <row r="75" spans="1:11">
      <c r="A75" s="407"/>
      <c r="B75" s="218">
        <v>0.2</v>
      </c>
      <c r="C75" s="216">
        <f t="shared" ref="C75:K75" si="9">(C39+$C$74)/-$C$74/(C$38-1)</f>
        <v>0.10000019468130147</v>
      </c>
      <c r="D75" s="205">
        <f t="shared" si="9"/>
        <v>0.15999969245107828</v>
      </c>
      <c r="E75" s="205">
        <f t="shared" si="9"/>
        <v>0.19493095784757006</v>
      </c>
      <c r="F75" s="205">
        <f t="shared" si="9"/>
        <v>0.27089142599876415</v>
      </c>
      <c r="G75" s="205">
        <f t="shared" si="9"/>
        <v>0.30005682801339989</v>
      </c>
      <c r="H75" s="205">
        <f t="shared" si="9"/>
        <v>0.36369181974999276</v>
      </c>
      <c r="I75" s="205">
        <f t="shared" si="9"/>
        <v>0.40292901149885541</v>
      </c>
      <c r="J75" s="205">
        <f t="shared" si="9"/>
        <v>0.44807368810716547</v>
      </c>
      <c r="K75" s="205">
        <f t="shared" si="9"/>
        <v>0.50016681048033707</v>
      </c>
    </row>
    <row r="76" spans="1:11">
      <c r="B76" s="218">
        <f>B75-1%</f>
        <v>0.19</v>
      </c>
      <c r="C76" s="216">
        <f t="shared" ref="C76:K76" si="10">(C40+$C$74)/-$C$74/(C$38-1)</f>
        <v>9.4999871321903906E-2</v>
      </c>
      <c r="D76" s="205">
        <f t="shared" si="10"/>
        <v>0.15152470970787871</v>
      </c>
      <c r="E76" s="205">
        <f t="shared" si="10"/>
        <v>0.18379000621452976</v>
      </c>
      <c r="F76" s="205">
        <f t="shared" si="10"/>
        <v>0.25698701706070504</v>
      </c>
      <c r="G76" s="205">
        <f t="shared" si="10"/>
        <v>0.28265160687991386</v>
      </c>
      <c r="H76" s="205">
        <f t="shared" si="10"/>
        <v>0.34226487490654417</v>
      </c>
      <c r="I76" s="205">
        <f t="shared" si="10"/>
        <v>0.37650128907450753</v>
      </c>
      <c r="J76" s="205">
        <f t="shared" si="10"/>
        <v>0.41578277276815695</v>
      </c>
      <c r="K76" s="205">
        <f t="shared" si="10"/>
        <v>0.46091622854521713</v>
      </c>
    </row>
    <row r="77" spans="1:11">
      <c r="B77" s="218">
        <f t="shared" ref="B77:B87" si="11">B76-1%</f>
        <v>0.18</v>
      </c>
      <c r="C77" s="216">
        <f t="shared" ref="C77:K77" si="12">(C41+$C$74)/-$C$74/(C$38-1)</f>
        <v>8.9999871617844465E-2</v>
      </c>
      <c r="D77" s="205">
        <f t="shared" si="12"/>
        <v>0.14310005105483273</v>
      </c>
      <c r="E77" s="205">
        <f t="shared" si="12"/>
        <v>0.17280138032017156</v>
      </c>
      <c r="F77" s="205">
        <f t="shared" si="12"/>
        <v>0.24338364487706407</v>
      </c>
      <c r="G77" s="205">
        <f t="shared" si="12"/>
        <v>0.26575423437519696</v>
      </c>
      <c r="H77" s="205">
        <f t="shared" si="12"/>
        <v>0.32162863000265834</v>
      </c>
      <c r="I77" s="205">
        <f t="shared" si="12"/>
        <v>0.35124145528948986</v>
      </c>
      <c r="J77" s="205">
        <f t="shared" si="12"/>
        <v>0.38515882118546618</v>
      </c>
      <c r="K77" s="205">
        <f t="shared" si="12"/>
        <v>0.42398608583060315</v>
      </c>
    </row>
    <row r="78" spans="1:11">
      <c r="B78" s="218">
        <f t="shared" si="11"/>
        <v>0.16999999999999998</v>
      </c>
      <c r="C78" s="216">
        <f t="shared" ref="C78:K78" si="13">(C42+$C$74)/-$C$74/(C$38-1)</f>
        <v>8.5000198739487581E-2</v>
      </c>
      <c r="D78" s="205">
        <f t="shared" si="13"/>
        <v>0.13472516671180043</v>
      </c>
      <c r="E78" s="205">
        <f t="shared" si="13"/>
        <v>0.1619647565029404</v>
      </c>
      <c r="F78" s="205">
        <f t="shared" si="13"/>
        <v>0.2300787960392065</v>
      </c>
      <c r="G78" s="205">
        <f t="shared" si="13"/>
        <v>0.24935387566524886</v>
      </c>
      <c r="H78" s="205">
        <f t="shared" si="13"/>
        <v>0.30175725534907999</v>
      </c>
      <c r="I78" s="205">
        <f t="shared" si="13"/>
        <v>0.32710647117044245</v>
      </c>
      <c r="J78" s="205">
        <f t="shared" si="13"/>
        <v>0.35612642183554277</v>
      </c>
      <c r="K78" s="205">
        <f t="shared" si="13"/>
        <v>0.38925890360012194</v>
      </c>
    </row>
    <row r="79" spans="1:11">
      <c r="B79" s="218">
        <f t="shared" si="11"/>
        <v>0.15999999999999998</v>
      </c>
      <c r="C79" s="216">
        <f t="shared" ref="C79:K79" si="14">(C43+$C$74)/-$C$74/(C$38-1)</f>
        <v>7.9999794473554625E-2</v>
      </c>
      <c r="D79" s="205">
        <f t="shared" si="14"/>
        <v>0.1264003736469847</v>
      </c>
      <c r="E79" s="205">
        <f t="shared" si="14"/>
        <v>0.15128014558046068</v>
      </c>
      <c r="F79" s="205">
        <f t="shared" si="14"/>
        <v>0.21706751769606725</v>
      </c>
      <c r="G79" s="205">
        <f t="shared" si="14"/>
        <v>0.2334396325539943</v>
      </c>
      <c r="H79" s="205">
        <f t="shared" si="14"/>
        <v>0.28262700378340322</v>
      </c>
      <c r="I79" s="205">
        <f t="shared" si="14"/>
        <v>0.30405055659330993</v>
      </c>
      <c r="J79" s="205">
        <f t="shared" si="14"/>
        <v>0.328612716951173</v>
      </c>
      <c r="K79" s="205">
        <f t="shared" si="14"/>
        <v>0.35661217342080215</v>
      </c>
    </row>
    <row r="80" spans="1:11">
      <c r="B80" s="218">
        <f t="shared" si="11"/>
        <v>0.14999999999999997</v>
      </c>
      <c r="C80" s="216">
        <f t="shared" ref="C80:K80" si="15">(C44+$C$74)/-$C$74/(C$38-1)</f>
        <v>7.500024455244339E-2</v>
      </c>
      <c r="D80" s="205">
        <f t="shared" si="15"/>
        <v>0.11812505205653552</v>
      </c>
      <c r="E80" s="205">
        <f t="shared" si="15"/>
        <v>0.14074443320165606</v>
      </c>
      <c r="F80" s="205">
        <f t="shared" si="15"/>
        <v>0.20434563561078042</v>
      </c>
      <c r="G80" s="205">
        <f t="shared" si="15"/>
        <v>0.21799828451023875</v>
      </c>
      <c r="H80" s="205">
        <f t="shared" si="15"/>
        <v>0.26421840160836968</v>
      </c>
      <c r="I80" s="205">
        <f t="shared" si="15"/>
        <v>0.28203557515640976</v>
      </c>
      <c r="J80" s="205">
        <f t="shared" si="15"/>
        <v>0.30254789666235488</v>
      </c>
      <c r="K80" s="205">
        <f t="shared" si="15"/>
        <v>0.32593713775047867</v>
      </c>
    </row>
    <row r="81" spans="1:11">
      <c r="B81" s="218">
        <f t="shared" si="11"/>
        <v>0.13999999999999996</v>
      </c>
      <c r="C81" s="216">
        <f t="shared" ref="C81:K81" si="16">(C45+$C$74)/-$C$74/(C$38-1)</f>
        <v>6.9999920726345588E-2</v>
      </c>
      <c r="D81" s="205">
        <f t="shared" si="16"/>
        <v>0.10990005414762048</v>
      </c>
      <c r="E81" s="205">
        <f t="shared" si="16"/>
        <v>0.13035707374696648</v>
      </c>
      <c r="F81" s="205">
        <f t="shared" si="16"/>
        <v>0.19190980027073765</v>
      </c>
      <c r="G81" s="205">
        <f t="shared" si="16"/>
        <v>0.20302225477753849</v>
      </c>
      <c r="H81" s="205">
        <f t="shared" si="16"/>
        <v>0.24650631776114265</v>
      </c>
      <c r="I81" s="205">
        <f t="shared" si="16"/>
        <v>0.26101791033548727</v>
      </c>
      <c r="J81" s="205">
        <f t="shared" si="16"/>
        <v>0.27786423686881939</v>
      </c>
      <c r="K81" s="205">
        <f t="shared" si="16"/>
        <v>0.29712538210384309</v>
      </c>
    </row>
    <row r="82" spans="1:11">
      <c r="B82" s="218">
        <f t="shared" si="11"/>
        <v>0.12999999999999995</v>
      </c>
      <c r="C82" s="216">
        <f t="shared" ref="C82:K82" si="17">(C46+$C$74)/-$C$74/(C$38-1)</f>
        <v>6.5000247333108385E-2</v>
      </c>
      <c r="D82" s="205">
        <f t="shared" si="17"/>
        <v>0.10172500699496448</v>
      </c>
      <c r="E82" s="205">
        <f t="shared" si="17"/>
        <v>0.12011765633478828</v>
      </c>
      <c r="F82" s="205">
        <f t="shared" si="17"/>
        <v>0.17975436739416389</v>
      </c>
      <c r="G82" s="205">
        <f t="shared" si="17"/>
        <v>0.18849859755574999</v>
      </c>
      <c r="H82" s="205">
        <f t="shared" si="17"/>
        <v>0.2294727115211489</v>
      </c>
      <c r="I82" s="205">
        <f t="shared" si="17"/>
        <v>0.24096004357508841</v>
      </c>
      <c r="J82" s="205">
        <f t="shared" si="17"/>
        <v>0.25449922998315511</v>
      </c>
      <c r="K82" s="205">
        <f t="shared" si="17"/>
        <v>0.2700759746732635</v>
      </c>
    </row>
    <row r="83" spans="1:11">
      <c r="B83" s="218">
        <f t="shared" si="11"/>
        <v>0.11999999999999995</v>
      </c>
      <c r="C83" s="216">
        <f t="shared" ref="C83:K83" si="18">(C47+$C$74)/-$C$74/(C$38-1)</f>
        <v>5.9999948437357953E-2</v>
      </c>
      <c r="D83" s="205">
        <f t="shared" si="18"/>
        <v>9.3600166834518203E-2</v>
      </c>
      <c r="E83" s="205">
        <f t="shared" si="18"/>
        <v>0.1100252290740108</v>
      </c>
      <c r="F83" s="205">
        <f t="shared" si="18"/>
        <v>0.16787655186358413</v>
      </c>
      <c r="G83" s="205">
        <f t="shared" si="18"/>
        <v>0.17441744693678485</v>
      </c>
      <c r="H83" s="205">
        <f t="shared" si="18"/>
        <v>0.2130916663893192</v>
      </c>
      <c r="I83" s="205">
        <f t="shared" si="18"/>
        <v>0.22182483671721959</v>
      </c>
      <c r="J83" s="205">
        <f t="shared" si="18"/>
        <v>0.23238823879960596</v>
      </c>
      <c r="K83" s="205">
        <f t="shared" si="18"/>
        <v>0.24468938115126132</v>
      </c>
    </row>
    <row r="84" spans="1:11">
      <c r="B84" s="218">
        <f t="shared" si="11"/>
        <v>0.10999999999999996</v>
      </c>
      <c r="C84" s="216">
        <f t="shared" ref="C84:K84" si="19">(C48+$C$74)/-$C$74/(C$38-1)</f>
        <v>5.4999762326369897E-2</v>
      </c>
      <c r="D84" s="205">
        <f t="shared" si="19"/>
        <v>8.5525131968049353E-2</v>
      </c>
      <c r="E84" s="205">
        <f t="shared" si="19"/>
        <v>0.10007944455475075</v>
      </c>
      <c r="F84" s="205">
        <f t="shared" si="19"/>
        <v>0.15627011732558677</v>
      </c>
      <c r="G84" s="205">
        <f t="shared" si="19"/>
        <v>0.16076869532566709</v>
      </c>
      <c r="H84" s="205">
        <f t="shared" si="19"/>
        <v>0.19734709231043066</v>
      </c>
      <c r="I84" s="205">
        <f t="shared" si="19"/>
        <v>0.20357488321966435</v>
      </c>
      <c r="J84" s="205">
        <f t="shared" si="19"/>
        <v>0.21147128826940426</v>
      </c>
      <c r="K84" s="205">
        <f t="shared" si="19"/>
        <v>0.22087563902500806</v>
      </c>
    </row>
    <row r="85" spans="1:11">
      <c r="B85" s="218">
        <f t="shared" si="11"/>
        <v>9.9999999999999964E-2</v>
      </c>
      <c r="C85" s="216">
        <f t="shared" ref="C85:K85" si="20">(C49+$C$74)/-$C$74/(C$38-1)</f>
        <v>5.0000066964782451E-2</v>
      </c>
      <c r="D85" s="205">
        <f t="shared" si="20"/>
        <v>7.7499947721656137E-2</v>
      </c>
      <c r="E85" s="205">
        <f t="shared" si="20"/>
        <v>9.0277293496656474E-2</v>
      </c>
      <c r="F85" s="205">
        <f t="shared" si="20"/>
        <v>0.14493367905081297</v>
      </c>
      <c r="G85" s="205">
        <f t="shared" si="20"/>
        <v>0.14754107135778799</v>
      </c>
      <c r="H85" s="205">
        <f t="shared" si="20"/>
        <v>0.18221529660089428</v>
      </c>
      <c r="I85" s="205">
        <f t="shared" si="20"/>
        <v>0.18617510139327628</v>
      </c>
      <c r="J85" s="205">
        <f t="shared" si="20"/>
        <v>0.19169401795535226</v>
      </c>
      <c r="K85" s="205">
        <f t="shared" si="20"/>
        <v>0.1985450688792344</v>
      </c>
    </row>
    <row r="86" spans="1:11">
      <c r="B86" s="218">
        <f t="shared" si="11"/>
        <v>8.9999999999999969E-2</v>
      </c>
      <c r="C86" s="216">
        <f t="shared" ref="C86:K86" si="21">(C50+$C$74)/-$C$74/(C$38-1)</f>
        <v>4.5000056885289748E-2</v>
      </c>
      <c r="D86" s="205">
        <f t="shared" si="21"/>
        <v>6.9525171375741546E-2</v>
      </c>
      <c r="E86" s="205">
        <f t="shared" si="21"/>
        <v>8.0619629329773138E-2</v>
      </c>
      <c r="F86" s="205">
        <f t="shared" si="21"/>
        <v>0.13386083000531721</v>
      </c>
      <c r="G86" s="205">
        <f t="shared" si="21"/>
        <v>0.13472646237834465</v>
      </c>
      <c r="H86" s="205">
        <f t="shared" si="21"/>
        <v>0.16767960047151423</v>
      </c>
      <c r="I86" s="205">
        <f t="shared" si="21"/>
        <v>0.16959205813231562</v>
      </c>
      <c r="J86" s="205">
        <f t="shared" si="21"/>
        <v>0.17299747426780049</v>
      </c>
      <c r="K86" s="205">
        <f t="shared" si="21"/>
        <v>0.17761598365039222</v>
      </c>
    </row>
    <row r="87" spans="1:11">
      <c r="B87" s="218">
        <f t="shared" si="11"/>
        <v>7.9999999999999974E-2</v>
      </c>
      <c r="C87" s="216">
        <f t="shared" ref="C87:K87" si="22">(C51+$C$74)/-$C$74/(C$38-1)</f>
        <v>3.9999866444249868E-2</v>
      </c>
      <c r="D87" s="205">
        <f t="shared" si="22"/>
        <v>6.1599956797597083E-2</v>
      </c>
      <c r="E87" s="205">
        <f t="shared" si="22"/>
        <v>7.1103802876195638E-2</v>
      </c>
      <c r="F87" s="205">
        <f t="shared" si="22"/>
        <v>0.12304919699724692</v>
      </c>
      <c r="G87" s="205">
        <f t="shared" si="22"/>
        <v>0.12231430642816996</v>
      </c>
      <c r="H87" s="205">
        <f t="shared" si="22"/>
        <v>0.15371961797299316</v>
      </c>
      <c r="I87" s="205">
        <f t="shared" si="22"/>
        <v>0.1537911977768677</v>
      </c>
      <c r="J87" s="205">
        <f t="shared" si="22"/>
        <v>0.15533296419898901</v>
      </c>
      <c r="K87" s="205">
        <f t="shared" si="22"/>
        <v>0.15800766299422042</v>
      </c>
    </row>
    <row r="89" spans="1:11" ht="44.25" customHeight="1">
      <c r="A89" s="422" t="s">
        <v>71</v>
      </c>
      <c r="B89" s="503" t="s">
        <v>22</v>
      </c>
      <c r="C89" s="503"/>
      <c r="D89" s="503"/>
      <c r="E89" s="503"/>
      <c r="F89" s="503"/>
      <c r="G89" s="503"/>
      <c r="H89" s="503"/>
      <c r="I89" s="503"/>
      <c r="J89" s="503"/>
      <c r="K89" s="503"/>
    </row>
    <row r="90" spans="1:11" s="17" customFormat="1">
      <c r="A90" s="422" t="s">
        <v>69</v>
      </c>
      <c r="B90" s="17" t="s">
        <v>23</v>
      </c>
    </row>
    <row r="91" spans="1:11">
      <c r="A91" s="222"/>
      <c r="C91" s="214">
        <v>2</v>
      </c>
      <c r="D91" s="214">
        <f t="shared" ref="D91:K91" si="23">C91+1</f>
        <v>3</v>
      </c>
      <c r="E91" s="214">
        <f t="shared" si="23"/>
        <v>4</v>
      </c>
      <c r="F91" s="214">
        <f t="shared" si="23"/>
        <v>5</v>
      </c>
      <c r="G91" s="214">
        <f t="shared" si="23"/>
        <v>6</v>
      </c>
      <c r="H91" s="214">
        <f t="shared" si="23"/>
        <v>7</v>
      </c>
      <c r="I91" s="214">
        <f t="shared" si="23"/>
        <v>8</v>
      </c>
      <c r="J91" s="214">
        <f t="shared" si="23"/>
        <v>9</v>
      </c>
      <c r="K91" s="214">
        <f t="shared" si="23"/>
        <v>10</v>
      </c>
    </row>
    <row r="92" spans="1:11">
      <c r="A92" s="222"/>
      <c r="B92" s="215">
        <v>0.2</v>
      </c>
      <c r="C92" s="212">
        <v>120.99999850513896</v>
      </c>
      <c r="D92" s="213">
        <v>145.20000150483867</v>
      </c>
      <c r="E92" s="213">
        <v>174.32692014134935</v>
      </c>
      <c r="F92" s="213">
        <v>209.19265697184645</v>
      </c>
      <c r="G92" s="213">
        <v>251.0306770499833</v>
      </c>
      <c r="H92" s="213">
        <v>301.23671836056741</v>
      </c>
      <c r="I92" s="213">
        <v>361.66519795532497</v>
      </c>
      <c r="J92" s="213">
        <v>433.99758910745516</v>
      </c>
      <c r="K92" s="213">
        <v>520.7988519432505</v>
      </c>
    </row>
    <row r="93" spans="1:11">
      <c r="A93" s="222"/>
      <c r="B93" s="215">
        <f>B92-1%</f>
        <v>0.19</v>
      </c>
      <c r="C93" s="211">
        <v>120.45001694943363</v>
      </c>
      <c r="D93" s="54">
        <v>143.33553448065805</v>
      </c>
      <c r="E93" s="54">
        <v>170.65048413326767</v>
      </c>
      <c r="F93" s="54">
        <v>203.07425203429887</v>
      </c>
      <c r="G93" s="54">
        <v>241.65787573299758</v>
      </c>
      <c r="H93" s="54">
        <v>287.57274199041194</v>
      </c>
      <c r="I93" s="54">
        <v>342.37608910866282</v>
      </c>
      <c r="J93" s="54">
        <v>407.42706597974143</v>
      </c>
      <c r="K93" s="54">
        <v>484.83753638421217</v>
      </c>
    </row>
    <row r="94" spans="1:11">
      <c r="A94" s="222"/>
      <c r="B94" s="215">
        <f t="shared" ref="B94:B104" si="24">B93-1%</f>
        <v>0.18</v>
      </c>
      <c r="C94" s="211">
        <v>119.90000453154994</v>
      </c>
      <c r="D94" s="54">
        <v>141.48203324330026</v>
      </c>
      <c r="E94" s="54">
        <v>167.02464732346385</v>
      </c>
      <c r="F94" s="54">
        <v>197.08912231832787</v>
      </c>
      <c r="G94" s="54">
        <v>232.56486480986365</v>
      </c>
      <c r="H94" s="54">
        <v>274.42718397521725</v>
      </c>
      <c r="I94" s="54">
        <v>323.97023261812751</v>
      </c>
      <c r="J94" s="54">
        <v>382.28546841082431</v>
      </c>
      <c r="K94" s="54">
        <v>451.09569629695784</v>
      </c>
    </row>
    <row r="95" spans="1:11">
      <c r="A95" s="222"/>
      <c r="B95" s="215">
        <f t="shared" si="24"/>
        <v>0.16999999999999998</v>
      </c>
      <c r="C95" s="211">
        <v>119.34997702025666</v>
      </c>
      <c r="D95" s="54">
        <v>139.63948421252013</v>
      </c>
      <c r="E95" s="54">
        <v>163.4486691204624</v>
      </c>
      <c r="F95" s="54">
        <v>191.23452883946874</v>
      </c>
      <c r="G95" s="54">
        <v>223.7446722287695</v>
      </c>
      <c r="H95" s="54">
        <v>261.78184248792627</v>
      </c>
      <c r="I95" s="54">
        <v>306.4153539637573</v>
      </c>
      <c r="J95" s="54">
        <v>358.50647018710703</v>
      </c>
      <c r="K95" s="54">
        <v>419.45331686626605</v>
      </c>
    </row>
    <row r="96" spans="1:11">
      <c r="A96" s="222"/>
      <c r="B96" s="215">
        <f t="shared" si="24"/>
        <v>0.15999999999999998</v>
      </c>
      <c r="C96" s="211">
        <v>118.79999728502723</v>
      </c>
      <c r="D96" s="54">
        <v>137.80792104168975</v>
      </c>
      <c r="E96" s="54">
        <v>159.9223965704721</v>
      </c>
      <c r="F96" s="54">
        <v>185.5097856153931</v>
      </c>
      <c r="G96" s="54">
        <v>215.19170615937091</v>
      </c>
      <c r="H96" s="54">
        <v>249.62177938011291</v>
      </c>
      <c r="I96" s="54">
        <v>289.68003387498152</v>
      </c>
      <c r="J96" s="54">
        <v>336.02797873889529</v>
      </c>
      <c r="K96" s="54">
        <v>389.79247234323361</v>
      </c>
    </row>
    <row r="97" spans="1:11">
      <c r="A97" s="222"/>
      <c r="B97" s="215">
        <f t="shared" si="24"/>
        <v>0.14999999999999997</v>
      </c>
      <c r="C97" s="211">
        <v>118.25002261233642</v>
      </c>
      <c r="D97" s="54">
        <v>135.98750652074128</v>
      </c>
      <c r="E97" s="54">
        <v>156.44565728291857</v>
      </c>
      <c r="F97" s="54">
        <v>179.9120777533341</v>
      </c>
      <c r="G97" s="54">
        <v>206.8995356402919</v>
      </c>
      <c r="H97" s="54">
        <v>237.93463737691496</v>
      </c>
      <c r="I97" s="54">
        <v>273.72829284520975</v>
      </c>
      <c r="J97" s="54">
        <v>314.78773754402732</v>
      </c>
      <c r="K97" s="54">
        <v>362.0057053088712</v>
      </c>
    </row>
    <row r="98" spans="1:11">
      <c r="A98" s="222"/>
      <c r="B98" s="215">
        <f t="shared" si="24"/>
        <v>0.13999999999999996</v>
      </c>
      <c r="C98" s="211">
        <v>117.70001357778538</v>
      </c>
      <c r="D98" s="54">
        <v>134.17803733207228</v>
      </c>
      <c r="E98" s="54">
        <v>153.01786332523889</v>
      </c>
      <c r="F98" s="54">
        <v>174.44014560327523</v>
      </c>
      <c r="G98" s="54">
        <v>198.86223260971224</v>
      </c>
      <c r="H98" s="54">
        <v>226.70227034043683</v>
      </c>
      <c r="I98" s="54">
        <v>258.53313928348985</v>
      </c>
      <c r="J98" s="54">
        <v>294.72778525539616</v>
      </c>
      <c r="K98" s="54">
        <v>335.98955431063627</v>
      </c>
    </row>
    <row r="99" spans="1:11">
      <c r="A99" s="222"/>
      <c r="B99" s="215">
        <f t="shared" si="24"/>
        <v>0.12999999999999995</v>
      </c>
      <c r="C99" s="211">
        <v>117.15001893655061</v>
      </c>
      <c r="D99" s="54">
        <v>132.37949219369105</v>
      </c>
      <c r="E99" s="54">
        <v>149.63881602687388</v>
      </c>
      <c r="F99" s="54">
        <v>169.09193760244949</v>
      </c>
      <c r="G99" s="54">
        <v>191.07405710918985</v>
      </c>
      <c r="H99" s="54">
        <v>215.91337633798395</v>
      </c>
      <c r="I99" s="54">
        <v>244.06341783866353</v>
      </c>
      <c r="J99" s="54">
        <v>275.79250731603486</v>
      </c>
      <c r="K99" s="54">
        <v>311.64472033251275</v>
      </c>
    </row>
    <row r="100" spans="1:11">
      <c r="A100" s="222"/>
      <c r="B100" s="215">
        <f t="shared" si="24"/>
        <v>0.11999999999999995</v>
      </c>
      <c r="C100" s="211">
        <v>116.59999112525172</v>
      </c>
      <c r="D100" s="54">
        <v>130.5920186616344</v>
      </c>
      <c r="E100" s="54">
        <v>146.308305381178</v>
      </c>
      <c r="F100" s="54">
        <v>163.86551432073279</v>
      </c>
      <c r="G100" s="54">
        <v>183.52947607686201</v>
      </c>
      <c r="H100" s="54">
        <v>205.55294802478767</v>
      </c>
      <c r="I100" s="54">
        <v>230.2911497858241</v>
      </c>
      <c r="J100" s="54">
        <v>257.92642550530036</v>
      </c>
      <c r="K100" s="54">
        <v>288.87593255911224</v>
      </c>
    </row>
    <row r="101" spans="1:11">
      <c r="A101" s="222"/>
      <c r="B101" s="215">
        <f t="shared" si="24"/>
        <v>0.10999999999999996</v>
      </c>
      <c r="C101" s="211">
        <v>116.04999849347999</v>
      </c>
      <c r="D101" s="54">
        <v>128.81555638069617</v>
      </c>
      <c r="E101" s="54">
        <v>143.0262470677427</v>
      </c>
      <c r="F101" s="54">
        <v>158.75912850550463</v>
      </c>
      <c r="G101" s="54">
        <v>176.22249181054235</v>
      </c>
      <c r="H101" s="54">
        <v>195.60684810546087</v>
      </c>
      <c r="I101" s="54">
        <v>217.18552023213294</v>
      </c>
      <c r="J101" s="54">
        <v>241.07602747461951</v>
      </c>
      <c r="K101" s="54">
        <v>267.59514325140481</v>
      </c>
    </row>
    <row r="102" spans="1:11">
      <c r="A102" s="222"/>
      <c r="B102" s="215">
        <f t="shared" si="24"/>
        <v>9.9999999999999964E-2</v>
      </c>
      <c r="C102" s="211">
        <v>115.50002120878204</v>
      </c>
      <c r="D102" s="54">
        <v>127.05000372568369</v>
      </c>
      <c r="E102" s="54">
        <v>139.79135424451229</v>
      </c>
      <c r="F102" s="54">
        <v>153.77050292746253</v>
      </c>
      <c r="G102" s="54">
        <v>169.14800538292184</v>
      </c>
      <c r="H102" s="54">
        <v>186.06246380597165</v>
      </c>
      <c r="I102" s="54">
        <v>204.72272949235466</v>
      </c>
      <c r="J102" s="54">
        <v>225.19456853149933</v>
      </c>
      <c r="K102" s="54">
        <v>247.71336018314395</v>
      </c>
    </row>
    <row r="103" spans="1:11">
      <c r="A103" s="222"/>
      <c r="B103" s="215">
        <f t="shared" si="24"/>
        <v>8.9999999999999969E-2</v>
      </c>
      <c r="C103" s="211">
        <v>114.94999252321171</v>
      </c>
      <c r="D103" s="54">
        <v>125.29552273241399</v>
      </c>
      <c r="E103" s="54">
        <v>136.60430977296795</v>
      </c>
      <c r="F103" s="54">
        <v>148.89874157455353</v>
      </c>
      <c r="G103" s="54">
        <v>162.29993321119656</v>
      </c>
      <c r="H103" s="54">
        <v>176.9062304659931</v>
      </c>
      <c r="I103" s="54">
        <v>192.8735140817567</v>
      </c>
      <c r="J103" s="54">
        <v>210.23304607932565</v>
      </c>
      <c r="K103" s="54">
        <v>229.15363099585286</v>
      </c>
    </row>
    <row r="104" spans="1:11">
      <c r="A104" s="222"/>
      <c r="B104" s="215">
        <f t="shared" si="24"/>
        <v>7.9999999999999974E-2</v>
      </c>
      <c r="C104" s="211">
        <v>114.39997401252302</v>
      </c>
      <c r="D104" s="54">
        <v>123.55197829541868</v>
      </c>
      <c r="E104" s="54">
        <v>133.46424177031241</v>
      </c>
      <c r="F104" s="54">
        <v>144.14164719783159</v>
      </c>
      <c r="G104" s="54">
        <v>155.67287251560677</v>
      </c>
      <c r="H104" s="54">
        <v>168.12697570201917</v>
      </c>
      <c r="I104" s="54">
        <v>181.61450644602726</v>
      </c>
      <c r="J104" s="54">
        <v>196.14479809200128</v>
      </c>
      <c r="K104" s="54">
        <v>211.83600454086488</v>
      </c>
    </row>
    <row r="105" spans="1:11">
      <c r="B105" s="99"/>
      <c r="C105" s="203"/>
      <c r="D105" s="203"/>
      <c r="E105" s="203"/>
      <c r="F105" s="203"/>
      <c r="G105" s="203"/>
      <c r="H105" s="203"/>
      <c r="I105" s="203"/>
      <c r="J105" s="203"/>
      <c r="K105" s="203"/>
    </row>
    <row r="106" spans="1:11" ht="44.25" customHeight="1">
      <c r="A106" s="222"/>
      <c r="B106" s="503" t="s">
        <v>70</v>
      </c>
      <c r="C106" s="503"/>
      <c r="D106" s="503"/>
      <c r="E106" s="503"/>
      <c r="F106" s="503"/>
      <c r="G106" s="503"/>
      <c r="H106" s="503"/>
      <c r="I106" s="503"/>
      <c r="J106" s="503"/>
      <c r="K106" s="503"/>
    </row>
    <row r="107" spans="1:11" s="17" customFormat="1">
      <c r="A107" s="222"/>
      <c r="B107" s="17" t="s">
        <v>23</v>
      </c>
    </row>
    <row r="108" spans="1:11">
      <c r="A108" s="222"/>
      <c r="C108" s="214">
        <v>2</v>
      </c>
      <c r="D108" s="214">
        <f t="shared" ref="D108:K108" si="25">C108+1</f>
        <v>3</v>
      </c>
      <c r="E108" s="214">
        <f t="shared" si="25"/>
        <v>4</v>
      </c>
      <c r="F108" s="214">
        <f t="shared" si="25"/>
        <v>5</v>
      </c>
      <c r="G108" s="214">
        <f t="shared" si="25"/>
        <v>6</v>
      </c>
      <c r="H108" s="214">
        <f t="shared" si="25"/>
        <v>7</v>
      </c>
      <c r="I108" s="214">
        <f t="shared" si="25"/>
        <v>8</v>
      </c>
      <c r="J108" s="214">
        <f t="shared" si="25"/>
        <v>9</v>
      </c>
      <c r="K108" s="214">
        <f t="shared" si="25"/>
        <v>10</v>
      </c>
    </row>
    <row r="109" spans="1:11">
      <c r="A109" s="222"/>
      <c r="B109" s="215">
        <v>0.2</v>
      </c>
      <c r="C109" s="212">
        <v>93.778847181437186</v>
      </c>
      <c r="D109" s="213">
        <v>123.05068886494101</v>
      </c>
      <c r="E109" s="213">
        <v>146.93893279593672</v>
      </c>
      <c r="F109" s="213">
        <v>148.89815206865993</v>
      </c>
      <c r="G109" s="213">
        <v>170.28541869643618</v>
      </c>
      <c r="H109" s="213">
        <v>182.69674289938163</v>
      </c>
      <c r="I109" s="213">
        <v>219.5199465526635</v>
      </c>
      <c r="J109" s="213">
        <v>266.77233127432845</v>
      </c>
      <c r="K109" s="213">
        <v>346.30832565275591</v>
      </c>
    </row>
    <row r="110" spans="1:11">
      <c r="A110" s="222"/>
      <c r="B110" s="215">
        <f>B109-1%</f>
        <v>0.19</v>
      </c>
      <c r="C110" s="211">
        <v>93.228865625731856</v>
      </c>
      <c r="D110" s="54">
        <v>121.1862218407604</v>
      </c>
      <c r="E110" s="54">
        <v>143.26249678785504</v>
      </c>
      <c r="F110" s="54">
        <v>142.77974713111234</v>
      </c>
      <c r="G110" s="54">
        <v>160.91261737945047</v>
      </c>
      <c r="H110" s="54">
        <v>169.03276652922617</v>
      </c>
      <c r="I110" s="54">
        <v>200.23083770600135</v>
      </c>
      <c r="J110" s="54">
        <v>240.20180814661472</v>
      </c>
      <c r="K110" s="54">
        <v>310.34701009371759</v>
      </c>
    </row>
    <row r="111" spans="1:11">
      <c r="A111" s="222"/>
      <c r="B111" s="215">
        <f t="shared" ref="B111:B121" si="26">B110-1%</f>
        <v>0.18</v>
      </c>
      <c r="C111" s="211">
        <v>92.678853207848164</v>
      </c>
      <c r="D111" s="54">
        <v>119.33272060340261</v>
      </c>
      <c r="E111" s="54">
        <v>139.63665997805123</v>
      </c>
      <c r="F111" s="54">
        <v>136.79461741514135</v>
      </c>
      <c r="G111" s="54">
        <v>151.81960645631654</v>
      </c>
      <c r="H111" s="54">
        <v>155.88720851403147</v>
      </c>
      <c r="I111" s="54">
        <v>181.82498121546604</v>
      </c>
      <c r="J111" s="54">
        <v>215.0602105776976</v>
      </c>
      <c r="K111" s="54">
        <v>276.60517000646325</v>
      </c>
    </row>
    <row r="112" spans="1:11">
      <c r="A112" s="222"/>
      <c r="B112" s="215">
        <f t="shared" si="26"/>
        <v>0.16999999999999998</v>
      </c>
      <c r="C112" s="211">
        <v>92.128825696554884</v>
      </c>
      <c r="D112" s="54">
        <v>117.49017157262247</v>
      </c>
      <c r="E112" s="54">
        <v>136.06068177504977</v>
      </c>
      <c r="F112" s="54">
        <v>130.94002393628222</v>
      </c>
      <c r="G112" s="54">
        <v>142.99941387522239</v>
      </c>
      <c r="H112" s="54">
        <v>143.24186702674049</v>
      </c>
      <c r="I112" s="54">
        <v>164.27010256109583</v>
      </c>
      <c r="J112" s="54">
        <v>191.28121235398032</v>
      </c>
      <c r="K112" s="54">
        <v>244.96279057577144</v>
      </c>
    </row>
    <row r="113" spans="1:11">
      <c r="A113" s="222"/>
      <c r="B113" s="215">
        <f t="shared" si="26"/>
        <v>0.15999999999999998</v>
      </c>
      <c r="C113" s="211">
        <v>91.578845961325456</v>
      </c>
      <c r="D113" s="54">
        <v>115.65860840179209</v>
      </c>
      <c r="E113" s="54">
        <v>132.53440922505948</v>
      </c>
      <c r="F113" s="54">
        <v>125.21528071220658</v>
      </c>
      <c r="G113" s="54">
        <v>134.44644780582379</v>
      </c>
      <c r="H113" s="54">
        <v>131.08180391892714</v>
      </c>
      <c r="I113" s="54">
        <v>147.53478247232005</v>
      </c>
      <c r="J113" s="54">
        <v>168.80272090576858</v>
      </c>
      <c r="K113" s="54">
        <v>215.301946052739</v>
      </c>
    </row>
    <row r="114" spans="1:11">
      <c r="A114" s="222"/>
      <c r="B114" s="215">
        <f t="shared" si="26"/>
        <v>0.14999999999999997</v>
      </c>
      <c r="C114" s="211">
        <v>91.028871288634647</v>
      </c>
      <c r="D114" s="54">
        <v>113.83819388084362</v>
      </c>
      <c r="E114" s="54">
        <v>129.05766993750595</v>
      </c>
      <c r="F114" s="54">
        <v>119.61757285014758</v>
      </c>
      <c r="G114" s="54">
        <v>126.15427728674479</v>
      </c>
      <c r="H114" s="54">
        <v>119.39466191572919</v>
      </c>
      <c r="I114" s="54">
        <v>131.58304144254828</v>
      </c>
      <c r="J114" s="54">
        <v>147.56247971090062</v>
      </c>
      <c r="K114" s="54">
        <v>187.51517901837659</v>
      </c>
    </row>
    <row r="115" spans="1:11">
      <c r="A115" s="222"/>
      <c r="B115" s="215">
        <f t="shared" si="26"/>
        <v>0.13999999999999996</v>
      </c>
      <c r="C115" s="211">
        <v>90.478862254083609</v>
      </c>
      <c r="D115" s="54">
        <v>112.02872469217462</v>
      </c>
      <c r="E115" s="54">
        <v>125.62987597982627</v>
      </c>
      <c r="F115" s="54">
        <v>114.14564070008871</v>
      </c>
      <c r="G115" s="54">
        <v>118.11697425616512</v>
      </c>
      <c r="H115" s="54">
        <v>108.16229487925105</v>
      </c>
      <c r="I115" s="54">
        <v>116.38788788082837</v>
      </c>
      <c r="J115" s="54">
        <v>127.50252742226945</v>
      </c>
      <c r="K115" s="54">
        <v>161.49902802014165</v>
      </c>
    </row>
    <row r="116" spans="1:11">
      <c r="A116" s="222"/>
      <c r="B116" s="215">
        <f t="shared" si="26"/>
        <v>0.12999999999999995</v>
      </c>
      <c r="C116" s="211">
        <v>89.928867612848833</v>
      </c>
      <c r="D116" s="54">
        <v>110.23017955379339</v>
      </c>
      <c r="E116" s="54">
        <v>122.25082868146126</v>
      </c>
      <c r="F116" s="54">
        <v>108.79743269926297</v>
      </c>
      <c r="G116" s="54">
        <v>110.32879875564274</v>
      </c>
      <c r="H116" s="54">
        <v>97.373400876798172</v>
      </c>
      <c r="I116" s="54">
        <v>101.91816643600205</v>
      </c>
      <c r="J116" s="54">
        <v>108.56724948290815</v>
      </c>
      <c r="K116" s="54">
        <v>137.15419404201813</v>
      </c>
    </row>
    <row r="117" spans="1:11">
      <c r="A117" s="222"/>
      <c r="B117" s="215">
        <f t="shared" si="26"/>
        <v>0.11999999999999995</v>
      </c>
      <c r="C117" s="211">
        <v>89.378839801549944</v>
      </c>
      <c r="D117" s="54">
        <v>108.44270602173674</v>
      </c>
      <c r="E117" s="54">
        <v>118.92031803576538</v>
      </c>
      <c r="F117" s="54">
        <v>103.57100941754626</v>
      </c>
      <c r="G117" s="54">
        <v>102.7842177233149</v>
      </c>
      <c r="H117" s="54">
        <v>87.012972563601892</v>
      </c>
      <c r="I117" s="54">
        <v>88.145898383162631</v>
      </c>
      <c r="J117" s="54">
        <v>90.701167672173654</v>
      </c>
      <c r="K117" s="54">
        <v>114.38540626861763</v>
      </c>
    </row>
    <row r="118" spans="1:11">
      <c r="A118" s="222"/>
      <c r="B118" s="215">
        <f t="shared" si="26"/>
        <v>0.10999999999999996</v>
      </c>
      <c r="C118" s="211">
        <v>88.828847169778214</v>
      </c>
      <c r="D118" s="54">
        <v>106.66624374079851</v>
      </c>
      <c r="E118" s="54">
        <v>115.63825972233008</v>
      </c>
      <c r="F118" s="54">
        <v>98.464623602318113</v>
      </c>
      <c r="G118" s="54">
        <v>95.477233456995236</v>
      </c>
      <c r="H118" s="54">
        <v>77.066872644275094</v>
      </c>
      <c r="I118" s="54">
        <v>75.040268829471472</v>
      </c>
      <c r="J118" s="54">
        <v>73.850769641492803</v>
      </c>
      <c r="K118" s="54">
        <v>93.104616960910192</v>
      </c>
    </row>
    <row r="119" spans="1:11">
      <c r="A119" s="222"/>
      <c r="B119" s="215">
        <f t="shared" si="26"/>
        <v>9.9999999999999964E-2</v>
      </c>
      <c r="C119" s="211">
        <v>88.278869885080269</v>
      </c>
      <c r="D119" s="54">
        <v>104.90069108578604</v>
      </c>
      <c r="E119" s="54">
        <v>112.40336689909967</v>
      </c>
      <c r="F119" s="54">
        <v>93.475998024276009</v>
      </c>
      <c r="G119" s="54">
        <v>88.402747029374723</v>
      </c>
      <c r="H119" s="54">
        <v>67.52248834478587</v>
      </c>
      <c r="I119" s="54">
        <v>62.577478089693187</v>
      </c>
      <c r="J119" s="54">
        <v>57.969310698372624</v>
      </c>
      <c r="K119" s="54">
        <v>73.222833892649334</v>
      </c>
    </row>
    <row r="120" spans="1:11">
      <c r="A120" s="222"/>
      <c r="B120" s="215">
        <f t="shared" si="26"/>
        <v>8.9999999999999969E-2</v>
      </c>
      <c r="C120" s="211">
        <v>87.72884119950993</v>
      </c>
      <c r="D120" s="54">
        <v>103.14621009251633</v>
      </c>
      <c r="E120" s="54">
        <v>109.21632242755533</v>
      </c>
      <c r="F120" s="54">
        <v>88.604236671367005</v>
      </c>
      <c r="G120" s="54">
        <v>81.554674857649445</v>
      </c>
      <c r="H120" s="54">
        <v>58.366255004807329</v>
      </c>
      <c r="I120" s="54">
        <v>50.728262679095224</v>
      </c>
      <c r="J120" s="54">
        <v>43.007788246198942</v>
      </c>
      <c r="K120" s="54">
        <v>54.663104705358251</v>
      </c>
    </row>
    <row r="121" spans="1:11">
      <c r="A121" s="222"/>
      <c r="B121" s="215">
        <f t="shared" si="26"/>
        <v>7.9999999999999974E-2</v>
      </c>
      <c r="C121" s="211">
        <v>87.178822688821242</v>
      </c>
      <c r="D121" s="54">
        <v>101.40266565552102</v>
      </c>
      <c r="E121" s="54">
        <v>106.07625442489979</v>
      </c>
      <c r="F121" s="54">
        <v>83.847142294645067</v>
      </c>
      <c r="G121" s="54">
        <v>74.927614162059655</v>
      </c>
      <c r="H121" s="54">
        <v>49.58700024083339</v>
      </c>
      <c r="I121" s="54">
        <v>39.469255043365791</v>
      </c>
      <c r="J121" s="54">
        <v>28.919540258874576</v>
      </c>
      <c r="K121" s="54">
        <v>37.345478250370263</v>
      </c>
    </row>
    <row r="122" spans="1:11">
      <c r="B122" s="99"/>
      <c r="C122" s="203"/>
      <c r="D122" s="203"/>
      <c r="E122" s="203"/>
      <c r="F122" s="203"/>
      <c r="G122" s="203"/>
      <c r="H122" s="203"/>
      <c r="I122" s="203"/>
      <c r="J122" s="203"/>
      <c r="K122" s="203"/>
    </row>
    <row r="123" spans="1:11" ht="44.25" customHeight="1">
      <c r="A123" s="423" t="s">
        <v>68</v>
      </c>
      <c r="B123" s="503" t="s">
        <v>72</v>
      </c>
      <c r="C123" s="503"/>
      <c r="D123" s="503"/>
      <c r="E123" s="503"/>
      <c r="F123" s="503"/>
      <c r="G123" s="503"/>
      <c r="H123" s="503"/>
      <c r="I123" s="503"/>
      <c r="J123" s="503"/>
      <c r="K123" s="503"/>
    </row>
    <row r="124" spans="1:11" s="17" customFormat="1">
      <c r="A124" s="423" t="s">
        <v>73</v>
      </c>
      <c r="B124" s="17" t="s">
        <v>23</v>
      </c>
    </row>
    <row r="125" spans="1:11">
      <c r="A125" s="223"/>
      <c r="C125" s="214">
        <v>2</v>
      </c>
      <c r="D125" s="214">
        <f t="shared" ref="D125:K125" si="27">C125+1</f>
        <v>3</v>
      </c>
      <c r="E125" s="214">
        <f t="shared" si="27"/>
        <v>4</v>
      </c>
      <c r="F125" s="214">
        <f t="shared" si="27"/>
        <v>5</v>
      </c>
      <c r="G125" s="214">
        <f t="shared" si="27"/>
        <v>6</v>
      </c>
      <c r="H125" s="214">
        <f t="shared" si="27"/>
        <v>7</v>
      </c>
      <c r="I125" s="214">
        <f t="shared" si="27"/>
        <v>8</v>
      </c>
      <c r="J125" s="214">
        <f t="shared" si="27"/>
        <v>9</v>
      </c>
      <c r="K125" s="214">
        <f t="shared" si="27"/>
        <v>10</v>
      </c>
    </row>
    <row r="126" spans="1:11">
      <c r="A126" s="223"/>
      <c r="B126" s="215">
        <v>0.2</v>
      </c>
      <c r="C126" s="212">
        <v>117.14849598803607</v>
      </c>
      <c r="D126" s="213">
        <v>137.76476632570822</v>
      </c>
      <c r="E126" s="213">
        <v>161.85030465832924</v>
      </c>
      <c r="F126" s="213">
        <v>189.69425727473842</v>
      </c>
      <c r="G126" s="213">
        <v>222.10522567998476</v>
      </c>
      <c r="H126" s="213">
        <v>260.50319290526687</v>
      </c>
      <c r="I126" s="213">
        <v>306.28735180534557</v>
      </c>
      <c r="J126" s="213">
        <v>360.56406516764645</v>
      </c>
      <c r="K126" s="213">
        <v>425.69790805345144</v>
      </c>
    </row>
    <row r="127" spans="1:11">
      <c r="A127" s="223"/>
      <c r="B127" s="215">
        <f>B126-1%</f>
        <v>0.19</v>
      </c>
      <c r="C127" s="211">
        <v>116.61274476375885</v>
      </c>
      <c r="D127" s="54">
        <v>135.95572989710121</v>
      </c>
      <c r="E127" s="54">
        <v>158.31477154874881</v>
      </c>
      <c r="F127" s="54">
        <v>183.86838369018574</v>
      </c>
      <c r="G127" s="54">
        <v>213.27570855842188</v>
      </c>
      <c r="H127" s="54">
        <v>247.77407923840701</v>
      </c>
      <c r="I127" s="54">
        <v>288.52031372315679</v>
      </c>
      <c r="J127" s="54">
        <v>336.35736633802225</v>
      </c>
      <c r="K127" s="54">
        <v>393.28652207416906</v>
      </c>
    </row>
    <row r="128" spans="1:11">
      <c r="A128" s="223"/>
      <c r="B128" s="215">
        <f t="shared" ref="B128:B138" si="28">B127-1%</f>
        <v>0.18</v>
      </c>
      <c r="C128" s="211">
        <v>116.07703903757135</v>
      </c>
      <c r="D128" s="54">
        <v>134.15749307226167</v>
      </c>
      <c r="E128" s="54">
        <v>154.82778292157482</v>
      </c>
      <c r="F128" s="54">
        <v>178.17051562392484</v>
      </c>
      <c r="G128" s="54">
        <v>204.71390196118293</v>
      </c>
      <c r="H128" s="54">
        <v>235.5387615527836</v>
      </c>
      <c r="I128" s="54">
        <v>271.5897661217258</v>
      </c>
      <c r="J128" s="54">
        <v>313.49491765204897</v>
      </c>
      <c r="K128" s="54">
        <v>362.94484819907905</v>
      </c>
    </row>
    <row r="129" spans="1:11">
      <c r="A129" s="223"/>
      <c r="B129" s="215">
        <f t="shared" si="28"/>
        <v>0.16999999999999998</v>
      </c>
      <c r="C129" s="211">
        <v>115.54137688648143</v>
      </c>
      <c r="D129" s="54">
        <v>132.36993921736192</v>
      </c>
      <c r="E129" s="54">
        <v>151.3896691817751</v>
      </c>
      <c r="F129" s="54">
        <v>172.59984935641981</v>
      </c>
      <c r="G129" s="54">
        <v>196.41431117556985</v>
      </c>
      <c r="H129" s="54">
        <v>223.78077702816512</v>
      </c>
      <c r="I129" s="54">
        <v>255.46360896156321</v>
      </c>
      <c r="J129" s="54">
        <v>291.91278638254323</v>
      </c>
      <c r="K129" s="54">
        <v>334.55680348201963</v>
      </c>
    </row>
    <row r="130" spans="1:11">
      <c r="A130" s="223"/>
      <c r="B130" s="215">
        <f t="shared" si="28"/>
        <v>0.15999999999999998</v>
      </c>
      <c r="C130" s="211">
        <v>115.00567040009503</v>
      </c>
      <c r="D130" s="54">
        <v>130.59310724915591</v>
      </c>
      <c r="E130" s="54">
        <v>147.99992422641225</v>
      </c>
      <c r="F130" s="54">
        <v>167.1537974699109</v>
      </c>
      <c r="G130" s="54">
        <v>188.37036389731065</v>
      </c>
      <c r="H130" s="54">
        <v>212.48683888193131</v>
      </c>
      <c r="I130" s="54">
        <v>240.11209564013609</v>
      </c>
      <c r="J130" s="54">
        <v>271.55022977615141</v>
      </c>
      <c r="K130" s="54">
        <v>308.01705805841414</v>
      </c>
    </row>
    <row r="131" spans="1:11">
      <c r="A131" s="223"/>
      <c r="B131" s="215">
        <f t="shared" si="28"/>
        <v>0.14999999999999997</v>
      </c>
      <c r="C131" s="211">
        <v>114.46996785239378</v>
      </c>
      <c r="D131" s="54">
        <v>128.82707191992444</v>
      </c>
      <c r="E131" s="54">
        <v>144.65793588842243</v>
      </c>
      <c r="F131" s="54">
        <v>161.830575903858</v>
      </c>
      <c r="G131" s="54">
        <v>180.57741523614379</v>
      </c>
      <c r="H131" s="54">
        <v>201.64017462864135</v>
      </c>
      <c r="I131" s="54">
        <v>225.5034667001384</v>
      </c>
      <c r="J131" s="54">
        <v>252.34741044817196</v>
      </c>
      <c r="K131" s="54">
        <v>283.22042322247353</v>
      </c>
    </row>
    <row r="132" spans="1:11">
      <c r="A132" s="223"/>
      <c r="B132" s="215">
        <f t="shared" si="28"/>
        <v>0.13999999999999996</v>
      </c>
      <c r="C132" s="211">
        <v>113.93424888204748</v>
      </c>
      <c r="D132" s="54">
        <v>127.07167093892458</v>
      </c>
      <c r="E132" s="54">
        <v>141.36390028410969</v>
      </c>
      <c r="F132" s="54">
        <v>156.62869456285398</v>
      </c>
      <c r="G132" s="54">
        <v>173.02853152579962</v>
      </c>
      <c r="H132" s="54">
        <v>191.2300481393541</v>
      </c>
      <c r="I132" s="54">
        <v>211.60744310457085</v>
      </c>
      <c r="J132" s="54">
        <v>234.25288474647638</v>
      </c>
      <c r="K132" s="54">
        <v>260.06743072036846</v>
      </c>
    </row>
    <row r="133" spans="1:11">
      <c r="A133" s="223"/>
      <c r="B133" s="215">
        <f t="shared" si="28"/>
        <v>0.12999999999999995</v>
      </c>
      <c r="C133" s="211">
        <v>113.3985305159254</v>
      </c>
      <c r="D133" s="54">
        <v>125.32685998683129</v>
      </c>
      <c r="E133" s="54">
        <v>138.11712698895425</v>
      </c>
      <c r="F133" s="54">
        <v>151.54622964999325</v>
      </c>
      <c r="G133" s="54">
        <v>165.71906995149342</v>
      </c>
      <c r="H133" s="54">
        <v>181.23914381233487</v>
      </c>
      <c r="I133" s="54">
        <v>198.39685779185089</v>
      </c>
      <c r="J133" s="54">
        <v>217.20856161461029</v>
      </c>
      <c r="K133" s="54">
        <v>238.46420203513895</v>
      </c>
    </row>
    <row r="134" spans="1:11">
      <c r="A134" s="223"/>
      <c r="B134" s="215">
        <f t="shared" si="28"/>
        <v>0.11999999999999995</v>
      </c>
      <c r="C134" s="211">
        <v>112.86286386873722</v>
      </c>
      <c r="D134" s="54">
        <v>123.59289962598942</v>
      </c>
      <c r="E134" s="54">
        <v>134.9173764824468</v>
      </c>
      <c r="F134" s="54">
        <v>146.58094559580465</v>
      </c>
      <c r="G134" s="54">
        <v>158.64314295585203</v>
      </c>
      <c r="H134" s="54">
        <v>171.65681012978931</v>
      </c>
      <c r="I134" s="54">
        <v>185.84315150515658</v>
      </c>
      <c r="J134" s="54">
        <v>201.16363881392411</v>
      </c>
      <c r="K134" s="54">
        <v>218.32401820375634</v>
      </c>
    </row>
    <row r="135" spans="1:11">
      <c r="A135" s="223"/>
      <c r="B135" s="215">
        <f t="shared" si="28"/>
        <v>0.10999999999999996</v>
      </c>
      <c r="C135" s="211">
        <v>112.32716299775758</v>
      </c>
      <c r="D135" s="54">
        <v>121.86965261096709</v>
      </c>
      <c r="E135" s="54">
        <v>131.76422346294405</v>
      </c>
      <c r="F135" s="54">
        <v>141.73201700028059</v>
      </c>
      <c r="G135" s="54">
        <v>151.79498610952942</v>
      </c>
      <c r="H135" s="54">
        <v>162.46872029766374</v>
      </c>
      <c r="I135" s="54">
        <v>173.92022183070503</v>
      </c>
      <c r="J135" s="54">
        <v>186.07105040926567</v>
      </c>
      <c r="K135" s="54">
        <v>199.55707975201423</v>
      </c>
    </row>
    <row r="136" spans="1:11">
      <c r="A136" s="223"/>
      <c r="B136" s="215">
        <f t="shared" si="28"/>
        <v>9.9999999999999964E-2</v>
      </c>
      <c r="C136" s="211">
        <v>111.79142663599922</v>
      </c>
      <c r="D136" s="54">
        <v>120.1571846915985</v>
      </c>
      <c r="E136" s="54">
        <v>128.65743830130847</v>
      </c>
      <c r="F136" s="54">
        <v>136.9970535687944</v>
      </c>
      <c r="G136" s="54">
        <v>145.16928693276188</v>
      </c>
      <c r="H136" s="54">
        <v>153.6624418118937</v>
      </c>
      <c r="I136" s="54">
        <v>162.60047833704883</v>
      </c>
      <c r="J136" s="54">
        <v>171.88023219857189</v>
      </c>
      <c r="K136" s="54">
        <v>182.08726636994376</v>
      </c>
    </row>
    <row r="137" spans="1:11">
      <c r="A137" s="223"/>
      <c r="B137" s="215">
        <f t="shared" si="28"/>
        <v>8.9999999999999969E-2</v>
      </c>
      <c r="C137" s="211">
        <v>111.255714565601</v>
      </c>
      <c r="D137" s="54">
        <v>118.45533855314687</v>
      </c>
      <c r="E137" s="54">
        <v>125.59694972491249</v>
      </c>
      <c r="F137" s="54">
        <v>132.37464226697904</v>
      </c>
      <c r="G137" s="54">
        <v>138.76029428355287</v>
      </c>
      <c r="H137" s="54">
        <v>145.22579767798157</v>
      </c>
      <c r="I137" s="54">
        <v>151.86088018155704</v>
      </c>
      <c r="J137" s="54">
        <v>158.54747480129421</v>
      </c>
      <c r="K137" s="54">
        <v>165.8372620554517</v>
      </c>
    </row>
    <row r="138" spans="1:11">
      <c r="A138" s="223"/>
      <c r="B138" s="215">
        <f t="shared" si="28"/>
        <v>7.9999999999999974E-2</v>
      </c>
      <c r="C138" s="211">
        <v>110.72002509414278</v>
      </c>
      <c r="D138" s="54">
        <v>116.76424034179367</v>
      </c>
      <c r="E138" s="54">
        <v>122.58191613205175</v>
      </c>
      <c r="F138" s="54">
        <v>127.8626480454209</v>
      </c>
      <c r="G138" s="54">
        <v>132.56383595350601</v>
      </c>
      <c r="H138" s="54">
        <v>137.14531994615325</v>
      </c>
      <c r="I138" s="54">
        <v>141.67583075856913</v>
      </c>
      <c r="J138" s="54">
        <v>146.02998333632573</v>
      </c>
      <c r="K138" s="54">
        <v>150.73229108964017</v>
      </c>
    </row>
    <row r="139" spans="1:11">
      <c r="B139" s="99"/>
      <c r="C139" s="203"/>
      <c r="D139" s="203"/>
      <c r="E139" s="203"/>
      <c r="F139" s="203"/>
      <c r="G139" s="203"/>
      <c r="H139" s="203"/>
      <c r="I139" s="203"/>
      <c r="J139" s="203"/>
      <c r="K139" s="203"/>
    </row>
    <row r="140" spans="1:11" ht="44.25" customHeight="1">
      <c r="A140" s="223"/>
      <c r="B140" s="503" t="s">
        <v>70</v>
      </c>
      <c r="C140" s="503"/>
      <c r="D140" s="503"/>
      <c r="E140" s="503"/>
      <c r="F140" s="503"/>
      <c r="G140" s="503"/>
      <c r="H140" s="503"/>
      <c r="I140" s="503"/>
      <c r="J140" s="503"/>
      <c r="K140" s="503"/>
    </row>
    <row r="141" spans="1:11" s="17" customFormat="1">
      <c r="A141" s="223"/>
      <c r="B141" s="17" t="s">
        <v>23</v>
      </c>
    </row>
    <row r="142" spans="1:11">
      <c r="A142" s="223"/>
      <c r="C142" s="214">
        <v>2</v>
      </c>
      <c r="D142" s="214">
        <f t="shared" ref="D142:K142" si="29">C142+1</f>
        <v>3</v>
      </c>
      <c r="E142" s="214">
        <f t="shared" si="29"/>
        <v>4</v>
      </c>
      <c r="F142" s="214">
        <f t="shared" si="29"/>
        <v>5</v>
      </c>
      <c r="G142" s="214">
        <f t="shared" si="29"/>
        <v>6</v>
      </c>
      <c r="H142" s="214">
        <f t="shared" si="29"/>
        <v>7</v>
      </c>
      <c r="I142" s="214">
        <f t="shared" si="29"/>
        <v>8</v>
      </c>
      <c r="J142" s="214">
        <f t="shared" si="29"/>
        <v>9</v>
      </c>
      <c r="K142" s="214">
        <f t="shared" si="29"/>
        <v>10</v>
      </c>
    </row>
    <row r="143" spans="1:11">
      <c r="A143" s="223"/>
      <c r="B143" s="215">
        <v>0.2</v>
      </c>
      <c r="C143" s="212">
        <v>89.927344664334299</v>
      </c>
      <c r="D143" s="213">
        <v>115.61545368581056</v>
      </c>
      <c r="E143" s="213">
        <v>134.46231731291661</v>
      </c>
      <c r="F143" s="213">
        <v>129.3997523715519</v>
      </c>
      <c r="G143" s="213">
        <v>141.35996732643764</v>
      </c>
      <c r="H143" s="213">
        <v>141.9632174440811</v>
      </c>
      <c r="I143" s="213">
        <v>164.14210040268409</v>
      </c>
      <c r="J143" s="213">
        <v>193.33880733451974</v>
      </c>
      <c r="K143" s="213">
        <v>251.20738176295683</v>
      </c>
    </row>
    <row r="144" spans="1:11">
      <c r="A144" s="223"/>
      <c r="B144" s="215">
        <f>B143-1%</f>
        <v>0.19</v>
      </c>
      <c r="C144" s="211">
        <v>89.391593440057079</v>
      </c>
      <c r="D144" s="54">
        <v>113.80641725720355</v>
      </c>
      <c r="E144" s="54">
        <v>130.92678420333618</v>
      </c>
      <c r="F144" s="54">
        <v>123.57387878699922</v>
      </c>
      <c r="G144" s="54">
        <v>132.53045020487477</v>
      </c>
      <c r="H144" s="54">
        <v>129.23410377722124</v>
      </c>
      <c r="I144" s="54">
        <v>146.37506232049532</v>
      </c>
      <c r="J144" s="54">
        <v>169.13210850489554</v>
      </c>
      <c r="K144" s="54">
        <v>218.79599578367444</v>
      </c>
    </row>
    <row r="145" spans="1:11">
      <c r="A145" s="223"/>
      <c r="B145" s="215">
        <f t="shared" ref="B145:B155" si="30">B144-1%</f>
        <v>0.18</v>
      </c>
      <c r="C145" s="211">
        <v>88.855887713869578</v>
      </c>
      <c r="D145" s="54">
        <v>112.00818043236401</v>
      </c>
      <c r="E145" s="54">
        <v>127.4397955761622</v>
      </c>
      <c r="F145" s="54">
        <v>117.87601072073832</v>
      </c>
      <c r="G145" s="54">
        <v>123.96864360763581</v>
      </c>
      <c r="H145" s="54">
        <v>116.99878609159782</v>
      </c>
      <c r="I145" s="54">
        <v>129.44451471906433</v>
      </c>
      <c r="J145" s="54">
        <v>146.26965981892226</v>
      </c>
      <c r="K145" s="54">
        <v>188.45432190858443</v>
      </c>
    </row>
    <row r="146" spans="1:11">
      <c r="A146" s="223"/>
      <c r="B146" s="215">
        <f t="shared" si="30"/>
        <v>0.16999999999999998</v>
      </c>
      <c r="C146" s="211">
        <v>88.320225562779655</v>
      </c>
      <c r="D146" s="54">
        <v>110.22062657746426</v>
      </c>
      <c r="E146" s="54">
        <v>124.00168183636248</v>
      </c>
      <c r="F146" s="54">
        <v>112.30534445323329</v>
      </c>
      <c r="G146" s="54">
        <v>115.66905282202273</v>
      </c>
      <c r="H146" s="54">
        <v>105.24080156697934</v>
      </c>
      <c r="I146" s="54">
        <v>113.31835755890174</v>
      </c>
      <c r="J146" s="54">
        <v>124.68752854941653</v>
      </c>
      <c r="K146" s="54">
        <v>160.06627719152502</v>
      </c>
    </row>
    <row r="147" spans="1:11">
      <c r="A147" s="223"/>
      <c r="B147" s="215">
        <f t="shared" si="30"/>
        <v>0.15999999999999998</v>
      </c>
      <c r="C147" s="211">
        <v>87.784519076393252</v>
      </c>
      <c r="D147" s="54">
        <v>108.44379460925825</v>
      </c>
      <c r="E147" s="54">
        <v>120.61193688099962</v>
      </c>
      <c r="F147" s="54">
        <v>106.85929256672438</v>
      </c>
      <c r="G147" s="54">
        <v>107.62510554376354</v>
      </c>
      <c r="H147" s="54">
        <v>93.94686342074553</v>
      </c>
      <c r="I147" s="54">
        <v>97.966844237474618</v>
      </c>
      <c r="J147" s="54">
        <v>104.32497194302471</v>
      </c>
      <c r="K147" s="54">
        <v>133.52653176791952</v>
      </c>
    </row>
    <row r="148" spans="1:11">
      <c r="A148" s="223"/>
      <c r="B148" s="215">
        <f t="shared" si="30"/>
        <v>0.14999999999999997</v>
      </c>
      <c r="C148" s="211">
        <v>87.248816528692004</v>
      </c>
      <c r="D148" s="54">
        <v>106.67775928002678</v>
      </c>
      <c r="E148" s="54">
        <v>117.2699485430098</v>
      </c>
      <c r="F148" s="54">
        <v>101.53607100067148</v>
      </c>
      <c r="G148" s="54">
        <v>99.832156882596678</v>
      </c>
      <c r="H148" s="54">
        <v>83.100199167455571</v>
      </c>
      <c r="I148" s="54">
        <v>83.358215297476931</v>
      </c>
      <c r="J148" s="54">
        <v>85.122152615045252</v>
      </c>
      <c r="K148" s="54">
        <v>108.72989693197891</v>
      </c>
    </row>
    <row r="149" spans="1:11">
      <c r="A149" s="223"/>
      <c r="B149" s="215">
        <f t="shared" si="30"/>
        <v>0.13999999999999996</v>
      </c>
      <c r="C149" s="211">
        <v>86.713097558345709</v>
      </c>
      <c r="D149" s="54">
        <v>104.92235829902691</v>
      </c>
      <c r="E149" s="54">
        <v>113.97591293869706</v>
      </c>
      <c r="F149" s="54">
        <v>96.334189659667459</v>
      </c>
      <c r="G149" s="54">
        <v>92.283273172252507</v>
      </c>
      <c r="H149" s="54">
        <v>72.69007267816832</v>
      </c>
      <c r="I149" s="54">
        <v>69.462191701909376</v>
      </c>
      <c r="J149" s="54">
        <v>67.027626913349678</v>
      </c>
      <c r="K149" s="54">
        <v>85.576904429873849</v>
      </c>
    </row>
    <row r="150" spans="1:11">
      <c r="A150" s="223"/>
      <c r="B150" s="215">
        <f t="shared" si="30"/>
        <v>0.12999999999999995</v>
      </c>
      <c r="C150" s="211">
        <v>86.177379192223626</v>
      </c>
      <c r="D150" s="54">
        <v>103.17754734693364</v>
      </c>
      <c r="E150" s="54">
        <v>110.72913964354163</v>
      </c>
      <c r="F150" s="54">
        <v>91.25172474680673</v>
      </c>
      <c r="G150" s="54">
        <v>84.973811597946309</v>
      </c>
      <c r="H150" s="54">
        <v>62.699168351149098</v>
      </c>
      <c r="I150" s="54">
        <v>56.251606389189419</v>
      </c>
      <c r="J150" s="54">
        <v>49.983303781483585</v>
      </c>
      <c r="K150" s="54">
        <v>63.973675744644339</v>
      </c>
    </row>
    <row r="151" spans="1:11">
      <c r="A151" s="223"/>
      <c r="B151" s="215">
        <f t="shared" si="30"/>
        <v>0.11999999999999995</v>
      </c>
      <c r="C151" s="211">
        <v>85.641712545035446</v>
      </c>
      <c r="D151" s="54">
        <v>101.44358698609176</v>
      </c>
      <c r="E151" s="54">
        <v>107.52938913703417</v>
      </c>
      <c r="F151" s="54">
        <v>86.286440692618129</v>
      </c>
      <c r="G151" s="54">
        <v>77.897884602304913</v>
      </c>
      <c r="H151" s="54">
        <v>53.116834668603531</v>
      </c>
      <c r="I151" s="54">
        <v>43.697900102495112</v>
      </c>
      <c r="J151" s="54">
        <v>33.938380980797405</v>
      </c>
      <c r="K151" s="54">
        <v>43.833491913261724</v>
      </c>
    </row>
    <row r="152" spans="1:11">
      <c r="A152" s="223"/>
      <c r="B152" s="215">
        <f t="shared" si="30"/>
        <v>0.10999999999999996</v>
      </c>
      <c r="C152" s="211">
        <v>85.106011674055807</v>
      </c>
      <c r="D152" s="54">
        <v>99.720339971069421</v>
      </c>
      <c r="E152" s="54">
        <v>104.37623611753142</v>
      </c>
      <c r="F152" s="54">
        <v>81.437512097094071</v>
      </c>
      <c r="G152" s="54">
        <v>71.049727755982303</v>
      </c>
      <c r="H152" s="54">
        <v>43.928744836477961</v>
      </c>
      <c r="I152" s="54">
        <v>31.774970428043559</v>
      </c>
      <c r="J152" s="54">
        <v>18.845792576138962</v>
      </c>
      <c r="K152" s="54">
        <v>25.066553461519618</v>
      </c>
    </row>
    <row r="153" spans="1:11">
      <c r="A153" s="223"/>
      <c r="B153" s="215">
        <f t="shared" si="30"/>
        <v>9.9999999999999964E-2</v>
      </c>
      <c r="C153" s="211">
        <v>84.57027531229744</v>
      </c>
      <c r="D153" s="54">
        <v>98.007872051700843</v>
      </c>
      <c r="E153" s="54">
        <v>101.26945095589585</v>
      </c>
      <c r="F153" s="54">
        <v>76.702548665607878</v>
      </c>
      <c r="G153" s="54">
        <v>64.424028579214763</v>
      </c>
      <c r="H153" s="54">
        <v>35.122466350707924</v>
      </c>
      <c r="I153" s="54">
        <v>20.455226934387355</v>
      </c>
      <c r="J153" s="54">
        <v>4.6549743654451845</v>
      </c>
      <c r="K153" s="54">
        <v>7.5967400794491482</v>
      </c>
    </row>
    <row r="154" spans="1:11">
      <c r="A154" s="223"/>
      <c r="B154" s="215">
        <f t="shared" si="30"/>
        <v>8.9999999999999969E-2</v>
      </c>
      <c r="C154" s="211">
        <v>84.034563241899221</v>
      </c>
      <c r="D154" s="54">
        <v>96.306025913249215</v>
      </c>
      <c r="E154" s="54">
        <v>98.208962379499866</v>
      </c>
      <c r="F154" s="54">
        <v>72.080137363792517</v>
      </c>
      <c r="G154" s="54">
        <v>58.015035930005752</v>
      </c>
      <c r="H154" s="54">
        <v>26.685822216795799</v>
      </c>
      <c r="I154" s="54">
        <v>9.7156287788955638</v>
      </c>
      <c r="J154" s="54">
        <v>-8.6777830318324902</v>
      </c>
      <c r="K154" s="54">
        <v>-8.6532642350429114</v>
      </c>
    </row>
    <row r="155" spans="1:11">
      <c r="A155" s="223"/>
      <c r="B155" s="215">
        <f t="shared" si="30"/>
        <v>7.9999999999999974E-2</v>
      </c>
      <c r="C155" s="211">
        <v>83.498873770441008</v>
      </c>
      <c r="D155" s="54">
        <v>94.614927701895994</v>
      </c>
      <c r="E155" s="54">
        <v>95.193928786639106</v>
      </c>
      <c r="F155" s="54">
        <v>67.568143142234391</v>
      </c>
      <c r="G155" s="54">
        <v>51.8185775999589</v>
      </c>
      <c r="H155" s="54">
        <v>18.605344484967475</v>
      </c>
      <c r="I155" s="54">
        <v>-0.46942064409233808</v>
      </c>
      <c r="J155" s="54">
        <v>-21.195274496800977</v>
      </c>
      <c r="K155" s="54">
        <v>-23.758235200854443</v>
      </c>
    </row>
    <row r="158" spans="1:11" ht="44.25" customHeight="1">
      <c r="A158">
        <v>3</v>
      </c>
      <c r="B158" s="503" t="s">
        <v>27</v>
      </c>
      <c r="C158" s="503"/>
      <c r="D158" s="503"/>
      <c r="E158" s="503"/>
      <c r="F158" s="503"/>
      <c r="G158" s="503"/>
      <c r="H158" s="503"/>
      <c r="I158" s="503"/>
      <c r="J158" s="503"/>
      <c r="K158" s="503"/>
    </row>
    <row r="159" spans="1:11" s="17" customFormat="1">
      <c r="B159" s="17" t="s">
        <v>23</v>
      </c>
    </row>
    <row r="160" spans="1:11">
      <c r="C160" s="219">
        <v>2</v>
      </c>
      <c r="D160" s="219">
        <f t="shared" ref="D160:K160" si="31">C160+1</f>
        <v>3</v>
      </c>
      <c r="E160" s="219">
        <f t="shared" si="31"/>
        <v>4</v>
      </c>
      <c r="F160" s="219">
        <f t="shared" si="31"/>
        <v>5</v>
      </c>
      <c r="G160" s="219">
        <f t="shared" si="31"/>
        <v>6</v>
      </c>
      <c r="H160" s="219">
        <f t="shared" si="31"/>
        <v>7</v>
      </c>
      <c r="I160" s="219">
        <f t="shared" si="31"/>
        <v>8</v>
      </c>
      <c r="J160" s="219">
        <f t="shared" si="31"/>
        <v>9</v>
      </c>
      <c r="K160" s="219">
        <f t="shared" si="31"/>
        <v>10</v>
      </c>
    </row>
    <row r="161" spans="2:11">
      <c r="B161" s="220">
        <v>0.2</v>
      </c>
      <c r="C161" s="212">
        <v>48.000015068003052</v>
      </c>
      <c r="D161" s="213">
        <v>57.599957274833287</v>
      </c>
      <c r="E161" s="213">
        <v>69.154580853991689</v>
      </c>
      <c r="F161" s="213">
        <v>82.985329208443872</v>
      </c>
      <c r="G161" s="213">
        <v>99.582523122027538</v>
      </c>
      <c r="H161" s="213">
        <v>119.49892951753299</v>
      </c>
      <c r="I161" s="213">
        <v>143.47062124512402</v>
      </c>
      <c r="J161" s="213">
        <v>172.16513917761424</v>
      </c>
      <c r="K161" s="213">
        <v>206.59715267333701</v>
      </c>
    </row>
    <row r="162" spans="2:11">
      <c r="B162" s="220">
        <f>B161-1%</f>
        <v>0.19</v>
      </c>
      <c r="C162" s="211">
        <v>47.600017095929246</v>
      </c>
      <c r="D162" s="54">
        <v>56.643995132801557</v>
      </c>
      <c r="E162" s="54">
        <v>67.438494456795894</v>
      </c>
      <c r="F162" s="54">
        <v>80.251910048725236</v>
      </c>
      <c r="G162" s="54">
        <v>95.499583782352062</v>
      </c>
      <c r="H162" s="54">
        <v>113.64433694912391</v>
      </c>
      <c r="I162" s="54">
        <v>135.30150867644028</v>
      </c>
      <c r="J162" s="54">
        <v>161.00904691726535</v>
      </c>
      <c r="K162" s="54">
        <v>191.59985032586121</v>
      </c>
    </row>
    <row r="163" spans="2:11">
      <c r="B163" s="220">
        <f t="shared" ref="B163:B173" si="32">B162-1%</f>
        <v>0.18</v>
      </c>
      <c r="C163" s="211">
        <v>47.199994397610773</v>
      </c>
      <c r="D163" s="54">
        <v>55.696045376078018</v>
      </c>
      <c r="E163" s="54">
        <v>65.751116585767335</v>
      </c>
      <c r="F163" s="54">
        <v>77.586168840815816</v>
      </c>
      <c r="G163" s="54">
        <v>91.551689879972173</v>
      </c>
      <c r="H163" s="54">
        <v>108.03116434781217</v>
      </c>
      <c r="I163" s="54">
        <v>127.53421027865424</v>
      </c>
      <c r="J163" s="54">
        <v>150.49082530842196</v>
      </c>
      <c r="K163" s="54">
        <v>177.57961919315821</v>
      </c>
    </row>
    <row r="164" spans="2:11">
      <c r="B164" s="220">
        <f t="shared" si="32"/>
        <v>0.16999999999999998</v>
      </c>
      <c r="C164" s="211">
        <v>46.800009058237997</v>
      </c>
      <c r="D164" s="54">
        <v>54.756041267499867</v>
      </c>
      <c r="E164" s="54">
        <v>64.092151878320976</v>
      </c>
      <c r="F164" s="54">
        <v>74.987798641440023</v>
      </c>
      <c r="G164" s="54">
        <v>87.735787611936431</v>
      </c>
      <c r="H164" s="54">
        <v>102.65073825508803</v>
      </c>
      <c r="I164" s="54">
        <v>120.15303276059608</v>
      </c>
      <c r="J164" s="54">
        <v>140.5788970539526</v>
      </c>
      <c r="K164" s="54">
        <v>164.47786428757749</v>
      </c>
    </row>
    <row r="165" spans="2:11">
      <c r="B165" s="220">
        <f t="shared" si="32"/>
        <v>0.15999999999999998</v>
      </c>
      <c r="C165" s="211">
        <v>46.399980135828379</v>
      </c>
      <c r="D165" s="54">
        <v>53.824038679001347</v>
      </c>
      <c r="E165" s="54">
        <v>62.461194064571117</v>
      </c>
      <c r="F165" s="54">
        <v>72.455115462438471</v>
      </c>
      <c r="G165" s="54">
        <v>84.047797778966228</v>
      </c>
      <c r="H165" s="54">
        <v>97.495528368514272</v>
      </c>
      <c r="I165" s="54">
        <v>113.14087321462894</v>
      </c>
      <c r="J165" s="54">
        <v>131.24336400979479</v>
      </c>
      <c r="K165" s="54">
        <v>152.24180709435589</v>
      </c>
    </row>
    <row r="166" spans="2:11">
      <c r="B166" s="220">
        <f t="shared" si="32"/>
        <v>0.14999999999999997</v>
      </c>
      <c r="C166" s="211">
        <v>46.000004143566279</v>
      </c>
      <c r="D166" s="54">
        <v>52.900024333324922</v>
      </c>
      <c r="E166" s="54">
        <v>60.858278754127802</v>
      </c>
      <c r="F166" s="54">
        <v>69.987055384564854</v>
      </c>
      <c r="G166" s="54">
        <v>80.484983612434831</v>
      </c>
      <c r="H166" s="54">
        <v>92.557883893427999</v>
      </c>
      <c r="I166" s="54">
        <v>106.482367965194</v>
      </c>
      <c r="J166" s="54">
        <v>122.45460427034364</v>
      </c>
      <c r="K166" s="54">
        <v>140.82312913225798</v>
      </c>
    </row>
    <row r="167" spans="2:11">
      <c r="B167" s="220">
        <f t="shared" si="32"/>
        <v>0.13999999999999996</v>
      </c>
      <c r="C167" s="211">
        <v>45.599985052261509</v>
      </c>
      <c r="D167" s="54">
        <v>51.984023646231435</v>
      </c>
      <c r="E167" s="54">
        <v>59.282995040322845</v>
      </c>
      <c r="F167" s="54">
        <v>67.582659417967946</v>
      </c>
      <c r="G167" s="54">
        <v>77.044400621276793</v>
      </c>
      <c r="H167" s="54">
        <v>87.830313774324821</v>
      </c>
      <c r="I167" s="54">
        <v>100.16256754964493</v>
      </c>
      <c r="J167" s="54">
        <v>114.18546388782595</v>
      </c>
      <c r="K167" s="54">
        <v>130.17181751141615</v>
      </c>
    </row>
    <row r="168" spans="2:11">
      <c r="B168" s="220">
        <f t="shared" si="32"/>
        <v>0.12999999999999995</v>
      </c>
      <c r="C168" s="211">
        <v>45.199988080546596</v>
      </c>
      <c r="D168" s="54">
        <v>51.075979122527876</v>
      </c>
      <c r="E168" s="54">
        <v>57.735190152970972</v>
      </c>
      <c r="F168" s="54">
        <v>65.240755503181916</v>
      </c>
      <c r="G168" s="54">
        <v>73.722087494816932</v>
      </c>
      <c r="H168" s="54">
        <v>83.305944636051223</v>
      </c>
      <c r="I168" s="54">
        <v>94.167342421369028</v>
      </c>
      <c r="J168" s="54">
        <v>106.40935438611993</v>
      </c>
      <c r="K168" s="54">
        <v>120.24187624303272</v>
      </c>
    </row>
    <row r="169" spans="2:11">
      <c r="B169" s="220">
        <f t="shared" si="32"/>
        <v>0.11999999999999995</v>
      </c>
      <c r="C169" s="211">
        <v>44.800013890282912</v>
      </c>
      <c r="D169" s="54">
        <v>50.176040301121652</v>
      </c>
      <c r="E169" s="54">
        <v>56.214598071853672</v>
      </c>
      <c r="F169" s="54">
        <v>62.960298442983913</v>
      </c>
      <c r="G169" s="54">
        <v>70.515627129190676</v>
      </c>
      <c r="H169" s="54">
        <v>78.977485686844474</v>
      </c>
      <c r="I169" s="54">
        <v>88.481995189327733</v>
      </c>
      <c r="J169" s="54">
        <v>99.099782623666769</v>
      </c>
      <c r="K169" s="54">
        <v>110.99213651117559</v>
      </c>
    </row>
    <row r="170" spans="2:11">
      <c r="B170" s="220">
        <f t="shared" si="32"/>
        <v>0.10999999999999996</v>
      </c>
      <c r="C170" s="211">
        <v>44.399992602625538</v>
      </c>
      <c r="D170" s="54">
        <v>49.283958171790069</v>
      </c>
      <c r="E170" s="54">
        <v>54.720870913356706</v>
      </c>
      <c r="F170" s="54">
        <v>60.740278050365674</v>
      </c>
      <c r="G170" s="54">
        <v>67.421519226305477</v>
      </c>
      <c r="H170" s="54">
        <v>74.838052580001786</v>
      </c>
      <c r="I170" s="54">
        <v>83.09387462631878</v>
      </c>
      <c r="J170" s="54">
        <v>92.234099819090702</v>
      </c>
      <c r="K170" s="54">
        <v>102.38002355269107</v>
      </c>
    </row>
    <row r="171" spans="2:11">
      <c r="B171" s="220">
        <f t="shared" si="32"/>
        <v>9.9999999999999964E-2</v>
      </c>
      <c r="C171" s="211">
        <v>43.999982167793959</v>
      </c>
      <c r="D171" s="54">
        <v>48.400028337241196</v>
      </c>
      <c r="E171" s="54">
        <v>53.253906171966058</v>
      </c>
      <c r="F171" s="54">
        <v>58.579238463475889</v>
      </c>
      <c r="G171" s="54">
        <v>64.437318947176479</v>
      </c>
      <c r="H171" s="54">
        <v>70.880927581998947</v>
      </c>
      <c r="I171" s="54">
        <v>77.989305401054239</v>
      </c>
      <c r="J171" s="54">
        <v>85.788579230723215</v>
      </c>
      <c r="K171" s="54">
        <v>94.367140730014185</v>
      </c>
    </row>
    <row r="172" spans="2:11">
      <c r="B172" s="220">
        <f t="shared" si="32"/>
        <v>8.9999999999999969E-2</v>
      </c>
      <c r="C172" s="211">
        <v>43.599980615708908</v>
      </c>
      <c r="D172" s="54">
        <v>47.524020458306161</v>
      </c>
      <c r="E172" s="54">
        <v>51.813328414914601</v>
      </c>
      <c r="F172" s="54">
        <v>56.47664716269945</v>
      </c>
      <c r="G172" s="54">
        <v>61.559480494722592</v>
      </c>
      <c r="H172" s="54">
        <v>67.099896055126194</v>
      </c>
      <c r="I172" s="54">
        <v>73.156121415895115</v>
      </c>
      <c r="J172" s="54">
        <v>79.739999875330582</v>
      </c>
      <c r="K172" s="54">
        <v>86.916766766826441</v>
      </c>
    </row>
    <row r="173" spans="2:11">
      <c r="B173" s="220">
        <f t="shared" si="32"/>
        <v>7.9999999999999974E-2</v>
      </c>
      <c r="C173" s="211">
        <v>43.200015482201813</v>
      </c>
      <c r="D173" s="54">
        <v>46.656042549216394</v>
      </c>
      <c r="E173" s="54">
        <v>50.399077969999198</v>
      </c>
      <c r="F173" s="54">
        <v>54.431024794032986</v>
      </c>
      <c r="G173" s="54">
        <v>58.785385209756015</v>
      </c>
      <c r="H173" s="54">
        <v>63.488366016695615</v>
      </c>
      <c r="I173" s="54">
        <v>68.581738156804803</v>
      </c>
      <c r="J173" s="54">
        <v>74.068321206381327</v>
      </c>
      <c r="K173" s="54">
        <v>79.994119990549109</v>
      </c>
    </row>
    <row r="174" spans="2:11">
      <c r="B174" s="99"/>
      <c r="C174" s="203"/>
      <c r="D174" s="203"/>
      <c r="E174" s="203"/>
      <c r="F174" s="203"/>
      <c r="G174" s="203"/>
      <c r="H174" s="203"/>
      <c r="I174" s="203"/>
      <c r="J174" s="203"/>
      <c r="K174" s="203"/>
    </row>
  </sheetData>
  <mergeCells count="11">
    <mergeCell ref="B158:K158"/>
    <mergeCell ref="B53:K53"/>
    <mergeCell ref="B89:K89"/>
    <mergeCell ref="B106:K106"/>
    <mergeCell ref="B123:K123"/>
    <mergeCell ref="B140:K140"/>
    <mergeCell ref="B1:K1"/>
    <mergeCell ref="B19:K19"/>
    <mergeCell ref="B36:K36"/>
    <mergeCell ref="B71:K71"/>
    <mergeCell ref="B72:K7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CE98D-C9D5-46AB-9B5A-602145D4DA50}">
  <sheetPr codeName="Sheet22">
    <tabColor theme="5" tint="0.79998168889431442"/>
  </sheetPr>
  <dimension ref="A1:BZ95"/>
  <sheetViews>
    <sheetView showGridLines="0" topLeftCell="A34" zoomScale="72" workbookViewId="0">
      <selection activeCell="B42" sqref="B42"/>
    </sheetView>
  </sheetViews>
  <sheetFormatPr defaultColWidth="9.140625" defaultRowHeight="15" outlineLevelRow="1" outlineLevelCol="1"/>
  <cols>
    <col min="1" max="1" width="13.5703125" customWidth="1"/>
    <col min="2" max="4" width="9.28515625" customWidth="1"/>
    <col min="5" max="11" width="9.28515625" hidden="1" customWidth="1"/>
    <col min="12" max="12" width="9.140625" customWidth="1"/>
    <col min="13" max="22" width="9.28515625" hidden="1" customWidth="1" outlineLevel="1"/>
    <col min="23" max="23" width="9.140625" collapsed="1"/>
    <col min="24" max="33" width="9.28515625" hidden="1" customWidth="1" outlineLevel="1"/>
    <col min="34" max="34" width="9.140625" collapsed="1"/>
    <col min="35" max="44" width="9.28515625" hidden="1" customWidth="1" outlineLevel="1"/>
    <col min="45" max="45" width="9.140625" collapsed="1"/>
    <col min="47" max="56" width="9.140625" hidden="1" customWidth="1" outlineLevel="1"/>
    <col min="57" max="57" width="9.140625" collapsed="1"/>
    <col min="58" max="67" width="9.28515625" customWidth="1"/>
    <col min="69" max="78" width="9.28515625" customWidth="1" outlineLevel="1"/>
  </cols>
  <sheetData>
    <row r="1" spans="1:78" ht="36.75" hidden="1" customHeight="1" outlineLevel="1">
      <c r="B1" s="503" t="s">
        <v>17</v>
      </c>
      <c r="C1" s="503"/>
      <c r="D1" s="503"/>
      <c r="E1" s="503"/>
      <c r="F1" s="503"/>
      <c r="G1" s="503"/>
      <c r="H1" s="503"/>
      <c r="I1" s="503"/>
      <c r="J1" s="503"/>
      <c r="K1" s="503"/>
      <c r="M1" s="503" t="s">
        <v>17</v>
      </c>
      <c r="N1" s="503"/>
      <c r="O1" s="503"/>
      <c r="P1" s="503"/>
      <c r="Q1" s="503"/>
      <c r="R1" s="503"/>
      <c r="S1" s="503"/>
      <c r="T1" s="503"/>
      <c r="U1" s="503"/>
      <c r="V1" s="503"/>
      <c r="X1" s="503" t="s">
        <v>17</v>
      </c>
      <c r="Y1" s="503"/>
      <c r="Z1" s="503"/>
      <c r="AA1" s="503"/>
      <c r="AB1" s="503"/>
      <c r="AC1" s="503"/>
      <c r="AD1" s="503"/>
      <c r="AE1" s="503"/>
      <c r="AF1" s="503"/>
      <c r="AG1" s="503"/>
      <c r="AI1" s="503" t="s">
        <v>17</v>
      </c>
      <c r="AJ1" s="503"/>
      <c r="AK1" s="503"/>
      <c r="AL1" s="503"/>
      <c r="AM1" s="503"/>
      <c r="AN1" s="503"/>
      <c r="AO1" s="503"/>
      <c r="AP1" s="503"/>
      <c r="AQ1" s="503"/>
      <c r="AR1" s="503"/>
      <c r="BF1" s="503" t="s">
        <v>17</v>
      </c>
      <c r="BG1" s="503"/>
      <c r="BH1" s="503"/>
      <c r="BI1" s="503"/>
      <c r="BJ1" s="503"/>
      <c r="BK1" s="503"/>
      <c r="BL1" s="503"/>
      <c r="BM1" s="503"/>
      <c r="BN1" s="503"/>
      <c r="BO1" s="503"/>
      <c r="BQ1" s="503" t="s">
        <v>17</v>
      </c>
      <c r="BR1" s="503"/>
      <c r="BS1" s="503"/>
      <c r="BT1" s="503"/>
      <c r="BU1" s="503"/>
      <c r="BV1" s="503"/>
      <c r="BW1" s="503"/>
      <c r="BX1" s="503"/>
      <c r="BY1" s="503"/>
      <c r="BZ1" s="503"/>
    </row>
    <row r="2" spans="1:78" hidden="1" outlineLevel="1">
      <c r="C2" s="207" t="s">
        <v>18</v>
      </c>
      <c r="D2" s="207"/>
      <c r="E2" s="207"/>
      <c r="F2" s="207"/>
      <c r="G2" s="207"/>
      <c r="H2" s="207"/>
      <c r="I2" s="207"/>
      <c r="J2" s="207"/>
      <c r="K2" s="207"/>
      <c r="N2" s="207" t="s">
        <v>18</v>
      </c>
      <c r="O2" s="207"/>
      <c r="P2" s="207"/>
      <c r="Q2" s="207"/>
      <c r="R2" s="207"/>
      <c r="S2" s="207"/>
      <c r="T2" s="207"/>
      <c r="U2" s="207"/>
      <c r="V2" s="207"/>
      <c r="Y2" s="207" t="s">
        <v>18</v>
      </c>
      <c r="Z2" s="207"/>
      <c r="AA2" s="207"/>
      <c r="AB2" s="207"/>
      <c r="AC2" s="207"/>
      <c r="AD2" s="207"/>
      <c r="AE2" s="207"/>
      <c r="AF2" s="207"/>
      <c r="AG2" s="207"/>
      <c r="AJ2" s="207" t="s">
        <v>18</v>
      </c>
      <c r="AK2" s="207"/>
      <c r="AL2" s="207"/>
      <c r="AM2" s="207"/>
      <c r="AN2" s="207"/>
      <c r="AO2" s="207"/>
      <c r="AP2" s="207"/>
      <c r="AQ2" s="207"/>
      <c r="AR2" s="207"/>
      <c r="BG2" s="207" t="s">
        <v>18</v>
      </c>
      <c r="BH2" s="207"/>
      <c r="BI2" s="207"/>
      <c r="BJ2" s="207"/>
      <c r="BK2" s="207"/>
      <c r="BL2" s="207"/>
      <c r="BM2" s="207"/>
      <c r="BN2" s="207"/>
      <c r="BO2" s="207"/>
      <c r="BR2" s="207" t="s">
        <v>18</v>
      </c>
      <c r="BS2" s="207"/>
      <c r="BT2" s="207"/>
      <c r="BU2" s="207"/>
      <c r="BV2" s="207"/>
      <c r="BW2" s="207"/>
      <c r="BX2" s="207"/>
      <c r="BY2" s="207"/>
      <c r="BZ2" s="207"/>
    </row>
    <row r="3" spans="1:78" hidden="1" outlineLevel="1">
      <c r="C3" s="219">
        <v>2</v>
      </c>
      <c r="D3" s="219">
        <f>C3+1</f>
        <v>3</v>
      </c>
      <c r="E3" s="219">
        <f t="shared" ref="E3:K3" si="0">D3+1</f>
        <v>4</v>
      </c>
      <c r="F3" s="219">
        <f t="shared" si="0"/>
        <v>5</v>
      </c>
      <c r="G3" s="219">
        <f t="shared" si="0"/>
        <v>6</v>
      </c>
      <c r="H3" s="219">
        <f t="shared" si="0"/>
        <v>7</v>
      </c>
      <c r="I3" s="219">
        <f t="shared" si="0"/>
        <v>8</v>
      </c>
      <c r="J3" s="219">
        <f t="shared" si="0"/>
        <v>9</v>
      </c>
      <c r="K3" s="219">
        <f t="shared" si="0"/>
        <v>10</v>
      </c>
      <c r="N3" s="219">
        <v>2</v>
      </c>
      <c r="O3" s="219">
        <f t="shared" ref="O3:V3" si="1">N3+1</f>
        <v>3</v>
      </c>
      <c r="P3" s="219">
        <f t="shared" si="1"/>
        <v>4</v>
      </c>
      <c r="Q3" s="219">
        <f t="shared" si="1"/>
        <v>5</v>
      </c>
      <c r="R3" s="219">
        <f t="shared" si="1"/>
        <v>6</v>
      </c>
      <c r="S3" s="219">
        <f t="shared" si="1"/>
        <v>7</v>
      </c>
      <c r="T3" s="219">
        <f t="shared" si="1"/>
        <v>8</v>
      </c>
      <c r="U3" s="219">
        <f t="shared" si="1"/>
        <v>9</v>
      </c>
      <c r="V3" s="219">
        <f t="shared" si="1"/>
        <v>10</v>
      </c>
      <c r="Y3" s="219">
        <v>2</v>
      </c>
      <c r="Z3" s="219">
        <f t="shared" ref="Z3:AG3" si="2">Y3+1</f>
        <v>3</v>
      </c>
      <c r="AA3" s="219">
        <f t="shared" si="2"/>
        <v>4</v>
      </c>
      <c r="AB3" s="219">
        <f t="shared" si="2"/>
        <v>5</v>
      </c>
      <c r="AC3" s="219">
        <f t="shared" si="2"/>
        <v>6</v>
      </c>
      <c r="AD3" s="219">
        <f t="shared" si="2"/>
        <v>7</v>
      </c>
      <c r="AE3" s="219">
        <f t="shared" si="2"/>
        <v>8</v>
      </c>
      <c r="AF3" s="219">
        <f t="shared" si="2"/>
        <v>9</v>
      </c>
      <c r="AG3" s="219">
        <f t="shared" si="2"/>
        <v>10</v>
      </c>
      <c r="AJ3" s="219">
        <v>2</v>
      </c>
      <c r="AK3" s="219">
        <f t="shared" ref="AK3:AR3" si="3">AJ3+1</f>
        <v>3</v>
      </c>
      <c r="AL3" s="219">
        <f t="shared" si="3"/>
        <v>4</v>
      </c>
      <c r="AM3" s="219">
        <f t="shared" si="3"/>
        <v>5</v>
      </c>
      <c r="AN3" s="219">
        <f t="shared" si="3"/>
        <v>6</v>
      </c>
      <c r="AO3" s="219">
        <f t="shared" si="3"/>
        <v>7</v>
      </c>
      <c r="AP3" s="219">
        <f t="shared" si="3"/>
        <v>8</v>
      </c>
      <c r="AQ3" s="219">
        <f t="shared" si="3"/>
        <v>9</v>
      </c>
      <c r="AR3" s="219">
        <f t="shared" si="3"/>
        <v>10</v>
      </c>
      <c r="BG3" s="219">
        <v>2</v>
      </c>
      <c r="BH3" s="219">
        <f t="shared" ref="BH3:BO3" si="4">BG3+1</f>
        <v>3</v>
      </c>
      <c r="BI3" s="219">
        <f t="shared" si="4"/>
        <v>4</v>
      </c>
      <c r="BJ3" s="219">
        <f t="shared" si="4"/>
        <v>5</v>
      </c>
      <c r="BK3" s="219">
        <f t="shared" si="4"/>
        <v>6</v>
      </c>
      <c r="BL3" s="219">
        <f t="shared" si="4"/>
        <v>7</v>
      </c>
      <c r="BM3" s="219">
        <f t="shared" si="4"/>
        <v>8</v>
      </c>
      <c r="BN3" s="219">
        <f t="shared" si="4"/>
        <v>9</v>
      </c>
      <c r="BO3" s="219">
        <f t="shared" si="4"/>
        <v>10</v>
      </c>
      <c r="BR3" s="219">
        <v>2</v>
      </c>
      <c r="BS3" s="219">
        <f t="shared" ref="BS3:BZ3" si="5">BR3+1</f>
        <v>3</v>
      </c>
      <c r="BT3" s="219">
        <f t="shared" si="5"/>
        <v>4</v>
      </c>
      <c r="BU3" s="219">
        <f t="shared" si="5"/>
        <v>5</v>
      </c>
      <c r="BV3" s="219">
        <f t="shared" si="5"/>
        <v>6</v>
      </c>
      <c r="BW3" s="219">
        <f t="shared" si="5"/>
        <v>7</v>
      </c>
      <c r="BX3" s="219">
        <f t="shared" si="5"/>
        <v>8</v>
      </c>
      <c r="BY3" s="219">
        <f t="shared" si="5"/>
        <v>9</v>
      </c>
      <c r="BZ3" s="219">
        <f t="shared" si="5"/>
        <v>10</v>
      </c>
    </row>
    <row r="4" spans="1:78" hidden="1" outlineLevel="1">
      <c r="B4" s="220">
        <v>0.2</v>
      </c>
      <c r="C4" s="212">
        <v>94.560439482988215</v>
      </c>
      <c r="D4" s="213">
        <v>122.86313162736765</v>
      </c>
      <c r="E4" s="213">
        <v>145.46528694719916</v>
      </c>
      <c r="F4" s="213">
        <v>181.20735566089795</v>
      </c>
      <c r="G4" s="213">
        <v>203.4977346166512</v>
      </c>
      <c r="H4" s="213">
        <v>251.39455407671113</v>
      </c>
      <c r="I4" s="213">
        <v>290.76183804397965</v>
      </c>
      <c r="J4" s="213">
        <v>339.6386167043741</v>
      </c>
      <c r="K4" s="213">
        <v>418.83527229428603</v>
      </c>
      <c r="M4" s="220">
        <v>0.2</v>
      </c>
      <c r="N4" s="212">
        <v>94.560439482988215</v>
      </c>
      <c r="O4" s="213">
        <v>122.86313162736765</v>
      </c>
      <c r="P4" s="213">
        <v>145.46528694719916</v>
      </c>
      <c r="Q4" s="213">
        <v>181.20735566089795</v>
      </c>
      <c r="R4" s="213">
        <v>203.4977346166512</v>
      </c>
      <c r="S4" s="213">
        <v>251.39455407671113</v>
      </c>
      <c r="T4" s="213">
        <v>290.76183804397965</v>
      </c>
      <c r="U4" s="213">
        <v>339.6386167043741</v>
      </c>
      <c r="V4" s="213">
        <v>418.83527229428603</v>
      </c>
      <c r="X4" s="220">
        <v>0.2</v>
      </c>
      <c r="Y4" s="212">
        <v>94.560439482988215</v>
      </c>
      <c r="Z4" s="213">
        <v>122.86313162736765</v>
      </c>
      <c r="AA4" s="213">
        <v>145.46528694719916</v>
      </c>
      <c r="AB4" s="213">
        <v>181.20735566089795</v>
      </c>
      <c r="AC4" s="213">
        <v>203.4977346166512</v>
      </c>
      <c r="AD4" s="213">
        <v>251.39455407671113</v>
      </c>
      <c r="AE4" s="213">
        <v>290.76183804397965</v>
      </c>
      <c r="AF4" s="213">
        <v>339.6386167043741</v>
      </c>
      <c r="AG4" s="213">
        <v>418.83527229428603</v>
      </c>
      <c r="AI4" s="220">
        <v>0.2</v>
      </c>
      <c r="AJ4" s="212">
        <v>94.560439482988215</v>
      </c>
      <c r="AK4" s="213">
        <v>122.86313162736765</v>
      </c>
      <c r="AL4" s="213">
        <v>145.46528694719916</v>
      </c>
      <c r="AM4" s="213">
        <v>181.20735566089795</v>
      </c>
      <c r="AN4" s="213">
        <v>203.4977346166512</v>
      </c>
      <c r="AO4" s="213">
        <v>251.39455407671113</v>
      </c>
      <c r="AP4" s="213">
        <v>290.76183804397965</v>
      </c>
      <c r="AQ4" s="213">
        <v>339.6386167043741</v>
      </c>
      <c r="AR4" s="213">
        <v>418.83527229428603</v>
      </c>
      <c r="BF4" s="220">
        <v>0.2</v>
      </c>
      <c r="BG4" s="212">
        <v>94.560439482988215</v>
      </c>
      <c r="BH4" s="213">
        <v>122.86313162736765</v>
      </c>
      <c r="BI4" s="213">
        <v>145.46528694719916</v>
      </c>
      <c r="BJ4" s="213">
        <v>181.20735566089795</v>
      </c>
      <c r="BK4" s="213">
        <v>203.4977346166512</v>
      </c>
      <c r="BL4" s="213">
        <v>251.39455407671113</v>
      </c>
      <c r="BM4" s="213">
        <v>290.76183804397965</v>
      </c>
      <c r="BN4" s="213">
        <v>339.6386167043741</v>
      </c>
      <c r="BO4" s="213">
        <v>418.83527229428603</v>
      </c>
      <c r="BQ4" s="220">
        <v>0.2</v>
      </c>
      <c r="BR4" s="212">
        <v>94.560439482988215</v>
      </c>
      <c r="BS4" s="213">
        <v>122.86313162736765</v>
      </c>
      <c r="BT4" s="213">
        <v>145.46528694719916</v>
      </c>
      <c r="BU4" s="213">
        <v>181.20735566089795</v>
      </c>
      <c r="BV4" s="213">
        <v>203.4977346166512</v>
      </c>
      <c r="BW4" s="213">
        <v>251.39455407671113</v>
      </c>
      <c r="BX4" s="213">
        <v>290.76183804397965</v>
      </c>
      <c r="BY4" s="213">
        <v>339.6386167043741</v>
      </c>
      <c r="BZ4" s="213">
        <v>418.83527229428603</v>
      </c>
    </row>
    <row r="5" spans="1:78" hidden="1" outlineLevel="1">
      <c r="B5" s="220">
        <f>B4-1%</f>
        <v>0.19</v>
      </c>
      <c r="C5" s="211">
        <v>94.024716138043246</v>
      </c>
      <c r="D5" s="54">
        <v>121.05410501383645</v>
      </c>
      <c r="E5" s="54">
        <v>141.92970693607083</v>
      </c>
      <c r="F5" s="54">
        <v>175.3816876472913</v>
      </c>
      <c r="G5" s="54">
        <v>194.46808206730731</v>
      </c>
      <c r="H5" s="54">
        <v>238.18790521604194</v>
      </c>
      <c r="I5" s="54">
        <v>271.93469588923705</v>
      </c>
      <c r="J5" s="54">
        <v>313.58856057020876</v>
      </c>
      <c r="K5" s="54">
        <v>383.52292998042941</v>
      </c>
      <c r="M5" s="220">
        <f>M4-1%</f>
        <v>0.19</v>
      </c>
      <c r="N5" s="211">
        <v>94.024716138043246</v>
      </c>
      <c r="O5" s="54">
        <v>121.05410501383645</v>
      </c>
      <c r="P5" s="54">
        <v>141.92970693607083</v>
      </c>
      <c r="Q5" s="54">
        <v>175.3816876472913</v>
      </c>
      <c r="R5" s="54">
        <v>194.46808206730731</v>
      </c>
      <c r="S5" s="54">
        <v>238.18790521604194</v>
      </c>
      <c r="T5" s="54">
        <v>271.93469588923705</v>
      </c>
      <c r="U5" s="54">
        <v>313.58856057020876</v>
      </c>
      <c r="V5" s="54">
        <v>383.52292998042941</v>
      </c>
      <c r="X5" s="220">
        <f>X4-1%</f>
        <v>0.19</v>
      </c>
      <c r="Y5" s="211">
        <v>94.024716138043246</v>
      </c>
      <c r="Z5" s="54">
        <v>121.05410501383645</v>
      </c>
      <c r="AA5" s="54">
        <v>141.92970693607083</v>
      </c>
      <c r="AB5" s="54">
        <v>175.3816876472913</v>
      </c>
      <c r="AC5" s="54">
        <v>194.46808206730731</v>
      </c>
      <c r="AD5" s="54">
        <v>238.18790521604194</v>
      </c>
      <c r="AE5" s="54">
        <v>271.93469588923705</v>
      </c>
      <c r="AF5" s="54">
        <v>313.58856057020876</v>
      </c>
      <c r="AG5" s="54">
        <v>383.52292998042941</v>
      </c>
      <c r="AI5" s="220">
        <f>AI4-1%</f>
        <v>0.19</v>
      </c>
      <c r="AJ5" s="211">
        <v>94.024716138043246</v>
      </c>
      <c r="AK5" s="54">
        <v>121.05410501383645</v>
      </c>
      <c r="AL5" s="54">
        <v>141.92970693607083</v>
      </c>
      <c r="AM5" s="54">
        <v>175.3816876472913</v>
      </c>
      <c r="AN5" s="54">
        <v>194.46808206730731</v>
      </c>
      <c r="AO5" s="54">
        <v>238.18790521604194</v>
      </c>
      <c r="AP5" s="54">
        <v>271.93469588923705</v>
      </c>
      <c r="AQ5" s="54">
        <v>313.58856057020876</v>
      </c>
      <c r="AR5" s="54">
        <v>383.52292998042941</v>
      </c>
      <c r="BF5" s="220">
        <f>BF4-1%</f>
        <v>0.19</v>
      </c>
      <c r="BG5" s="211">
        <v>94.024716138043246</v>
      </c>
      <c r="BH5" s="54">
        <v>121.05410501383645</v>
      </c>
      <c r="BI5" s="54">
        <v>141.92970693607083</v>
      </c>
      <c r="BJ5" s="54">
        <v>175.3816876472913</v>
      </c>
      <c r="BK5" s="54">
        <v>194.46808206730731</v>
      </c>
      <c r="BL5" s="54">
        <v>238.18790521604194</v>
      </c>
      <c r="BM5" s="54">
        <v>271.93469588923705</v>
      </c>
      <c r="BN5" s="54">
        <v>313.58856057020876</v>
      </c>
      <c r="BO5" s="54">
        <v>383.52292998042941</v>
      </c>
      <c r="BQ5" s="220">
        <f>BQ4-1%</f>
        <v>0.19</v>
      </c>
      <c r="BR5" s="211">
        <v>94.024716138043246</v>
      </c>
      <c r="BS5" s="54">
        <v>121.05410501383645</v>
      </c>
      <c r="BT5" s="54">
        <v>141.92970693607083</v>
      </c>
      <c r="BU5" s="54">
        <v>175.3816876472913</v>
      </c>
      <c r="BV5" s="54">
        <v>194.46808206730731</v>
      </c>
      <c r="BW5" s="54">
        <v>238.18790521604194</v>
      </c>
      <c r="BX5" s="54">
        <v>271.93469588923705</v>
      </c>
      <c r="BY5" s="54">
        <v>313.58856057020876</v>
      </c>
      <c r="BZ5" s="54">
        <v>383.52292998042941</v>
      </c>
    </row>
    <row r="6" spans="1:78" hidden="1" outlineLevel="1">
      <c r="B6" s="220">
        <f t="shared" ref="B6:B16" si="6">B5-1%</f>
        <v>0.18</v>
      </c>
      <c r="C6" s="211">
        <v>93.488997226511714</v>
      </c>
      <c r="D6" s="54">
        <v>119.25588893173962</v>
      </c>
      <c r="E6" s="54">
        <v>138.4428211424607</v>
      </c>
      <c r="F6" s="54">
        <v>169.68413604068164</v>
      </c>
      <c r="G6" s="54">
        <v>185.70589569632014</v>
      </c>
      <c r="H6" s="54">
        <v>225.47832606989084</v>
      </c>
      <c r="I6" s="54">
        <v>253.95959906318168</v>
      </c>
      <c r="J6" s="54">
        <v>288.91675876996379</v>
      </c>
      <c r="K6" s="54">
        <v>350.36245374433577</v>
      </c>
      <c r="M6" s="220">
        <f t="shared" ref="M6:M16" si="7">M5-1%</f>
        <v>0.18</v>
      </c>
      <c r="N6" s="211">
        <v>93.488997226511714</v>
      </c>
      <c r="O6" s="54">
        <v>119.25588893173962</v>
      </c>
      <c r="P6" s="54">
        <v>138.4428211424607</v>
      </c>
      <c r="Q6" s="54">
        <v>169.68413604068164</v>
      </c>
      <c r="R6" s="54">
        <v>185.70589569632014</v>
      </c>
      <c r="S6" s="54">
        <v>225.47832606989084</v>
      </c>
      <c r="T6" s="54">
        <v>253.95959906318168</v>
      </c>
      <c r="U6" s="54">
        <v>288.91675876996379</v>
      </c>
      <c r="V6" s="54">
        <v>350.36245374433577</v>
      </c>
      <c r="X6" s="220">
        <f t="shared" ref="X6:X16" si="8">X5-1%</f>
        <v>0.18</v>
      </c>
      <c r="Y6" s="211">
        <v>93.488997226511714</v>
      </c>
      <c r="Z6" s="54">
        <v>119.25588893173962</v>
      </c>
      <c r="AA6" s="54">
        <v>138.4428211424607</v>
      </c>
      <c r="AB6" s="54">
        <v>169.68413604068164</v>
      </c>
      <c r="AC6" s="54">
        <v>185.70589569632014</v>
      </c>
      <c r="AD6" s="54">
        <v>225.47832606989084</v>
      </c>
      <c r="AE6" s="54">
        <v>253.95959906318168</v>
      </c>
      <c r="AF6" s="54">
        <v>288.91675876996379</v>
      </c>
      <c r="AG6" s="54">
        <v>350.36245374433577</v>
      </c>
      <c r="AI6" s="220">
        <f t="shared" ref="AI6:AI16" si="9">AI5-1%</f>
        <v>0.18</v>
      </c>
      <c r="AJ6" s="211">
        <v>93.488997226511714</v>
      </c>
      <c r="AK6" s="54">
        <v>119.25588893173962</v>
      </c>
      <c r="AL6" s="54">
        <v>138.4428211424607</v>
      </c>
      <c r="AM6" s="54">
        <v>169.68413604068164</v>
      </c>
      <c r="AN6" s="54">
        <v>185.70589569632014</v>
      </c>
      <c r="AO6" s="54">
        <v>225.47832606989084</v>
      </c>
      <c r="AP6" s="54">
        <v>253.95959906318168</v>
      </c>
      <c r="AQ6" s="54">
        <v>288.91675876996379</v>
      </c>
      <c r="AR6" s="54">
        <v>350.36245374433577</v>
      </c>
      <c r="BF6" s="220">
        <f t="shared" ref="BF6:BF16" si="10">BF5-1%</f>
        <v>0.18</v>
      </c>
      <c r="BG6" s="211">
        <v>93.488997226511714</v>
      </c>
      <c r="BH6" s="54">
        <v>119.25588893173962</v>
      </c>
      <c r="BI6" s="54">
        <v>138.4428211424607</v>
      </c>
      <c r="BJ6" s="54">
        <v>169.68413604068164</v>
      </c>
      <c r="BK6" s="54">
        <v>185.70589569632014</v>
      </c>
      <c r="BL6" s="54">
        <v>225.47832606989084</v>
      </c>
      <c r="BM6" s="54">
        <v>253.95959906318168</v>
      </c>
      <c r="BN6" s="54">
        <v>288.91675876996379</v>
      </c>
      <c r="BO6" s="54">
        <v>350.36245374433577</v>
      </c>
      <c r="BQ6" s="220">
        <f t="shared" ref="BQ6:BQ16" si="11">BQ5-1%</f>
        <v>0.18</v>
      </c>
      <c r="BR6" s="211">
        <v>93.488997226511714</v>
      </c>
      <c r="BS6" s="54">
        <v>119.25588893173962</v>
      </c>
      <c r="BT6" s="54">
        <v>138.4428211424607</v>
      </c>
      <c r="BU6" s="54">
        <v>169.68413604068164</v>
      </c>
      <c r="BV6" s="54">
        <v>185.70589569632014</v>
      </c>
      <c r="BW6" s="54">
        <v>225.47832606989084</v>
      </c>
      <c r="BX6" s="54">
        <v>253.95959906318168</v>
      </c>
      <c r="BY6" s="54">
        <v>288.91675876996379</v>
      </c>
      <c r="BZ6" s="54">
        <v>350.36245374433577</v>
      </c>
    </row>
    <row r="7" spans="1:78" hidden="1" outlineLevel="1">
      <c r="A7" s="407"/>
      <c r="B7" s="220">
        <f t="shared" si="6"/>
        <v>0.16999999999999998</v>
      </c>
      <c r="C7" s="211">
        <v>92.953334966582176</v>
      </c>
      <c r="D7" s="54">
        <v>117.46824363246888</v>
      </c>
      <c r="E7" s="54">
        <v>135.00441640630808</v>
      </c>
      <c r="F7" s="54">
        <v>164.11284324173354</v>
      </c>
      <c r="G7" s="54">
        <v>177.20629960558438</v>
      </c>
      <c r="H7" s="54">
        <v>213.2500875668141</v>
      </c>
      <c r="I7" s="54">
        <v>236.80479070446358</v>
      </c>
      <c r="J7" s="54">
        <v>265.56303522246128</v>
      </c>
      <c r="K7" s="54">
        <v>319.23989056257182</v>
      </c>
      <c r="M7" s="220">
        <f t="shared" si="7"/>
        <v>0.16999999999999998</v>
      </c>
      <c r="N7" s="211">
        <v>92.953334966582176</v>
      </c>
      <c r="O7" s="54">
        <v>117.46824363246888</v>
      </c>
      <c r="P7" s="54">
        <v>135.00441640630808</v>
      </c>
      <c r="Q7" s="54">
        <v>164.11284324173354</v>
      </c>
      <c r="R7" s="54">
        <v>177.20629960558438</v>
      </c>
      <c r="S7" s="54">
        <v>213.2500875668141</v>
      </c>
      <c r="T7" s="54">
        <v>236.80479070446358</v>
      </c>
      <c r="U7" s="54">
        <v>265.56303522246128</v>
      </c>
      <c r="V7" s="54">
        <v>319.23989056257182</v>
      </c>
      <c r="X7" s="220">
        <f t="shared" si="8"/>
        <v>0.16999999999999998</v>
      </c>
      <c r="Y7" s="211">
        <v>92.953334966582176</v>
      </c>
      <c r="Z7" s="54">
        <v>117.46824363246888</v>
      </c>
      <c r="AA7" s="54">
        <v>135.00441640630808</v>
      </c>
      <c r="AB7" s="54">
        <v>164.11284324173354</v>
      </c>
      <c r="AC7" s="54">
        <v>177.20629960558438</v>
      </c>
      <c r="AD7" s="54">
        <v>213.2500875668141</v>
      </c>
      <c r="AE7" s="54">
        <v>236.80479070446358</v>
      </c>
      <c r="AF7" s="54">
        <v>265.56303522246128</v>
      </c>
      <c r="AG7" s="54">
        <v>319.23989056257182</v>
      </c>
      <c r="AI7" s="220">
        <f t="shared" si="9"/>
        <v>0.16999999999999998</v>
      </c>
      <c r="AJ7" s="211">
        <v>92.953334966582176</v>
      </c>
      <c r="AK7" s="54">
        <v>117.46824363246888</v>
      </c>
      <c r="AL7" s="54">
        <v>135.00441640630808</v>
      </c>
      <c r="AM7" s="54">
        <v>164.11284324173354</v>
      </c>
      <c r="AN7" s="54">
        <v>177.20629960558438</v>
      </c>
      <c r="AO7" s="54">
        <v>213.2500875668141</v>
      </c>
      <c r="AP7" s="54">
        <v>236.80479070446358</v>
      </c>
      <c r="AQ7" s="54">
        <v>265.56303522246128</v>
      </c>
      <c r="AR7" s="54">
        <v>319.23989056257182</v>
      </c>
      <c r="BF7" s="220">
        <f t="shared" si="10"/>
        <v>0.16999999999999998</v>
      </c>
      <c r="BG7" s="211">
        <v>92.953334966582176</v>
      </c>
      <c r="BH7" s="54">
        <v>117.46824363246888</v>
      </c>
      <c r="BI7" s="54">
        <v>135.00441640630808</v>
      </c>
      <c r="BJ7" s="54">
        <v>164.11284324173354</v>
      </c>
      <c r="BK7" s="54">
        <v>177.20629960558438</v>
      </c>
      <c r="BL7" s="54">
        <v>213.2500875668141</v>
      </c>
      <c r="BM7" s="54">
        <v>236.80479070446358</v>
      </c>
      <c r="BN7" s="54">
        <v>265.56303522246128</v>
      </c>
      <c r="BO7" s="54">
        <v>319.23989056257182</v>
      </c>
      <c r="BQ7" s="220">
        <f t="shared" si="11"/>
        <v>0.16999999999999998</v>
      </c>
      <c r="BR7" s="211">
        <v>92.953334966582176</v>
      </c>
      <c r="BS7" s="54">
        <v>117.46824363246888</v>
      </c>
      <c r="BT7" s="54">
        <v>135.00441640630808</v>
      </c>
      <c r="BU7" s="54">
        <v>164.11284324173354</v>
      </c>
      <c r="BV7" s="54">
        <v>177.20629960558438</v>
      </c>
      <c r="BW7" s="54">
        <v>213.2500875668141</v>
      </c>
      <c r="BX7" s="54">
        <v>236.80479070446358</v>
      </c>
      <c r="BY7" s="54">
        <v>265.56303522246128</v>
      </c>
      <c r="BZ7" s="54">
        <v>319.23989056257182</v>
      </c>
    </row>
    <row r="8" spans="1:78" hidden="1" outlineLevel="1">
      <c r="B8" s="220">
        <f t="shared" si="6"/>
        <v>0.15999999999999998</v>
      </c>
      <c r="C8" s="211">
        <v>92.417625037927792</v>
      </c>
      <c r="D8" s="54">
        <v>115.69142886926483</v>
      </c>
      <c r="E8" s="54">
        <v>131.61477089472905</v>
      </c>
      <c r="F8" s="54">
        <v>158.66705552421112</v>
      </c>
      <c r="G8" s="54">
        <v>168.96269981204941</v>
      </c>
      <c r="H8" s="54">
        <v>201.48920993741521</v>
      </c>
      <c r="I8" s="54">
        <v>220.43620880030585</v>
      </c>
      <c r="J8" s="54">
        <v>243.46773607912459</v>
      </c>
      <c r="K8" s="54">
        <v>290.03993279412816</v>
      </c>
      <c r="M8" s="220">
        <f t="shared" si="7"/>
        <v>0.15999999999999998</v>
      </c>
      <c r="N8" s="211">
        <v>92.417625037927792</v>
      </c>
      <c r="O8" s="54">
        <v>115.69142886926483</v>
      </c>
      <c r="P8" s="54">
        <v>131.61477089472905</v>
      </c>
      <c r="Q8" s="54">
        <v>158.66705552421112</v>
      </c>
      <c r="R8" s="54">
        <v>168.96269981204941</v>
      </c>
      <c r="S8" s="54">
        <v>201.48920993741521</v>
      </c>
      <c r="T8" s="54">
        <v>220.43620880030585</v>
      </c>
      <c r="U8" s="54">
        <v>243.46773607912459</v>
      </c>
      <c r="V8" s="54">
        <v>290.03993279412816</v>
      </c>
      <c r="X8" s="220">
        <f t="shared" si="8"/>
        <v>0.15999999999999998</v>
      </c>
      <c r="Y8" s="211">
        <v>92.417625037927792</v>
      </c>
      <c r="Z8" s="54">
        <v>115.69142886926483</v>
      </c>
      <c r="AA8" s="54">
        <v>131.61477089472905</v>
      </c>
      <c r="AB8" s="54">
        <v>158.66705552421112</v>
      </c>
      <c r="AC8" s="54">
        <v>168.96269981204941</v>
      </c>
      <c r="AD8" s="54">
        <v>201.48920993741521</v>
      </c>
      <c r="AE8" s="54">
        <v>220.43620880030585</v>
      </c>
      <c r="AF8" s="54">
        <v>243.46773607912459</v>
      </c>
      <c r="AG8" s="54">
        <v>290.03993279412816</v>
      </c>
      <c r="AI8" s="220">
        <f t="shared" si="9"/>
        <v>0.15999999999999998</v>
      </c>
      <c r="AJ8" s="211">
        <v>92.417625037927792</v>
      </c>
      <c r="AK8" s="54">
        <v>115.69142886926483</v>
      </c>
      <c r="AL8" s="54">
        <v>131.61477089472905</v>
      </c>
      <c r="AM8" s="54">
        <v>158.66705552421112</v>
      </c>
      <c r="AN8" s="54">
        <v>168.96269981204941</v>
      </c>
      <c r="AO8" s="54">
        <v>201.48920993741521</v>
      </c>
      <c r="AP8" s="54">
        <v>220.43620880030585</v>
      </c>
      <c r="AQ8" s="54">
        <v>243.46773607912459</v>
      </c>
      <c r="AR8" s="54">
        <v>290.03993279412816</v>
      </c>
      <c r="BF8" s="220">
        <f t="shared" si="10"/>
        <v>0.15999999999999998</v>
      </c>
      <c r="BG8" s="211">
        <v>92.417625037927792</v>
      </c>
      <c r="BH8" s="54">
        <v>115.69142886926483</v>
      </c>
      <c r="BI8" s="54">
        <v>131.61477089472905</v>
      </c>
      <c r="BJ8" s="54">
        <v>158.66705552421112</v>
      </c>
      <c r="BK8" s="54">
        <v>168.96269981204941</v>
      </c>
      <c r="BL8" s="54">
        <v>201.48920993741521</v>
      </c>
      <c r="BM8" s="54">
        <v>220.43620880030585</v>
      </c>
      <c r="BN8" s="54">
        <v>243.46773607912459</v>
      </c>
      <c r="BO8" s="54">
        <v>290.03993279412816</v>
      </c>
      <c r="BQ8" s="220">
        <f t="shared" si="11"/>
        <v>0.15999999999999998</v>
      </c>
      <c r="BR8" s="211">
        <v>92.417625037927792</v>
      </c>
      <c r="BS8" s="54">
        <v>115.69142886926483</v>
      </c>
      <c r="BT8" s="54">
        <v>131.61477089472905</v>
      </c>
      <c r="BU8" s="54">
        <v>158.66705552421112</v>
      </c>
      <c r="BV8" s="54">
        <v>168.96269981204941</v>
      </c>
      <c r="BW8" s="54">
        <v>201.48920993741521</v>
      </c>
      <c r="BX8" s="54">
        <v>220.43620880030585</v>
      </c>
      <c r="BY8" s="54">
        <v>243.46773607912459</v>
      </c>
      <c r="BZ8" s="54">
        <v>290.03993279412816</v>
      </c>
    </row>
    <row r="9" spans="1:78" hidden="1" outlineLevel="1">
      <c r="B9" s="220">
        <f t="shared" si="6"/>
        <v>0.14999999999999997</v>
      </c>
      <c r="C9" s="211">
        <v>91.881910155821956</v>
      </c>
      <c r="D9" s="54">
        <v>113.92536777488242</v>
      </c>
      <c r="E9" s="54">
        <v>128.27287934840029</v>
      </c>
      <c r="F9" s="54">
        <v>153.34362093078397</v>
      </c>
      <c r="G9" s="54">
        <v>160.96935331546462</v>
      </c>
      <c r="H9" s="54">
        <v>190.18175171215961</v>
      </c>
      <c r="I9" s="54">
        <v>204.82579927476348</v>
      </c>
      <c r="J9" s="54">
        <v>222.57030466707522</v>
      </c>
      <c r="K9" s="54">
        <v>262.65879771923244</v>
      </c>
      <c r="M9" s="220">
        <f t="shared" si="7"/>
        <v>0.14999999999999997</v>
      </c>
      <c r="N9" s="211">
        <v>91.881910155821956</v>
      </c>
      <c r="O9" s="54">
        <v>113.92536777488242</v>
      </c>
      <c r="P9" s="54">
        <v>128.27287934840029</v>
      </c>
      <c r="Q9" s="54">
        <v>153.34362093078397</v>
      </c>
      <c r="R9" s="54">
        <v>160.96935331546462</v>
      </c>
      <c r="S9" s="54">
        <v>190.18175171215961</v>
      </c>
      <c r="T9" s="54">
        <v>204.82579927476348</v>
      </c>
      <c r="U9" s="54">
        <v>222.57030466707522</v>
      </c>
      <c r="V9" s="54">
        <v>262.65879771923244</v>
      </c>
      <c r="X9" s="220">
        <f t="shared" si="8"/>
        <v>0.14999999999999997</v>
      </c>
      <c r="Y9" s="211">
        <v>91.881910155821956</v>
      </c>
      <c r="Z9" s="54">
        <v>113.92536777488242</v>
      </c>
      <c r="AA9" s="54">
        <v>128.27287934840029</v>
      </c>
      <c r="AB9" s="54">
        <v>153.34362093078397</v>
      </c>
      <c r="AC9" s="54">
        <v>160.96935331546462</v>
      </c>
      <c r="AD9" s="54">
        <v>190.18175171215961</v>
      </c>
      <c r="AE9" s="54">
        <v>204.82579927476348</v>
      </c>
      <c r="AF9" s="54">
        <v>222.57030466707522</v>
      </c>
      <c r="AG9" s="54">
        <v>262.65879771923244</v>
      </c>
      <c r="AI9" s="220">
        <f t="shared" si="9"/>
        <v>0.14999999999999997</v>
      </c>
      <c r="AJ9" s="211">
        <v>91.881910155821956</v>
      </c>
      <c r="AK9" s="54">
        <v>113.92536777488242</v>
      </c>
      <c r="AL9" s="54">
        <v>128.27287934840029</v>
      </c>
      <c r="AM9" s="54">
        <v>153.34362093078397</v>
      </c>
      <c r="AN9" s="54">
        <v>160.96935331546462</v>
      </c>
      <c r="AO9" s="54">
        <v>190.18175171215961</v>
      </c>
      <c r="AP9" s="54">
        <v>204.82579927476348</v>
      </c>
      <c r="AQ9" s="54">
        <v>222.57030466707522</v>
      </c>
      <c r="AR9" s="54">
        <v>262.65879771923244</v>
      </c>
      <c r="BF9" s="220">
        <f t="shared" si="10"/>
        <v>0.14999999999999997</v>
      </c>
      <c r="BG9" s="211">
        <v>91.881910155821956</v>
      </c>
      <c r="BH9" s="54">
        <v>113.92536777488242</v>
      </c>
      <c r="BI9" s="54">
        <v>128.27287934840029</v>
      </c>
      <c r="BJ9" s="54">
        <v>153.34362093078397</v>
      </c>
      <c r="BK9" s="54">
        <v>160.96935331546462</v>
      </c>
      <c r="BL9" s="54">
        <v>190.18175171215961</v>
      </c>
      <c r="BM9" s="54">
        <v>204.82579927476348</v>
      </c>
      <c r="BN9" s="54">
        <v>222.57030466707522</v>
      </c>
      <c r="BO9" s="54">
        <v>262.65879771923244</v>
      </c>
      <c r="BQ9" s="220">
        <f t="shared" si="11"/>
        <v>0.14999999999999997</v>
      </c>
      <c r="BR9" s="211">
        <v>91.881910155821956</v>
      </c>
      <c r="BS9" s="54">
        <v>113.92536777488242</v>
      </c>
      <c r="BT9" s="54">
        <v>128.27287934840029</v>
      </c>
      <c r="BU9" s="54">
        <v>153.34362093078397</v>
      </c>
      <c r="BV9" s="54">
        <v>160.96935331546462</v>
      </c>
      <c r="BW9" s="54">
        <v>190.18175171215961</v>
      </c>
      <c r="BX9" s="54">
        <v>204.82579927476348</v>
      </c>
      <c r="BY9" s="54">
        <v>222.57030466707522</v>
      </c>
      <c r="BZ9" s="54">
        <v>262.65879771923244</v>
      </c>
    </row>
    <row r="10" spans="1:78" hidden="1" outlineLevel="1">
      <c r="B10" s="220">
        <f t="shared" si="6"/>
        <v>0.13999999999999996</v>
      </c>
      <c r="C10" s="211">
        <v>91.346185856127036</v>
      </c>
      <c r="D10" s="54">
        <v>112.16994392236616</v>
      </c>
      <c r="E10" s="54">
        <v>124.97877903070328</v>
      </c>
      <c r="F10" s="54">
        <v>148.14178943255425</v>
      </c>
      <c r="G10" s="54">
        <v>153.22110495551854</v>
      </c>
      <c r="H10" s="54">
        <v>179.31272018238528</v>
      </c>
      <c r="I10" s="54">
        <v>189.94107089397505</v>
      </c>
      <c r="J10" s="54">
        <v>202.81288824378822</v>
      </c>
      <c r="K10" s="54">
        <v>236.99781655297275</v>
      </c>
      <c r="M10" s="220">
        <f t="shared" si="7"/>
        <v>0.13999999999999996</v>
      </c>
      <c r="N10" s="211">
        <v>91.346185856127036</v>
      </c>
      <c r="O10" s="54">
        <v>112.16994392236616</v>
      </c>
      <c r="P10" s="54">
        <v>124.97877903070328</v>
      </c>
      <c r="Q10" s="54">
        <v>148.14178943255425</v>
      </c>
      <c r="R10" s="54">
        <v>153.22110495551854</v>
      </c>
      <c r="S10" s="54">
        <v>179.31272018238528</v>
      </c>
      <c r="T10" s="54">
        <v>189.94107089397505</v>
      </c>
      <c r="U10" s="54">
        <v>202.81288824378822</v>
      </c>
      <c r="V10" s="54">
        <v>236.99781655297275</v>
      </c>
      <c r="X10" s="220">
        <f t="shared" si="8"/>
        <v>0.13999999999999996</v>
      </c>
      <c r="Y10" s="211">
        <v>91.346185856127036</v>
      </c>
      <c r="Z10" s="54">
        <v>112.16994392236616</v>
      </c>
      <c r="AA10" s="54">
        <v>124.97877903070328</v>
      </c>
      <c r="AB10" s="54">
        <v>148.14178943255425</v>
      </c>
      <c r="AC10" s="54">
        <v>153.22110495551854</v>
      </c>
      <c r="AD10" s="54">
        <v>179.31272018238528</v>
      </c>
      <c r="AE10" s="54">
        <v>189.94107089397505</v>
      </c>
      <c r="AF10" s="54">
        <v>202.81288824378822</v>
      </c>
      <c r="AG10" s="54">
        <v>236.99781655297275</v>
      </c>
      <c r="AI10" s="220">
        <f t="shared" si="9"/>
        <v>0.13999999999999996</v>
      </c>
      <c r="AJ10" s="211">
        <v>91.346185856127036</v>
      </c>
      <c r="AK10" s="54">
        <v>112.16994392236616</v>
      </c>
      <c r="AL10" s="54">
        <v>124.97877903070328</v>
      </c>
      <c r="AM10" s="54">
        <v>148.14178943255425</v>
      </c>
      <c r="AN10" s="54">
        <v>153.22110495551854</v>
      </c>
      <c r="AO10" s="54">
        <v>179.31272018238528</v>
      </c>
      <c r="AP10" s="54">
        <v>189.94107089397505</v>
      </c>
      <c r="AQ10" s="54">
        <v>202.81288824378822</v>
      </c>
      <c r="AR10" s="54">
        <v>236.99781655297275</v>
      </c>
      <c r="BF10" s="220">
        <f t="shared" si="10"/>
        <v>0.13999999999999996</v>
      </c>
      <c r="BG10" s="211">
        <v>91.346185856127036</v>
      </c>
      <c r="BH10" s="54">
        <v>112.16994392236616</v>
      </c>
      <c r="BI10" s="54">
        <v>124.97877903070328</v>
      </c>
      <c r="BJ10" s="54">
        <v>148.14178943255425</v>
      </c>
      <c r="BK10" s="54">
        <v>153.22110495551854</v>
      </c>
      <c r="BL10" s="54">
        <v>179.31272018238528</v>
      </c>
      <c r="BM10" s="54">
        <v>189.94107089397505</v>
      </c>
      <c r="BN10" s="54">
        <v>202.81288824378822</v>
      </c>
      <c r="BO10" s="54">
        <v>236.99781655297275</v>
      </c>
      <c r="BQ10" s="220">
        <f t="shared" si="11"/>
        <v>0.13999999999999996</v>
      </c>
      <c r="BR10" s="211">
        <v>91.346185856127036</v>
      </c>
      <c r="BS10" s="54">
        <v>112.16994392236616</v>
      </c>
      <c r="BT10" s="54">
        <v>124.97877903070328</v>
      </c>
      <c r="BU10" s="54">
        <v>148.14178943255425</v>
      </c>
      <c r="BV10" s="54">
        <v>153.22110495551854</v>
      </c>
      <c r="BW10" s="54">
        <v>179.31272018238528</v>
      </c>
      <c r="BX10" s="54">
        <v>189.94107089397505</v>
      </c>
      <c r="BY10" s="54">
        <v>202.81288824378822</v>
      </c>
      <c r="BZ10" s="54">
        <v>236.99781655297275</v>
      </c>
    </row>
    <row r="11" spans="1:78" hidden="1" outlineLevel="1">
      <c r="B11" s="220">
        <f t="shared" si="6"/>
        <v>0.12999999999999995</v>
      </c>
      <c r="C11" s="211">
        <v>90.810467377085928</v>
      </c>
      <c r="D11" s="54">
        <v>110.42524636062365</v>
      </c>
      <c r="E11" s="54">
        <v>121.73201774494257</v>
      </c>
      <c r="F11" s="54">
        <v>143.05917684306905</v>
      </c>
      <c r="G11" s="54">
        <v>145.71153261684478</v>
      </c>
      <c r="H11" s="54">
        <v>168.86912474852485</v>
      </c>
      <c r="I11" s="54">
        <v>175.75611903638602</v>
      </c>
      <c r="J11" s="54">
        <v>184.14290882842303</v>
      </c>
      <c r="K11" s="54">
        <v>212.96098049482973</v>
      </c>
      <c r="M11" s="220">
        <f t="shared" si="7"/>
        <v>0.12999999999999995</v>
      </c>
      <c r="N11" s="211">
        <v>90.810467377085928</v>
      </c>
      <c r="O11" s="54">
        <v>110.42524636062365</v>
      </c>
      <c r="P11" s="54">
        <v>121.73201774494257</v>
      </c>
      <c r="Q11" s="54">
        <v>143.05917684306905</v>
      </c>
      <c r="R11" s="54">
        <v>145.71153261684478</v>
      </c>
      <c r="S11" s="54">
        <v>168.86912474852485</v>
      </c>
      <c r="T11" s="54">
        <v>175.75611903638602</v>
      </c>
      <c r="U11" s="54">
        <v>184.14290882842303</v>
      </c>
      <c r="V11" s="54">
        <v>212.96098049482973</v>
      </c>
      <c r="X11" s="220">
        <f t="shared" si="8"/>
        <v>0.12999999999999995</v>
      </c>
      <c r="Y11" s="211">
        <v>90.810467377085928</v>
      </c>
      <c r="Z11" s="54">
        <v>110.42524636062365</v>
      </c>
      <c r="AA11" s="54">
        <v>121.73201774494257</v>
      </c>
      <c r="AB11" s="54">
        <v>143.05917684306905</v>
      </c>
      <c r="AC11" s="54">
        <v>145.71153261684478</v>
      </c>
      <c r="AD11" s="54">
        <v>168.86912474852485</v>
      </c>
      <c r="AE11" s="54">
        <v>175.75611903638602</v>
      </c>
      <c r="AF11" s="54">
        <v>184.14290882842303</v>
      </c>
      <c r="AG11" s="54">
        <v>212.96098049482973</v>
      </c>
      <c r="AI11" s="220">
        <f t="shared" si="9"/>
        <v>0.12999999999999995</v>
      </c>
      <c r="AJ11" s="211">
        <v>90.810467377085928</v>
      </c>
      <c r="AK11" s="54">
        <v>110.42524636062365</v>
      </c>
      <c r="AL11" s="54">
        <v>121.73201774494257</v>
      </c>
      <c r="AM11" s="54">
        <v>143.05917684306905</v>
      </c>
      <c r="AN11" s="54">
        <v>145.71153261684478</v>
      </c>
      <c r="AO11" s="54">
        <v>168.86912474852485</v>
      </c>
      <c r="AP11" s="54">
        <v>175.75611903638602</v>
      </c>
      <c r="AQ11" s="54">
        <v>184.14290882842303</v>
      </c>
      <c r="AR11" s="54">
        <v>212.96098049482973</v>
      </c>
      <c r="BF11" s="220">
        <f t="shared" si="10"/>
        <v>0.12999999999999995</v>
      </c>
      <c r="BG11" s="211">
        <v>90.810467377085928</v>
      </c>
      <c r="BH11" s="54">
        <v>110.42524636062365</v>
      </c>
      <c r="BI11" s="54">
        <v>121.73201774494257</v>
      </c>
      <c r="BJ11" s="54">
        <v>143.05917684306905</v>
      </c>
      <c r="BK11" s="54">
        <v>145.71153261684478</v>
      </c>
      <c r="BL11" s="54">
        <v>168.86912474852485</v>
      </c>
      <c r="BM11" s="54">
        <v>175.75611903638602</v>
      </c>
      <c r="BN11" s="54">
        <v>184.14290882842303</v>
      </c>
      <c r="BO11" s="54">
        <v>212.96098049482973</v>
      </c>
      <c r="BQ11" s="220">
        <f t="shared" si="11"/>
        <v>0.12999999999999995</v>
      </c>
      <c r="BR11" s="211">
        <v>90.810467377085928</v>
      </c>
      <c r="BS11" s="54">
        <v>110.42524636062365</v>
      </c>
      <c r="BT11" s="54">
        <v>121.73201774494257</v>
      </c>
      <c r="BU11" s="54">
        <v>143.05917684306905</v>
      </c>
      <c r="BV11" s="54">
        <v>145.71153261684478</v>
      </c>
      <c r="BW11" s="54">
        <v>168.86912474852485</v>
      </c>
      <c r="BX11" s="54">
        <v>175.75611903638602</v>
      </c>
      <c r="BY11" s="54">
        <v>184.14290882842303</v>
      </c>
      <c r="BZ11" s="54">
        <v>212.96098049482973</v>
      </c>
    </row>
    <row r="12" spans="1:78" hidden="1" outlineLevel="1">
      <c r="B12" s="220">
        <f t="shared" si="6"/>
        <v>0.11999999999999995</v>
      </c>
      <c r="C12" s="211">
        <v>90.274792714134094</v>
      </c>
      <c r="D12" s="54">
        <v>108.69130534185297</v>
      </c>
      <c r="E12" s="54">
        <v>118.53213633448399</v>
      </c>
      <c r="F12" s="54">
        <v>138.09463657961092</v>
      </c>
      <c r="G12" s="54">
        <v>138.43538908353867</v>
      </c>
      <c r="H12" s="54">
        <v>158.83588530984284</v>
      </c>
      <c r="I12" s="54">
        <v>162.24125164283004</v>
      </c>
      <c r="J12" s="54">
        <v>166.50741519917867</v>
      </c>
      <c r="K12" s="54">
        <v>190.45665530795796</v>
      </c>
      <c r="M12" s="220">
        <f t="shared" si="7"/>
        <v>0.11999999999999995</v>
      </c>
      <c r="N12" s="211">
        <v>90.274792714134094</v>
      </c>
      <c r="O12" s="54">
        <v>108.69130534185297</v>
      </c>
      <c r="P12" s="54">
        <v>118.53213633448399</v>
      </c>
      <c r="Q12" s="54">
        <v>138.09463657961092</v>
      </c>
      <c r="R12" s="54">
        <v>138.43538908353867</v>
      </c>
      <c r="S12" s="54">
        <v>158.83588530984284</v>
      </c>
      <c r="T12" s="54">
        <v>162.24125164283004</v>
      </c>
      <c r="U12" s="54">
        <v>166.50741519917867</v>
      </c>
      <c r="V12" s="54">
        <v>190.45665530795796</v>
      </c>
      <c r="X12" s="220">
        <f t="shared" si="8"/>
        <v>0.11999999999999995</v>
      </c>
      <c r="Y12" s="211">
        <v>90.274792714134094</v>
      </c>
      <c r="Z12" s="54">
        <v>108.69130534185297</v>
      </c>
      <c r="AA12" s="54">
        <v>118.53213633448399</v>
      </c>
      <c r="AB12" s="54">
        <v>138.09463657961092</v>
      </c>
      <c r="AC12" s="54">
        <v>138.43538908353867</v>
      </c>
      <c r="AD12" s="54">
        <v>158.83588530984284</v>
      </c>
      <c r="AE12" s="54">
        <v>162.24125164283004</v>
      </c>
      <c r="AF12" s="54">
        <v>166.50741519917867</v>
      </c>
      <c r="AG12" s="54">
        <v>190.45665530795796</v>
      </c>
      <c r="AI12" s="220">
        <f t="shared" si="9"/>
        <v>0.11999999999999995</v>
      </c>
      <c r="AJ12" s="211">
        <v>90.274792714134094</v>
      </c>
      <c r="AK12" s="54">
        <v>108.69130534185297</v>
      </c>
      <c r="AL12" s="54">
        <v>118.53213633448399</v>
      </c>
      <c r="AM12" s="54">
        <v>138.09463657961092</v>
      </c>
      <c r="AN12" s="54">
        <v>138.43538908353867</v>
      </c>
      <c r="AO12" s="54">
        <v>158.83588530984284</v>
      </c>
      <c r="AP12" s="54">
        <v>162.24125164283004</v>
      </c>
      <c r="AQ12" s="54">
        <v>166.50741519917867</v>
      </c>
      <c r="AR12" s="54">
        <v>190.45665530795796</v>
      </c>
      <c r="BF12" s="220">
        <f t="shared" si="10"/>
        <v>0.11999999999999995</v>
      </c>
      <c r="BG12" s="211">
        <v>90.274792714134094</v>
      </c>
      <c r="BH12" s="54">
        <v>108.69130534185297</v>
      </c>
      <c r="BI12" s="54">
        <v>118.53213633448399</v>
      </c>
      <c r="BJ12" s="54">
        <v>138.09463657961092</v>
      </c>
      <c r="BK12" s="54">
        <v>138.43538908353867</v>
      </c>
      <c r="BL12" s="54">
        <v>158.83588530984284</v>
      </c>
      <c r="BM12" s="54">
        <v>162.24125164283004</v>
      </c>
      <c r="BN12" s="54">
        <v>166.50741519917867</v>
      </c>
      <c r="BO12" s="54">
        <v>190.45665530795796</v>
      </c>
      <c r="BQ12" s="220">
        <f t="shared" si="11"/>
        <v>0.11999999999999995</v>
      </c>
      <c r="BR12" s="211">
        <v>90.274792714134094</v>
      </c>
      <c r="BS12" s="54">
        <v>108.69130534185297</v>
      </c>
      <c r="BT12" s="54">
        <v>118.53213633448399</v>
      </c>
      <c r="BU12" s="54">
        <v>138.09463657961092</v>
      </c>
      <c r="BV12" s="54">
        <v>138.43538908353867</v>
      </c>
      <c r="BW12" s="54">
        <v>158.83588530984284</v>
      </c>
      <c r="BX12" s="54">
        <v>162.24125164283004</v>
      </c>
      <c r="BY12" s="54">
        <v>166.50741519917867</v>
      </c>
      <c r="BZ12" s="54">
        <v>190.45665530795796</v>
      </c>
    </row>
    <row r="13" spans="1:78" hidden="1" outlineLevel="1">
      <c r="B13" s="220">
        <f t="shared" si="6"/>
        <v>0.10999999999999996</v>
      </c>
      <c r="C13" s="211">
        <v>89.739103673063042</v>
      </c>
      <c r="D13" s="54">
        <v>106.96795150045799</v>
      </c>
      <c r="E13" s="54">
        <v>115.37898358350249</v>
      </c>
      <c r="F13" s="54">
        <v>133.24516494120695</v>
      </c>
      <c r="G13" s="54">
        <v>131.3873917699313</v>
      </c>
      <c r="H13" s="54">
        <v>149.20204585271287</v>
      </c>
      <c r="I13" s="54">
        <v>149.37076377798093</v>
      </c>
      <c r="J13" s="54">
        <v>149.85840585929515</v>
      </c>
      <c r="K13" s="54">
        <v>169.3974744545832</v>
      </c>
      <c r="M13" s="220">
        <f t="shared" si="7"/>
        <v>0.10999999999999996</v>
      </c>
      <c r="N13" s="211">
        <v>89.739103673063042</v>
      </c>
      <c r="O13" s="54">
        <v>106.96795150045799</v>
      </c>
      <c r="P13" s="54">
        <v>115.37898358350249</v>
      </c>
      <c r="Q13" s="54">
        <v>133.24516494120695</v>
      </c>
      <c r="R13" s="54">
        <v>131.3873917699313</v>
      </c>
      <c r="S13" s="54">
        <v>149.20204585271287</v>
      </c>
      <c r="T13" s="54">
        <v>149.37076377798093</v>
      </c>
      <c r="U13" s="54">
        <v>149.85840585929515</v>
      </c>
      <c r="V13" s="54">
        <v>169.3974744545832</v>
      </c>
      <c r="X13" s="220">
        <f t="shared" si="8"/>
        <v>0.10999999999999996</v>
      </c>
      <c r="Y13" s="211">
        <v>89.739103673063042</v>
      </c>
      <c r="Z13" s="54">
        <v>106.96795150045799</v>
      </c>
      <c r="AA13" s="54">
        <v>115.37898358350249</v>
      </c>
      <c r="AB13" s="54">
        <v>133.24516494120695</v>
      </c>
      <c r="AC13" s="54">
        <v>131.3873917699313</v>
      </c>
      <c r="AD13" s="54">
        <v>149.20204585271287</v>
      </c>
      <c r="AE13" s="54">
        <v>149.37076377798093</v>
      </c>
      <c r="AF13" s="54">
        <v>149.85840585929515</v>
      </c>
      <c r="AG13" s="54">
        <v>169.3974744545832</v>
      </c>
      <c r="AI13" s="220">
        <f t="shared" si="9"/>
        <v>0.10999999999999996</v>
      </c>
      <c r="AJ13" s="211">
        <v>89.739103673063042</v>
      </c>
      <c r="AK13" s="54">
        <v>106.96795150045799</v>
      </c>
      <c r="AL13" s="54">
        <v>115.37898358350249</v>
      </c>
      <c r="AM13" s="54">
        <v>133.24516494120695</v>
      </c>
      <c r="AN13" s="54">
        <v>131.3873917699313</v>
      </c>
      <c r="AO13" s="54">
        <v>149.20204585271287</v>
      </c>
      <c r="AP13" s="54">
        <v>149.37076377798093</v>
      </c>
      <c r="AQ13" s="54">
        <v>149.85840585929515</v>
      </c>
      <c r="AR13" s="54">
        <v>169.3974744545832</v>
      </c>
      <c r="BF13" s="220">
        <f t="shared" si="10"/>
        <v>0.10999999999999996</v>
      </c>
      <c r="BG13" s="211">
        <v>89.739103673063042</v>
      </c>
      <c r="BH13" s="54">
        <v>106.96795150045799</v>
      </c>
      <c r="BI13" s="54">
        <v>115.37898358350249</v>
      </c>
      <c r="BJ13" s="54">
        <v>133.24516494120695</v>
      </c>
      <c r="BK13" s="54">
        <v>131.3873917699313</v>
      </c>
      <c r="BL13" s="54">
        <v>149.20204585271287</v>
      </c>
      <c r="BM13" s="54">
        <v>149.37076377798093</v>
      </c>
      <c r="BN13" s="54">
        <v>149.85840585929515</v>
      </c>
      <c r="BO13" s="54">
        <v>169.3974744545832</v>
      </c>
      <c r="BQ13" s="220">
        <f t="shared" si="11"/>
        <v>0.10999999999999996</v>
      </c>
      <c r="BR13" s="211">
        <v>89.739103673063042</v>
      </c>
      <c r="BS13" s="54">
        <v>106.96795150045799</v>
      </c>
      <c r="BT13" s="54">
        <v>115.37898358350249</v>
      </c>
      <c r="BU13" s="54">
        <v>133.24516494120695</v>
      </c>
      <c r="BV13" s="54">
        <v>131.3873917699313</v>
      </c>
      <c r="BW13" s="54">
        <v>149.20204585271287</v>
      </c>
      <c r="BX13" s="54">
        <v>149.37076377798093</v>
      </c>
      <c r="BY13" s="54">
        <v>149.85840585929515</v>
      </c>
      <c r="BZ13" s="54">
        <v>169.3974744545832</v>
      </c>
    </row>
    <row r="14" spans="1:78" hidden="1" outlineLevel="1">
      <c r="B14" s="220">
        <f t="shared" si="6"/>
        <v>9.9999999999999964E-2</v>
      </c>
      <c r="C14" s="211">
        <v>89.20338739590288</v>
      </c>
      <c r="D14" s="54">
        <v>105.25546482162834</v>
      </c>
      <c r="E14" s="54">
        <v>112.27248997592743</v>
      </c>
      <c r="F14" s="54">
        <v>128.51053083751486</v>
      </c>
      <c r="G14" s="54">
        <v>124.56154282673947</v>
      </c>
      <c r="H14" s="54">
        <v>139.95431201694333</v>
      </c>
      <c r="I14" s="54">
        <v>137.11780742999161</v>
      </c>
      <c r="J14" s="54">
        <v>134.14456060908219</v>
      </c>
      <c r="K14" s="54">
        <v>149.70142966817508</v>
      </c>
      <c r="M14" s="220">
        <f t="shared" si="7"/>
        <v>9.9999999999999964E-2</v>
      </c>
      <c r="N14" s="211">
        <v>89.20338739590288</v>
      </c>
      <c r="O14" s="54">
        <v>105.25546482162834</v>
      </c>
      <c r="P14" s="54">
        <v>112.27248997592743</v>
      </c>
      <c r="Q14" s="54">
        <v>128.51053083751486</v>
      </c>
      <c r="R14" s="54">
        <v>124.56154282673947</v>
      </c>
      <c r="S14" s="54">
        <v>139.95431201694333</v>
      </c>
      <c r="T14" s="54">
        <v>137.11780742999161</v>
      </c>
      <c r="U14" s="54">
        <v>134.14456060908219</v>
      </c>
      <c r="V14" s="54">
        <v>149.70142966817508</v>
      </c>
      <c r="X14" s="220">
        <f t="shared" si="8"/>
        <v>9.9999999999999964E-2</v>
      </c>
      <c r="Y14" s="211">
        <v>89.20338739590288</v>
      </c>
      <c r="Z14" s="54">
        <v>105.25546482162834</v>
      </c>
      <c r="AA14" s="54">
        <v>112.27248997592743</v>
      </c>
      <c r="AB14" s="54">
        <v>128.51053083751486</v>
      </c>
      <c r="AC14" s="54">
        <v>124.56154282673947</v>
      </c>
      <c r="AD14" s="54">
        <v>139.95431201694333</v>
      </c>
      <c r="AE14" s="54">
        <v>137.11780742999161</v>
      </c>
      <c r="AF14" s="54">
        <v>134.14456060908219</v>
      </c>
      <c r="AG14" s="54">
        <v>149.70142966817508</v>
      </c>
      <c r="AI14" s="220">
        <f t="shared" si="9"/>
        <v>9.9999999999999964E-2</v>
      </c>
      <c r="AJ14" s="211">
        <v>89.20338739590288</v>
      </c>
      <c r="AK14" s="54">
        <v>105.25546482162834</v>
      </c>
      <c r="AL14" s="54">
        <v>112.27248997592743</v>
      </c>
      <c r="AM14" s="54">
        <v>128.51053083751486</v>
      </c>
      <c r="AN14" s="54">
        <v>124.56154282673947</v>
      </c>
      <c r="AO14" s="54">
        <v>139.95431201694333</v>
      </c>
      <c r="AP14" s="54">
        <v>137.11780742999161</v>
      </c>
      <c r="AQ14" s="54">
        <v>134.14456060908219</v>
      </c>
      <c r="AR14" s="54">
        <v>149.70142966817508</v>
      </c>
      <c r="BF14" s="220">
        <f t="shared" si="10"/>
        <v>9.9999999999999964E-2</v>
      </c>
      <c r="BG14" s="211">
        <v>89.20338739590288</v>
      </c>
      <c r="BH14" s="54">
        <v>105.25546482162834</v>
      </c>
      <c r="BI14" s="54">
        <v>112.27248997592743</v>
      </c>
      <c r="BJ14" s="54">
        <v>128.51053083751486</v>
      </c>
      <c r="BK14" s="54">
        <v>124.56154282673947</v>
      </c>
      <c r="BL14" s="54">
        <v>139.95431201694333</v>
      </c>
      <c r="BM14" s="54">
        <v>137.11780742999161</v>
      </c>
      <c r="BN14" s="54">
        <v>134.14456060908219</v>
      </c>
      <c r="BO14" s="54">
        <v>149.70142966817508</v>
      </c>
      <c r="BQ14" s="220">
        <f t="shared" si="11"/>
        <v>9.9999999999999964E-2</v>
      </c>
      <c r="BR14" s="211">
        <v>89.20338739590288</v>
      </c>
      <c r="BS14" s="54">
        <v>105.25546482162834</v>
      </c>
      <c r="BT14" s="54">
        <v>112.27248997592743</v>
      </c>
      <c r="BU14" s="54">
        <v>128.51053083751486</v>
      </c>
      <c r="BV14" s="54">
        <v>124.56154282673947</v>
      </c>
      <c r="BW14" s="54">
        <v>139.95431201694333</v>
      </c>
      <c r="BX14" s="54">
        <v>137.11780742999161</v>
      </c>
      <c r="BY14" s="54">
        <v>134.14456060908219</v>
      </c>
      <c r="BZ14" s="54">
        <v>149.70142966817508</v>
      </c>
    </row>
    <row r="15" spans="1:78" hidden="1" outlineLevel="1">
      <c r="B15" s="220">
        <f t="shared" si="6"/>
        <v>8.9999999999999969E-2</v>
      </c>
      <c r="C15" s="211">
        <v>88.667658373397629</v>
      </c>
      <c r="D15" s="54">
        <v>103.55369430329792</v>
      </c>
      <c r="E15" s="54">
        <v>109.21177105201842</v>
      </c>
      <c r="F15" s="54">
        <v>123.88778701900928</v>
      </c>
      <c r="G15" s="54">
        <v>117.9526392604693</v>
      </c>
      <c r="H15" s="54">
        <v>131.07871436849345</v>
      </c>
      <c r="I15" s="54">
        <v>125.45725415267087</v>
      </c>
      <c r="J15" s="54">
        <v>119.32195191905164</v>
      </c>
      <c r="K15" s="54">
        <v>131.29043447422646</v>
      </c>
      <c r="M15" s="220">
        <f t="shared" si="7"/>
        <v>8.9999999999999969E-2</v>
      </c>
      <c r="N15" s="211">
        <v>88.667658373397629</v>
      </c>
      <c r="O15" s="54">
        <v>103.55369430329792</v>
      </c>
      <c r="P15" s="54">
        <v>109.21177105201842</v>
      </c>
      <c r="Q15" s="54">
        <v>123.88778701900928</v>
      </c>
      <c r="R15" s="54">
        <v>117.9526392604693</v>
      </c>
      <c r="S15" s="54">
        <v>131.07871436849345</v>
      </c>
      <c r="T15" s="54">
        <v>125.45725415267087</v>
      </c>
      <c r="U15" s="54">
        <v>119.32195191905164</v>
      </c>
      <c r="V15" s="54">
        <v>131.29043447422646</v>
      </c>
      <c r="X15" s="220">
        <f t="shared" si="8"/>
        <v>8.9999999999999969E-2</v>
      </c>
      <c r="Y15" s="211">
        <v>88.667658373397629</v>
      </c>
      <c r="Z15" s="54">
        <v>103.55369430329792</v>
      </c>
      <c r="AA15" s="54">
        <v>109.21177105201842</v>
      </c>
      <c r="AB15" s="54">
        <v>123.88778701900928</v>
      </c>
      <c r="AC15" s="54">
        <v>117.9526392604693</v>
      </c>
      <c r="AD15" s="54">
        <v>131.07871436849345</v>
      </c>
      <c r="AE15" s="54">
        <v>125.45725415267087</v>
      </c>
      <c r="AF15" s="54">
        <v>119.32195191905164</v>
      </c>
      <c r="AG15" s="54">
        <v>131.29043447422646</v>
      </c>
      <c r="AI15" s="220">
        <f t="shared" si="9"/>
        <v>8.9999999999999969E-2</v>
      </c>
      <c r="AJ15" s="211">
        <v>88.667658373397629</v>
      </c>
      <c r="AK15" s="54">
        <v>103.55369430329792</v>
      </c>
      <c r="AL15" s="54">
        <v>109.21177105201842</v>
      </c>
      <c r="AM15" s="54">
        <v>123.88778701900928</v>
      </c>
      <c r="AN15" s="54">
        <v>117.9526392604693</v>
      </c>
      <c r="AO15" s="54">
        <v>131.07871436849345</v>
      </c>
      <c r="AP15" s="54">
        <v>125.45725415267087</v>
      </c>
      <c r="AQ15" s="54">
        <v>119.32195191905164</v>
      </c>
      <c r="AR15" s="54">
        <v>131.29043447422646</v>
      </c>
      <c r="BF15" s="220">
        <f t="shared" si="10"/>
        <v>8.9999999999999969E-2</v>
      </c>
      <c r="BG15" s="211">
        <v>88.667658373397629</v>
      </c>
      <c r="BH15" s="54">
        <v>103.55369430329792</v>
      </c>
      <c r="BI15" s="54">
        <v>109.21177105201842</v>
      </c>
      <c r="BJ15" s="54">
        <v>123.88778701900928</v>
      </c>
      <c r="BK15" s="54">
        <v>117.9526392604693</v>
      </c>
      <c r="BL15" s="54">
        <v>131.07871436849345</v>
      </c>
      <c r="BM15" s="54">
        <v>125.45725415267087</v>
      </c>
      <c r="BN15" s="54">
        <v>119.32195191905164</v>
      </c>
      <c r="BO15" s="54">
        <v>131.29043447422646</v>
      </c>
      <c r="BQ15" s="220">
        <f t="shared" si="11"/>
        <v>8.9999999999999969E-2</v>
      </c>
      <c r="BR15" s="211">
        <v>88.667658373397629</v>
      </c>
      <c r="BS15" s="54">
        <v>103.55369430329792</v>
      </c>
      <c r="BT15" s="54">
        <v>109.21177105201842</v>
      </c>
      <c r="BU15" s="54">
        <v>123.88778701900928</v>
      </c>
      <c r="BV15" s="54">
        <v>117.9526392604693</v>
      </c>
      <c r="BW15" s="54">
        <v>131.07871436849345</v>
      </c>
      <c r="BX15" s="54">
        <v>125.45725415267087</v>
      </c>
      <c r="BY15" s="54">
        <v>119.32195191905164</v>
      </c>
      <c r="BZ15" s="54">
        <v>131.29043447422646</v>
      </c>
    </row>
    <row r="16" spans="1:78" hidden="1" outlineLevel="1">
      <c r="B16" s="220">
        <f t="shared" si="6"/>
        <v>7.9999999999999974E-2</v>
      </c>
      <c r="C16" s="211">
        <v>88.131998721720294</v>
      </c>
      <c r="D16" s="54">
        <v>101.8624571089708</v>
      </c>
      <c r="E16" s="54">
        <v>106.19700627391478</v>
      </c>
      <c r="F16" s="54">
        <v>119.37573901166155</v>
      </c>
      <c r="G16" s="54">
        <v>111.555979211024</v>
      </c>
      <c r="H16" s="54">
        <v>122.56441872067829</v>
      </c>
      <c r="I16" s="54">
        <v>114.36431563756766</v>
      </c>
      <c r="J16" s="54">
        <v>105.34582275870831</v>
      </c>
      <c r="K16" s="54">
        <v>114.09231743865685</v>
      </c>
      <c r="M16" s="220">
        <f t="shared" si="7"/>
        <v>7.9999999999999974E-2</v>
      </c>
      <c r="N16" s="211">
        <v>88.131998721720294</v>
      </c>
      <c r="O16" s="54">
        <v>101.8624571089708</v>
      </c>
      <c r="P16" s="54">
        <v>106.19700627391478</v>
      </c>
      <c r="Q16" s="54">
        <v>119.37573901166155</v>
      </c>
      <c r="R16" s="54">
        <v>111.555979211024</v>
      </c>
      <c r="S16" s="54">
        <v>122.56441872067829</v>
      </c>
      <c r="T16" s="54">
        <v>114.36431563756766</v>
      </c>
      <c r="U16" s="54">
        <v>105.34582275870831</v>
      </c>
      <c r="V16" s="54">
        <v>114.09231743865685</v>
      </c>
      <c r="X16" s="220">
        <f t="shared" si="8"/>
        <v>7.9999999999999974E-2</v>
      </c>
      <c r="Y16" s="211">
        <v>88.131998721720294</v>
      </c>
      <c r="Z16" s="54">
        <v>101.8624571089708</v>
      </c>
      <c r="AA16" s="54">
        <v>106.19700627391478</v>
      </c>
      <c r="AB16" s="54">
        <v>119.37573901166155</v>
      </c>
      <c r="AC16" s="54">
        <v>111.555979211024</v>
      </c>
      <c r="AD16" s="54">
        <v>122.56441872067829</v>
      </c>
      <c r="AE16" s="54">
        <v>114.36431563756766</v>
      </c>
      <c r="AF16" s="54">
        <v>105.34582275870831</v>
      </c>
      <c r="AG16" s="54">
        <v>114.09231743865685</v>
      </c>
      <c r="AI16" s="220">
        <f t="shared" si="9"/>
        <v>7.9999999999999974E-2</v>
      </c>
      <c r="AJ16" s="211">
        <v>88.131998721720294</v>
      </c>
      <c r="AK16" s="54">
        <v>101.8624571089708</v>
      </c>
      <c r="AL16" s="54">
        <v>106.19700627391478</v>
      </c>
      <c r="AM16" s="54">
        <v>119.37573901166155</v>
      </c>
      <c r="AN16" s="54">
        <v>111.555979211024</v>
      </c>
      <c r="AO16" s="54">
        <v>122.56441872067829</v>
      </c>
      <c r="AP16" s="54">
        <v>114.36431563756766</v>
      </c>
      <c r="AQ16" s="54">
        <v>105.34582275870831</v>
      </c>
      <c r="AR16" s="54">
        <v>114.09231743865685</v>
      </c>
      <c r="BF16" s="220">
        <f t="shared" si="10"/>
        <v>7.9999999999999974E-2</v>
      </c>
      <c r="BG16" s="211">
        <v>88.131998721720294</v>
      </c>
      <c r="BH16" s="54">
        <v>101.8624571089708</v>
      </c>
      <c r="BI16" s="54">
        <v>106.19700627391478</v>
      </c>
      <c r="BJ16" s="54">
        <v>119.37573901166155</v>
      </c>
      <c r="BK16" s="54">
        <v>111.555979211024</v>
      </c>
      <c r="BL16" s="54">
        <v>122.56441872067829</v>
      </c>
      <c r="BM16" s="54">
        <v>114.36431563756766</v>
      </c>
      <c r="BN16" s="54">
        <v>105.34582275870831</v>
      </c>
      <c r="BO16" s="54">
        <v>114.09231743865685</v>
      </c>
      <c r="BQ16" s="220">
        <f t="shared" si="11"/>
        <v>7.9999999999999974E-2</v>
      </c>
      <c r="BR16" s="211">
        <v>88.131998721720294</v>
      </c>
      <c r="BS16" s="54">
        <v>101.8624571089708</v>
      </c>
      <c r="BT16" s="54">
        <v>106.19700627391478</v>
      </c>
      <c r="BU16" s="54">
        <v>119.37573901166155</v>
      </c>
      <c r="BV16" s="54">
        <v>111.555979211024</v>
      </c>
      <c r="BW16" s="54">
        <v>122.56441872067829</v>
      </c>
      <c r="BX16" s="54">
        <v>114.36431563756766</v>
      </c>
      <c r="BY16" s="54">
        <v>105.34582275870831</v>
      </c>
      <c r="BZ16" s="54">
        <v>114.09231743865685</v>
      </c>
    </row>
    <row r="17" spans="1:78" hidden="1" outlineLevel="1">
      <c r="B17" s="31"/>
      <c r="M17" s="31"/>
      <c r="X17" s="31"/>
      <c r="AI17" s="31"/>
      <c r="BF17" s="31"/>
      <c r="BQ17" s="31"/>
    </row>
    <row r="18" spans="1:78" hidden="1" outlineLevel="1">
      <c r="B18" s="31"/>
      <c r="M18" s="31"/>
      <c r="X18" s="31"/>
      <c r="AI18" s="31"/>
      <c r="BF18" s="31"/>
      <c r="BQ18" s="31"/>
    </row>
    <row r="19" spans="1:78" ht="33" hidden="1" customHeight="1" outlineLevel="1">
      <c r="A19" s="407" t="s">
        <v>19</v>
      </c>
      <c r="B19" s="503" t="s">
        <v>20</v>
      </c>
      <c r="C19" s="504"/>
      <c r="D19" s="504"/>
      <c r="E19" s="504"/>
      <c r="F19" s="504"/>
      <c r="G19" s="504"/>
      <c r="H19" s="504"/>
      <c r="I19" s="504"/>
      <c r="J19" s="504"/>
      <c r="K19" s="504"/>
      <c r="M19" s="503" t="s">
        <v>20</v>
      </c>
      <c r="N19" s="504"/>
      <c r="O19" s="504"/>
      <c r="P19" s="504"/>
      <c r="Q19" s="504"/>
      <c r="R19" s="504"/>
      <c r="S19" s="504"/>
      <c r="T19" s="504"/>
      <c r="U19" s="504"/>
      <c r="V19" s="504"/>
      <c r="X19" s="503" t="s">
        <v>20</v>
      </c>
      <c r="Y19" s="504"/>
      <c r="Z19" s="504"/>
      <c r="AA19" s="504"/>
      <c r="AB19" s="504"/>
      <c r="AC19" s="504"/>
      <c r="AD19" s="504"/>
      <c r="AE19" s="504"/>
      <c r="AF19" s="504"/>
      <c r="AG19" s="504"/>
      <c r="AI19" s="503" t="s">
        <v>20</v>
      </c>
      <c r="AJ19" s="504"/>
      <c r="AK19" s="504"/>
      <c r="AL19" s="504"/>
      <c r="AM19" s="504"/>
      <c r="AN19" s="504"/>
      <c r="AO19" s="504"/>
      <c r="AP19" s="504"/>
      <c r="AQ19" s="504"/>
      <c r="AR19" s="504"/>
      <c r="BF19" s="503" t="s">
        <v>20</v>
      </c>
      <c r="BG19" s="504"/>
      <c r="BH19" s="504"/>
      <c r="BI19" s="504"/>
      <c r="BJ19" s="504"/>
      <c r="BK19" s="504"/>
      <c r="BL19" s="504"/>
      <c r="BM19" s="504"/>
      <c r="BN19" s="504"/>
      <c r="BO19" s="504"/>
      <c r="BQ19" s="503" t="s">
        <v>20</v>
      </c>
      <c r="BR19" s="504"/>
      <c r="BS19" s="504"/>
      <c r="BT19" s="504"/>
      <c r="BU19" s="504"/>
      <c r="BV19" s="504"/>
      <c r="BW19" s="504"/>
      <c r="BX19" s="504"/>
      <c r="BY19" s="504"/>
      <c r="BZ19" s="504"/>
    </row>
    <row r="20" spans="1:78" hidden="1" outlineLevel="1">
      <c r="C20" s="217">
        <v>2</v>
      </c>
      <c r="D20" s="217">
        <f>C20+1</f>
        <v>3</v>
      </c>
      <c r="E20" s="217">
        <f t="shared" ref="E20:K20" si="12">D20+1</f>
        <v>4</v>
      </c>
      <c r="F20" s="217">
        <f t="shared" si="12"/>
        <v>5</v>
      </c>
      <c r="G20" s="217">
        <f t="shared" si="12"/>
        <v>6</v>
      </c>
      <c r="H20" s="217">
        <f t="shared" si="12"/>
        <v>7</v>
      </c>
      <c r="I20" s="217">
        <f t="shared" si="12"/>
        <v>8</v>
      </c>
      <c r="J20" s="217">
        <f t="shared" si="12"/>
        <v>9</v>
      </c>
      <c r="K20" s="217">
        <f t="shared" si="12"/>
        <v>10</v>
      </c>
      <c r="N20" s="217">
        <v>2</v>
      </c>
      <c r="O20" s="217">
        <f t="shared" ref="O20:V20" si="13">N20+1</f>
        <v>3</v>
      </c>
      <c r="P20" s="217">
        <f t="shared" si="13"/>
        <v>4</v>
      </c>
      <c r="Q20" s="217">
        <f t="shared" si="13"/>
        <v>5</v>
      </c>
      <c r="R20" s="217">
        <f t="shared" si="13"/>
        <v>6</v>
      </c>
      <c r="S20" s="217">
        <f t="shared" si="13"/>
        <v>7</v>
      </c>
      <c r="T20" s="217">
        <f t="shared" si="13"/>
        <v>8</v>
      </c>
      <c r="U20" s="217">
        <f t="shared" si="13"/>
        <v>9</v>
      </c>
      <c r="V20" s="217">
        <f t="shared" si="13"/>
        <v>10</v>
      </c>
      <c r="Y20" s="217">
        <v>2</v>
      </c>
      <c r="Z20" s="217">
        <f t="shared" ref="Z20:AG20" si="14">Y20+1</f>
        <v>3</v>
      </c>
      <c r="AA20" s="217">
        <f t="shared" si="14"/>
        <v>4</v>
      </c>
      <c r="AB20" s="217">
        <f t="shared" si="14"/>
        <v>5</v>
      </c>
      <c r="AC20" s="217">
        <f t="shared" si="14"/>
        <v>6</v>
      </c>
      <c r="AD20" s="217">
        <f t="shared" si="14"/>
        <v>7</v>
      </c>
      <c r="AE20" s="217">
        <f t="shared" si="14"/>
        <v>8</v>
      </c>
      <c r="AF20" s="217">
        <f t="shared" si="14"/>
        <v>9</v>
      </c>
      <c r="AG20" s="217">
        <f t="shared" si="14"/>
        <v>10</v>
      </c>
      <c r="AJ20" s="217">
        <v>2</v>
      </c>
      <c r="AK20" s="217">
        <f t="shared" ref="AK20:AR20" si="15">AJ20+1</f>
        <v>3</v>
      </c>
      <c r="AL20" s="217">
        <f t="shared" si="15"/>
        <v>4</v>
      </c>
      <c r="AM20" s="217">
        <f t="shared" si="15"/>
        <v>5</v>
      </c>
      <c r="AN20" s="217">
        <f t="shared" si="15"/>
        <v>6</v>
      </c>
      <c r="AO20" s="217">
        <f t="shared" si="15"/>
        <v>7</v>
      </c>
      <c r="AP20" s="217">
        <f t="shared" si="15"/>
        <v>8</v>
      </c>
      <c r="AQ20" s="217">
        <f t="shared" si="15"/>
        <v>9</v>
      </c>
      <c r="AR20" s="217">
        <f t="shared" si="15"/>
        <v>10</v>
      </c>
      <c r="BG20" s="217">
        <v>2</v>
      </c>
      <c r="BH20" s="217">
        <f t="shared" ref="BH20:BO20" si="16">BG20+1</f>
        <v>3</v>
      </c>
      <c r="BI20" s="217">
        <f t="shared" si="16"/>
        <v>4</v>
      </c>
      <c r="BJ20" s="217">
        <f t="shared" si="16"/>
        <v>5</v>
      </c>
      <c r="BK20" s="217">
        <f t="shared" si="16"/>
        <v>6</v>
      </c>
      <c r="BL20" s="217">
        <f t="shared" si="16"/>
        <v>7</v>
      </c>
      <c r="BM20" s="217">
        <f t="shared" si="16"/>
        <v>8</v>
      </c>
      <c r="BN20" s="217">
        <f t="shared" si="16"/>
        <v>9</v>
      </c>
      <c r="BO20" s="217">
        <f t="shared" si="16"/>
        <v>10</v>
      </c>
      <c r="BR20" s="217">
        <v>2</v>
      </c>
      <c r="BS20" s="217">
        <f t="shared" ref="BS20:BZ20" si="17">BR20+1</f>
        <v>3</v>
      </c>
      <c r="BT20" s="217">
        <f t="shared" si="17"/>
        <v>4</v>
      </c>
      <c r="BU20" s="217">
        <f t="shared" si="17"/>
        <v>5</v>
      </c>
      <c r="BV20" s="217">
        <f t="shared" si="17"/>
        <v>6</v>
      </c>
      <c r="BW20" s="217">
        <f t="shared" si="17"/>
        <v>7</v>
      </c>
      <c r="BX20" s="217">
        <f t="shared" si="17"/>
        <v>8</v>
      </c>
      <c r="BY20" s="217">
        <f t="shared" si="17"/>
        <v>9</v>
      </c>
      <c r="BZ20" s="217">
        <f t="shared" si="17"/>
        <v>10</v>
      </c>
    </row>
    <row r="21" spans="1:78" hidden="1" outlineLevel="1">
      <c r="B21" s="218">
        <v>0.2</v>
      </c>
      <c r="C21" s="212">
        <v>67.33928815928644</v>
      </c>
      <c r="D21" s="213">
        <v>100.71381898746998</v>
      </c>
      <c r="E21" s="213">
        <v>118.07729960178654</v>
      </c>
      <c r="F21" s="213">
        <v>120.91285075771142</v>
      </c>
      <c r="G21" s="213">
        <v>122.75247626310409</v>
      </c>
      <c r="H21" s="213">
        <v>132.85457861552536</v>
      </c>
      <c r="I21" s="213">
        <v>148.61658664131818</v>
      </c>
      <c r="J21" s="213">
        <v>172.4133588712474</v>
      </c>
      <c r="K21" s="213">
        <v>244.34474600379141</v>
      </c>
      <c r="M21" s="218">
        <v>0.2</v>
      </c>
      <c r="N21" s="212">
        <v>67.33928815928644</v>
      </c>
      <c r="O21" s="213">
        <v>100.71381898746998</v>
      </c>
      <c r="P21" s="213">
        <v>118.07729960178654</v>
      </c>
      <c r="Q21" s="213">
        <v>120.91285075771142</v>
      </c>
      <c r="R21" s="213">
        <v>122.75247626310409</v>
      </c>
      <c r="S21" s="213">
        <v>132.85457861552536</v>
      </c>
      <c r="T21" s="213">
        <v>148.61658664131818</v>
      </c>
      <c r="U21" s="213">
        <v>172.4133588712474</v>
      </c>
      <c r="V21" s="213">
        <v>244.34474600379141</v>
      </c>
      <c r="X21" s="218">
        <v>0.2</v>
      </c>
      <c r="Y21" s="212">
        <v>67.33928815928644</v>
      </c>
      <c r="Z21" s="213">
        <v>100.71381898746998</v>
      </c>
      <c r="AA21" s="213">
        <v>118.07729960178654</v>
      </c>
      <c r="AB21" s="213">
        <v>120.91285075771142</v>
      </c>
      <c r="AC21" s="213">
        <v>122.75247626310409</v>
      </c>
      <c r="AD21" s="213">
        <v>132.85457861552536</v>
      </c>
      <c r="AE21" s="213">
        <v>148.61658664131818</v>
      </c>
      <c r="AF21" s="213">
        <v>172.4133588712474</v>
      </c>
      <c r="AG21" s="213">
        <v>244.34474600379141</v>
      </c>
      <c r="AI21" s="218">
        <v>0.2</v>
      </c>
      <c r="AJ21" s="212">
        <v>67.33928815928644</v>
      </c>
      <c r="AK21" s="213">
        <v>100.71381898746998</v>
      </c>
      <c r="AL21" s="213">
        <v>118.07729960178654</v>
      </c>
      <c r="AM21" s="213">
        <v>120.91285075771142</v>
      </c>
      <c r="AN21" s="213">
        <v>122.75247626310409</v>
      </c>
      <c r="AO21" s="213">
        <v>132.85457861552536</v>
      </c>
      <c r="AP21" s="213">
        <v>148.61658664131818</v>
      </c>
      <c r="AQ21" s="213">
        <v>172.4133588712474</v>
      </c>
      <c r="AR21" s="213">
        <v>244.34474600379141</v>
      </c>
      <c r="BF21" s="218">
        <v>0.2</v>
      </c>
      <c r="BG21" s="212">
        <v>67.33928815928644</v>
      </c>
      <c r="BH21" s="213">
        <v>100.71381898746998</v>
      </c>
      <c r="BI21" s="213">
        <v>118.07729960178654</v>
      </c>
      <c r="BJ21" s="213">
        <v>120.91285075771142</v>
      </c>
      <c r="BK21" s="213">
        <v>122.75247626310409</v>
      </c>
      <c r="BL21" s="213">
        <v>132.85457861552536</v>
      </c>
      <c r="BM21" s="213">
        <v>148.61658664131818</v>
      </c>
      <c r="BN21" s="213">
        <v>172.4133588712474</v>
      </c>
      <c r="BO21" s="213">
        <v>244.34474600379141</v>
      </c>
      <c r="BQ21" s="218">
        <v>0.2</v>
      </c>
      <c r="BR21" s="212">
        <v>67.33928815928644</v>
      </c>
      <c r="BS21" s="213">
        <v>100.71381898746998</v>
      </c>
      <c r="BT21" s="213">
        <v>118.07729960178654</v>
      </c>
      <c r="BU21" s="213">
        <v>120.91285075771142</v>
      </c>
      <c r="BV21" s="213">
        <v>122.75247626310409</v>
      </c>
      <c r="BW21" s="213">
        <v>132.85457861552536</v>
      </c>
      <c r="BX21" s="213">
        <v>148.61658664131818</v>
      </c>
      <c r="BY21" s="213">
        <v>172.4133588712474</v>
      </c>
      <c r="BZ21" s="213">
        <v>244.34474600379141</v>
      </c>
    </row>
    <row r="22" spans="1:78" hidden="1" outlineLevel="1">
      <c r="B22" s="218">
        <f>B21-1%</f>
        <v>0.19</v>
      </c>
      <c r="C22" s="211">
        <v>66.80356481434147</v>
      </c>
      <c r="D22" s="54">
        <v>98.90479237393879</v>
      </c>
      <c r="E22" s="54">
        <v>114.5417195906582</v>
      </c>
      <c r="F22" s="54">
        <v>115.08718274410478</v>
      </c>
      <c r="G22" s="54">
        <v>113.72282371376019</v>
      </c>
      <c r="H22" s="54">
        <v>119.64792975485616</v>
      </c>
      <c r="I22" s="54">
        <v>129.78944448657558</v>
      </c>
      <c r="J22" s="54">
        <v>146.36330273708205</v>
      </c>
      <c r="K22" s="54">
        <v>209.0324036899348</v>
      </c>
      <c r="M22" s="218">
        <f>M21-1%</f>
        <v>0.19</v>
      </c>
      <c r="N22" s="211">
        <v>66.80356481434147</v>
      </c>
      <c r="O22" s="54">
        <v>98.90479237393879</v>
      </c>
      <c r="P22" s="54">
        <v>114.5417195906582</v>
      </c>
      <c r="Q22" s="54">
        <v>115.08718274410478</v>
      </c>
      <c r="R22" s="54">
        <v>113.72282371376019</v>
      </c>
      <c r="S22" s="54">
        <v>119.64792975485616</v>
      </c>
      <c r="T22" s="54">
        <v>129.78944448657558</v>
      </c>
      <c r="U22" s="54">
        <v>146.36330273708205</v>
      </c>
      <c r="V22" s="54">
        <v>209.0324036899348</v>
      </c>
      <c r="X22" s="218">
        <f>X21-1%</f>
        <v>0.19</v>
      </c>
      <c r="Y22" s="211">
        <v>66.80356481434147</v>
      </c>
      <c r="Z22" s="54">
        <v>98.90479237393879</v>
      </c>
      <c r="AA22" s="54">
        <v>114.5417195906582</v>
      </c>
      <c r="AB22" s="54">
        <v>115.08718274410478</v>
      </c>
      <c r="AC22" s="54">
        <v>113.72282371376019</v>
      </c>
      <c r="AD22" s="54">
        <v>119.64792975485616</v>
      </c>
      <c r="AE22" s="54">
        <v>129.78944448657558</v>
      </c>
      <c r="AF22" s="54">
        <v>146.36330273708205</v>
      </c>
      <c r="AG22" s="54">
        <v>209.0324036899348</v>
      </c>
      <c r="AI22" s="218">
        <f>AI21-1%</f>
        <v>0.19</v>
      </c>
      <c r="AJ22" s="211">
        <v>66.80356481434147</v>
      </c>
      <c r="AK22" s="54">
        <v>98.90479237393879</v>
      </c>
      <c r="AL22" s="54">
        <v>114.5417195906582</v>
      </c>
      <c r="AM22" s="54">
        <v>115.08718274410478</v>
      </c>
      <c r="AN22" s="54">
        <v>113.72282371376019</v>
      </c>
      <c r="AO22" s="54">
        <v>119.64792975485616</v>
      </c>
      <c r="AP22" s="54">
        <v>129.78944448657558</v>
      </c>
      <c r="AQ22" s="54">
        <v>146.36330273708205</v>
      </c>
      <c r="AR22" s="54">
        <v>209.0324036899348</v>
      </c>
      <c r="BF22" s="218">
        <f>BF21-1%</f>
        <v>0.19</v>
      </c>
      <c r="BG22" s="211">
        <v>66.80356481434147</v>
      </c>
      <c r="BH22" s="54">
        <v>98.90479237393879</v>
      </c>
      <c r="BI22" s="54">
        <v>114.5417195906582</v>
      </c>
      <c r="BJ22" s="54">
        <v>115.08718274410478</v>
      </c>
      <c r="BK22" s="54">
        <v>113.72282371376019</v>
      </c>
      <c r="BL22" s="54">
        <v>119.64792975485616</v>
      </c>
      <c r="BM22" s="54">
        <v>129.78944448657558</v>
      </c>
      <c r="BN22" s="54">
        <v>146.36330273708205</v>
      </c>
      <c r="BO22" s="54">
        <v>209.0324036899348</v>
      </c>
      <c r="BQ22" s="218">
        <f>BQ21-1%</f>
        <v>0.19</v>
      </c>
      <c r="BR22" s="211">
        <v>66.80356481434147</v>
      </c>
      <c r="BS22" s="54">
        <v>98.90479237393879</v>
      </c>
      <c r="BT22" s="54">
        <v>114.5417195906582</v>
      </c>
      <c r="BU22" s="54">
        <v>115.08718274410478</v>
      </c>
      <c r="BV22" s="54">
        <v>113.72282371376019</v>
      </c>
      <c r="BW22" s="54">
        <v>119.64792975485616</v>
      </c>
      <c r="BX22" s="54">
        <v>129.78944448657558</v>
      </c>
      <c r="BY22" s="54">
        <v>146.36330273708205</v>
      </c>
      <c r="BZ22" s="54">
        <v>209.0324036899348</v>
      </c>
    </row>
    <row r="23" spans="1:78" hidden="1" outlineLevel="1">
      <c r="B23" s="218">
        <f t="shared" ref="B23:B33" si="18">B22-1%</f>
        <v>0.18</v>
      </c>
      <c r="C23" s="211">
        <v>66.267845902809938</v>
      </c>
      <c r="D23" s="54">
        <v>97.106576291841947</v>
      </c>
      <c r="E23" s="54">
        <v>111.05483379704808</v>
      </c>
      <c r="F23" s="54">
        <v>109.38963113749512</v>
      </c>
      <c r="G23" s="54">
        <v>104.96063734277303</v>
      </c>
      <c r="H23" s="54">
        <v>106.93835060870506</v>
      </c>
      <c r="I23" s="54">
        <v>111.81434766052021</v>
      </c>
      <c r="J23" s="54">
        <v>121.69150093683709</v>
      </c>
      <c r="K23" s="54">
        <v>175.87192745384115</v>
      </c>
      <c r="M23" s="218">
        <f t="shared" ref="M23:M33" si="19">M22-1%</f>
        <v>0.18</v>
      </c>
      <c r="N23" s="211">
        <v>66.267845902809938</v>
      </c>
      <c r="O23" s="54">
        <v>97.106576291841947</v>
      </c>
      <c r="P23" s="54">
        <v>111.05483379704808</v>
      </c>
      <c r="Q23" s="54">
        <v>109.38963113749512</v>
      </c>
      <c r="R23" s="54">
        <v>104.96063734277303</v>
      </c>
      <c r="S23" s="54">
        <v>106.93835060870506</v>
      </c>
      <c r="T23" s="54">
        <v>111.81434766052021</v>
      </c>
      <c r="U23" s="54">
        <v>121.69150093683709</v>
      </c>
      <c r="V23" s="54">
        <v>175.87192745384115</v>
      </c>
      <c r="X23" s="218">
        <f t="shared" ref="X23:X33" si="20">X22-1%</f>
        <v>0.18</v>
      </c>
      <c r="Y23" s="211">
        <v>66.267845902809938</v>
      </c>
      <c r="Z23" s="54">
        <v>97.106576291841947</v>
      </c>
      <c r="AA23" s="54">
        <v>111.05483379704808</v>
      </c>
      <c r="AB23" s="54">
        <v>109.38963113749512</v>
      </c>
      <c r="AC23" s="54">
        <v>104.96063734277303</v>
      </c>
      <c r="AD23" s="54">
        <v>106.93835060870506</v>
      </c>
      <c r="AE23" s="54">
        <v>111.81434766052021</v>
      </c>
      <c r="AF23" s="54">
        <v>121.69150093683709</v>
      </c>
      <c r="AG23" s="54">
        <v>175.87192745384115</v>
      </c>
      <c r="AI23" s="218">
        <f t="shared" ref="AI23:AI33" si="21">AI22-1%</f>
        <v>0.18</v>
      </c>
      <c r="AJ23" s="211">
        <v>66.267845902809938</v>
      </c>
      <c r="AK23" s="54">
        <v>97.106576291841947</v>
      </c>
      <c r="AL23" s="54">
        <v>111.05483379704808</v>
      </c>
      <c r="AM23" s="54">
        <v>109.38963113749512</v>
      </c>
      <c r="AN23" s="54">
        <v>104.96063734277303</v>
      </c>
      <c r="AO23" s="54">
        <v>106.93835060870506</v>
      </c>
      <c r="AP23" s="54">
        <v>111.81434766052021</v>
      </c>
      <c r="AQ23" s="54">
        <v>121.69150093683709</v>
      </c>
      <c r="AR23" s="54">
        <v>175.87192745384115</v>
      </c>
      <c r="BF23" s="218">
        <f t="shared" ref="BF23:BF33" si="22">BF22-1%</f>
        <v>0.18</v>
      </c>
      <c r="BG23" s="211">
        <v>66.267845902809938</v>
      </c>
      <c r="BH23" s="54">
        <v>97.106576291841947</v>
      </c>
      <c r="BI23" s="54">
        <v>111.05483379704808</v>
      </c>
      <c r="BJ23" s="54">
        <v>109.38963113749512</v>
      </c>
      <c r="BK23" s="54">
        <v>104.96063734277303</v>
      </c>
      <c r="BL23" s="54">
        <v>106.93835060870506</v>
      </c>
      <c r="BM23" s="54">
        <v>111.81434766052021</v>
      </c>
      <c r="BN23" s="54">
        <v>121.69150093683709</v>
      </c>
      <c r="BO23" s="54">
        <v>175.87192745384115</v>
      </c>
      <c r="BQ23" s="218">
        <f t="shared" ref="BQ23:BQ33" si="23">BQ22-1%</f>
        <v>0.18</v>
      </c>
      <c r="BR23" s="211">
        <v>66.267845902809938</v>
      </c>
      <c r="BS23" s="54">
        <v>97.106576291841947</v>
      </c>
      <c r="BT23" s="54">
        <v>111.05483379704808</v>
      </c>
      <c r="BU23" s="54">
        <v>109.38963113749512</v>
      </c>
      <c r="BV23" s="54">
        <v>104.96063734277303</v>
      </c>
      <c r="BW23" s="54">
        <v>106.93835060870506</v>
      </c>
      <c r="BX23" s="54">
        <v>111.81434766052021</v>
      </c>
      <c r="BY23" s="54">
        <v>121.69150093683709</v>
      </c>
      <c r="BZ23" s="54">
        <v>175.87192745384115</v>
      </c>
    </row>
    <row r="24" spans="1:78" hidden="1" outlineLevel="1">
      <c r="A24" s="407" t="s">
        <v>21</v>
      </c>
      <c r="B24" s="218">
        <f t="shared" si="18"/>
        <v>0.16999999999999998</v>
      </c>
      <c r="C24" s="211">
        <v>65.7321836428804</v>
      </c>
      <c r="D24" s="54">
        <v>95.318930992571211</v>
      </c>
      <c r="E24" s="54">
        <v>107.61642906089546</v>
      </c>
      <c r="F24" s="54">
        <v>103.81833833854702</v>
      </c>
      <c r="G24" s="54">
        <v>96.461041252037262</v>
      </c>
      <c r="H24" s="54">
        <v>94.710112105628326</v>
      </c>
      <c r="I24" s="54">
        <v>94.659539301802113</v>
      </c>
      <c r="J24" s="54">
        <v>98.337777389334576</v>
      </c>
      <c r="K24" s="54">
        <v>144.7493642720772</v>
      </c>
      <c r="M24" s="218">
        <f t="shared" si="19"/>
        <v>0.16999999999999998</v>
      </c>
      <c r="N24" s="211">
        <v>65.7321836428804</v>
      </c>
      <c r="O24" s="54">
        <v>95.318930992571211</v>
      </c>
      <c r="P24" s="54">
        <v>107.61642906089546</v>
      </c>
      <c r="Q24" s="54">
        <v>103.81833833854702</v>
      </c>
      <c r="R24" s="54">
        <v>96.461041252037262</v>
      </c>
      <c r="S24" s="54">
        <v>94.710112105628326</v>
      </c>
      <c r="T24" s="54">
        <v>94.659539301802113</v>
      </c>
      <c r="U24" s="54">
        <v>98.337777389334576</v>
      </c>
      <c r="V24" s="54">
        <v>144.7493642720772</v>
      </c>
      <c r="X24" s="218">
        <f t="shared" si="20"/>
        <v>0.16999999999999998</v>
      </c>
      <c r="Y24" s="211">
        <v>65.7321836428804</v>
      </c>
      <c r="Z24" s="54">
        <v>95.318930992571211</v>
      </c>
      <c r="AA24" s="54">
        <v>107.61642906089546</v>
      </c>
      <c r="AB24" s="54">
        <v>103.81833833854702</v>
      </c>
      <c r="AC24" s="54">
        <v>96.461041252037262</v>
      </c>
      <c r="AD24" s="54">
        <v>94.710112105628326</v>
      </c>
      <c r="AE24" s="54">
        <v>94.659539301802113</v>
      </c>
      <c r="AF24" s="54">
        <v>98.337777389334576</v>
      </c>
      <c r="AG24" s="54">
        <v>144.7493642720772</v>
      </c>
      <c r="AI24" s="218">
        <f t="shared" si="21"/>
        <v>0.16999999999999998</v>
      </c>
      <c r="AJ24" s="211">
        <v>65.7321836428804</v>
      </c>
      <c r="AK24" s="54">
        <v>95.318930992571211</v>
      </c>
      <c r="AL24" s="54">
        <v>107.61642906089546</v>
      </c>
      <c r="AM24" s="54">
        <v>103.81833833854702</v>
      </c>
      <c r="AN24" s="54">
        <v>96.461041252037262</v>
      </c>
      <c r="AO24" s="54">
        <v>94.710112105628326</v>
      </c>
      <c r="AP24" s="54">
        <v>94.659539301802113</v>
      </c>
      <c r="AQ24" s="54">
        <v>98.337777389334576</v>
      </c>
      <c r="AR24" s="54">
        <v>144.7493642720772</v>
      </c>
      <c r="BF24" s="218">
        <f t="shared" si="22"/>
        <v>0.16999999999999998</v>
      </c>
      <c r="BG24" s="211">
        <v>65.7321836428804</v>
      </c>
      <c r="BH24" s="54">
        <v>95.318930992571211</v>
      </c>
      <c r="BI24" s="54">
        <v>107.61642906089546</v>
      </c>
      <c r="BJ24" s="54">
        <v>103.81833833854702</v>
      </c>
      <c r="BK24" s="54">
        <v>96.461041252037262</v>
      </c>
      <c r="BL24" s="54">
        <v>94.710112105628326</v>
      </c>
      <c r="BM24" s="54">
        <v>94.659539301802113</v>
      </c>
      <c r="BN24" s="54">
        <v>98.337777389334576</v>
      </c>
      <c r="BO24" s="54">
        <v>144.7493642720772</v>
      </c>
      <c r="BQ24" s="218">
        <f t="shared" si="23"/>
        <v>0.16999999999999998</v>
      </c>
      <c r="BR24" s="211">
        <v>65.7321836428804</v>
      </c>
      <c r="BS24" s="54">
        <v>95.318930992571211</v>
      </c>
      <c r="BT24" s="54">
        <v>107.61642906089546</v>
      </c>
      <c r="BU24" s="54">
        <v>103.81833833854702</v>
      </c>
      <c r="BV24" s="54">
        <v>96.461041252037262</v>
      </c>
      <c r="BW24" s="54">
        <v>94.710112105628326</v>
      </c>
      <c r="BX24" s="54">
        <v>94.659539301802113</v>
      </c>
      <c r="BY24" s="54">
        <v>98.337777389334576</v>
      </c>
      <c r="BZ24" s="54">
        <v>144.7493642720772</v>
      </c>
    </row>
    <row r="25" spans="1:78" hidden="1" outlineLevel="1">
      <c r="B25" s="218">
        <f t="shared" si="18"/>
        <v>0.15999999999999998</v>
      </c>
      <c r="C25" s="211">
        <v>65.196473714226016</v>
      </c>
      <c r="D25" s="54">
        <v>93.542116229367167</v>
      </c>
      <c r="E25" s="54">
        <v>104.22678354931642</v>
      </c>
      <c r="F25" s="54">
        <v>98.372550621024601</v>
      </c>
      <c r="G25" s="54">
        <v>88.217441458502293</v>
      </c>
      <c r="H25" s="54">
        <v>82.949234476229435</v>
      </c>
      <c r="I25" s="54">
        <v>78.290957397644377</v>
      </c>
      <c r="J25" s="54">
        <v>76.242478245997887</v>
      </c>
      <c r="K25" s="54">
        <v>115.54940650363355</v>
      </c>
      <c r="M25" s="218">
        <f t="shared" si="19"/>
        <v>0.15999999999999998</v>
      </c>
      <c r="N25" s="211">
        <v>65.196473714226016</v>
      </c>
      <c r="O25" s="54">
        <v>93.542116229367167</v>
      </c>
      <c r="P25" s="54">
        <v>104.22678354931642</v>
      </c>
      <c r="Q25" s="54">
        <v>98.372550621024601</v>
      </c>
      <c r="R25" s="54">
        <v>88.217441458502293</v>
      </c>
      <c r="S25" s="54">
        <v>82.949234476229435</v>
      </c>
      <c r="T25" s="54">
        <v>78.290957397644377</v>
      </c>
      <c r="U25" s="54">
        <v>76.242478245997887</v>
      </c>
      <c r="V25" s="54">
        <v>115.54940650363355</v>
      </c>
      <c r="X25" s="218">
        <f t="shared" si="20"/>
        <v>0.15999999999999998</v>
      </c>
      <c r="Y25" s="211">
        <v>65.196473714226016</v>
      </c>
      <c r="Z25" s="54">
        <v>93.542116229367167</v>
      </c>
      <c r="AA25" s="54">
        <v>104.22678354931642</v>
      </c>
      <c r="AB25" s="54">
        <v>98.372550621024601</v>
      </c>
      <c r="AC25" s="54">
        <v>88.217441458502293</v>
      </c>
      <c r="AD25" s="54">
        <v>82.949234476229435</v>
      </c>
      <c r="AE25" s="54">
        <v>78.290957397644377</v>
      </c>
      <c r="AF25" s="54">
        <v>76.242478245997887</v>
      </c>
      <c r="AG25" s="54">
        <v>115.54940650363355</v>
      </c>
      <c r="AI25" s="218">
        <f t="shared" si="21"/>
        <v>0.15999999999999998</v>
      </c>
      <c r="AJ25" s="211">
        <v>65.196473714226016</v>
      </c>
      <c r="AK25" s="54">
        <v>93.542116229367167</v>
      </c>
      <c r="AL25" s="54">
        <v>104.22678354931642</v>
      </c>
      <c r="AM25" s="54">
        <v>98.372550621024601</v>
      </c>
      <c r="AN25" s="54">
        <v>88.217441458502293</v>
      </c>
      <c r="AO25" s="54">
        <v>82.949234476229435</v>
      </c>
      <c r="AP25" s="54">
        <v>78.290957397644377</v>
      </c>
      <c r="AQ25" s="54">
        <v>76.242478245997887</v>
      </c>
      <c r="AR25" s="54">
        <v>115.54940650363355</v>
      </c>
      <c r="BF25" s="218">
        <f t="shared" si="22"/>
        <v>0.15999999999999998</v>
      </c>
      <c r="BG25" s="211">
        <v>65.196473714226016</v>
      </c>
      <c r="BH25" s="54">
        <v>93.542116229367167</v>
      </c>
      <c r="BI25" s="54">
        <v>104.22678354931642</v>
      </c>
      <c r="BJ25" s="54">
        <v>98.372550621024601</v>
      </c>
      <c r="BK25" s="54">
        <v>88.217441458502293</v>
      </c>
      <c r="BL25" s="54">
        <v>82.949234476229435</v>
      </c>
      <c r="BM25" s="54">
        <v>78.290957397644377</v>
      </c>
      <c r="BN25" s="54">
        <v>76.242478245997887</v>
      </c>
      <c r="BO25" s="54">
        <v>115.54940650363355</v>
      </c>
      <c r="BQ25" s="218">
        <f t="shared" si="23"/>
        <v>0.15999999999999998</v>
      </c>
      <c r="BR25" s="211">
        <v>65.196473714226016</v>
      </c>
      <c r="BS25" s="54">
        <v>93.542116229367167</v>
      </c>
      <c r="BT25" s="54">
        <v>104.22678354931642</v>
      </c>
      <c r="BU25" s="54">
        <v>98.372550621024601</v>
      </c>
      <c r="BV25" s="54">
        <v>88.217441458502293</v>
      </c>
      <c r="BW25" s="54">
        <v>82.949234476229435</v>
      </c>
      <c r="BX25" s="54">
        <v>78.290957397644377</v>
      </c>
      <c r="BY25" s="54">
        <v>76.242478245997887</v>
      </c>
      <c r="BZ25" s="54">
        <v>115.54940650363355</v>
      </c>
    </row>
    <row r="26" spans="1:78" hidden="1" outlineLevel="1">
      <c r="B26" s="218">
        <f t="shared" si="18"/>
        <v>0.14999999999999997</v>
      </c>
      <c r="C26" s="211">
        <v>64.66075883212018</v>
      </c>
      <c r="D26" s="54">
        <v>91.776055134984745</v>
      </c>
      <c r="E26" s="54">
        <v>100.88489200298767</v>
      </c>
      <c r="F26" s="54">
        <v>93.049116027597449</v>
      </c>
      <c r="G26" s="54">
        <v>80.224094961917501</v>
      </c>
      <c r="H26" s="54">
        <v>71.641776250973834</v>
      </c>
      <c r="I26" s="54">
        <v>62.680547872102011</v>
      </c>
      <c r="J26" s="54">
        <v>55.345046833948516</v>
      </c>
      <c r="K26" s="54">
        <v>88.168271428737825</v>
      </c>
      <c r="M26" s="218">
        <f t="shared" si="19"/>
        <v>0.14999999999999997</v>
      </c>
      <c r="N26" s="211">
        <v>64.66075883212018</v>
      </c>
      <c r="O26" s="54">
        <v>91.776055134984745</v>
      </c>
      <c r="P26" s="54">
        <v>100.88489200298767</v>
      </c>
      <c r="Q26" s="54">
        <v>93.049116027597449</v>
      </c>
      <c r="R26" s="54">
        <v>80.224094961917501</v>
      </c>
      <c r="S26" s="54">
        <v>71.641776250973834</v>
      </c>
      <c r="T26" s="54">
        <v>62.680547872102011</v>
      </c>
      <c r="U26" s="54">
        <v>55.345046833948516</v>
      </c>
      <c r="V26" s="54">
        <v>88.168271428737825</v>
      </c>
      <c r="X26" s="218">
        <f t="shared" si="20"/>
        <v>0.14999999999999997</v>
      </c>
      <c r="Y26" s="211">
        <v>64.66075883212018</v>
      </c>
      <c r="Z26" s="54">
        <v>91.776055134984745</v>
      </c>
      <c r="AA26" s="54">
        <v>100.88489200298767</v>
      </c>
      <c r="AB26" s="54">
        <v>93.049116027597449</v>
      </c>
      <c r="AC26" s="54">
        <v>80.224094961917501</v>
      </c>
      <c r="AD26" s="54">
        <v>71.641776250973834</v>
      </c>
      <c r="AE26" s="54">
        <v>62.680547872102011</v>
      </c>
      <c r="AF26" s="54">
        <v>55.345046833948516</v>
      </c>
      <c r="AG26" s="54">
        <v>88.168271428737825</v>
      </c>
      <c r="AI26" s="218">
        <f t="shared" si="21"/>
        <v>0.14999999999999997</v>
      </c>
      <c r="AJ26" s="211">
        <v>64.66075883212018</v>
      </c>
      <c r="AK26" s="54">
        <v>91.776055134984745</v>
      </c>
      <c r="AL26" s="54">
        <v>100.88489200298767</v>
      </c>
      <c r="AM26" s="54">
        <v>93.049116027597449</v>
      </c>
      <c r="AN26" s="54">
        <v>80.224094961917501</v>
      </c>
      <c r="AO26" s="54">
        <v>71.641776250973834</v>
      </c>
      <c r="AP26" s="54">
        <v>62.680547872102011</v>
      </c>
      <c r="AQ26" s="54">
        <v>55.345046833948516</v>
      </c>
      <c r="AR26" s="54">
        <v>88.168271428737825</v>
      </c>
      <c r="BF26" s="218">
        <f t="shared" si="22"/>
        <v>0.14999999999999997</v>
      </c>
      <c r="BG26" s="211">
        <v>64.66075883212018</v>
      </c>
      <c r="BH26" s="54">
        <v>91.776055134984745</v>
      </c>
      <c r="BI26" s="54">
        <v>100.88489200298767</v>
      </c>
      <c r="BJ26" s="54">
        <v>93.049116027597449</v>
      </c>
      <c r="BK26" s="54">
        <v>80.224094961917501</v>
      </c>
      <c r="BL26" s="54">
        <v>71.641776250973834</v>
      </c>
      <c r="BM26" s="54">
        <v>62.680547872102011</v>
      </c>
      <c r="BN26" s="54">
        <v>55.345046833948516</v>
      </c>
      <c r="BO26" s="54">
        <v>88.168271428737825</v>
      </c>
      <c r="BQ26" s="218">
        <f t="shared" si="23"/>
        <v>0.14999999999999997</v>
      </c>
      <c r="BR26" s="211">
        <v>64.66075883212018</v>
      </c>
      <c r="BS26" s="54">
        <v>91.776055134984745</v>
      </c>
      <c r="BT26" s="54">
        <v>100.88489200298767</v>
      </c>
      <c r="BU26" s="54">
        <v>93.049116027597449</v>
      </c>
      <c r="BV26" s="54">
        <v>80.224094961917501</v>
      </c>
      <c r="BW26" s="54">
        <v>71.641776250973834</v>
      </c>
      <c r="BX26" s="54">
        <v>62.680547872102011</v>
      </c>
      <c r="BY26" s="54">
        <v>55.345046833948516</v>
      </c>
      <c r="BZ26" s="54">
        <v>88.168271428737825</v>
      </c>
    </row>
    <row r="27" spans="1:78" hidden="1" outlineLevel="1">
      <c r="B27" s="218">
        <f t="shared" si="18"/>
        <v>0.13999999999999996</v>
      </c>
      <c r="C27" s="211">
        <v>64.125034532425261</v>
      </c>
      <c r="D27" s="54">
        <v>90.020631282468486</v>
      </c>
      <c r="E27" s="54">
        <v>97.59079168529064</v>
      </c>
      <c r="F27" s="54">
        <v>87.847284529367727</v>
      </c>
      <c r="G27" s="54">
        <v>72.475846601971426</v>
      </c>
      <c r="H27" s="54">
        <v>60.772744721199501</v>
      </c>
      <c r="I27" s="54">
        <v>47.79581949131358</v>
      </c>
      <c r="J27" s="54">
        <v>35.587630410661518</v>
      </c>
      <c r="K27" s="54">
        <v>62.507290262478136</v>
      </c>
      <c r="M27" s="218">
        <f t="shared" si="19"/>
        <v>0.13999999999999996</v>
      </c>
      <c r="N27" s="211">
        <v>64.125034532425261</v>
      </c>
      <c r="O27" s="54">
        <v>90.020631282468486</v>
      </c>
      <c r="P27" s="54">
        <v>97.59079168529064</v>
      </c>
      <c r="Q27" s="54">
        <v>87.847284529367727</v>
      </c>
      <c r="R27" s="54">
        <v>72.475846601971426</v>
      </c>
      <c r="S27" s="54">
        <v>60.772744721199501</v>
      </c>
      <c r="T27" s="54">
        <v>47.79581949131358</v>
      </c>
      <c r="U27" s="54">
        <v>35.587630410661518</v>
      </c>
      <c r="V27" s="54">
        <v>62.507290262478136</v>
      </c>
      <c r="X27" s="218">
        <f t="shared" si="20"/>
        <v>0.13999999999999996</v>
      </c>
      <c r="Y27" s="211">
        <v>64.125034532425261</v>
      </c>
      <c r="Z27" s="54">
        <v>90.020631282468486</v>
      </c>
      <c r="AA27" s="54">
        <v>97.59079168529064</v>
      </c>
      <c r="AB27" s="54">
        <v>87.847284529367727</v>
      </c>
      <c r="AC27" s="54">
        <v>72.475846601971426</v>
      </c>
      <c r="AD27" s="54">
        <v>60.772744721199501</v>
      </c>
      <c r="AE27" s="54">
        <v>47.79581949131358</v>
      </c>
      <c r="AF27" s="54">
        <v>35.587630410661518</v>
      </c>
      <c r="AG27" s="54">
        <v>62.507290262478136</v>
      </c>
      <c r="AI27" s="218">
        <f t="shared" si="21"/>
        <v>0.13999999999999996</v>
      </c>
      <c r="AJ27" s="211">
        <v>64.125034532425261</v>
      </c>
      <c r="AK27" s="54">
        <v>90.020631282468486</v>
      </c>
      <c r="AL27" s="54">
        <v>97.59079168529064</v>
      </c>
      <c r="AM27" s="54">
        <v>87.847284529367727</v>
      </c>
      <c r="AN27" s="54">
        <v>72.475846601971426</v>
      </c>
      <c r="AO27" s="54">
        <v>60.772744721199501</v>
      </c>
      <c r="AP27" s="54">
        <v>47.79581949131358</v>
      </c>
      <c r="AQ27" s="54">
        <v>35.587630410661518</v>
      </c>
      <c r="AR27" s="54">
        <v>62.507290262478136</v>
      </c>
      <c r="BF27" s="218">
        <f t="shared" si="22"/>
        <v>0.13999999999999996</v>
      </c>
      <c r="BG27" s="211">
        <v>64.125034532425261</v>
      </c>
      <c r="BH27" s="54">
        <v>90.020631282468486</v>
      </c>
      <c r="BI27" s="54">
        <v>97.59079168529064</v>
      </c>
      <c r="BJ27" s="54">
        <v>87.847284529367727</v>
      </c>
      <c r="BK27" s="54">
        <v>72.475846601971426</v>
      </c>
      <c r="BL27" s="54">
        <v>60.772744721199501</v>
      </c>
      <c r="BM27" s="54">
        <v>47.79581949131358</v>
      </c>
      <c r="BN27" s="54">
        <v>35.587630410661518</v>
      </c>
      <c r="BO27" s="54">
        <v>62.507290262478136</v>
      </c>
      <c r="BQ27" s="218">
        <f t="shared" si="23"/>
        <v>0.13999999999999996</v>
      </c>
      <c r="BR27" s="211">
        <v>64.125034532425261</v>
      </c>
      <c r="BS27" s="54">
        <v>90.020631282468486</v>
      </c>
      <c r="BT27" s="54">
        <v>97.59079168529064</v>
      </c>
      <c r="BU27" s="54">
        <v>87.847284529367727</v>
      </c>
      <c r="BV27" s="54">
        <v>72.475846601971426</v>
      </c>
      <c r="BW27" s="54">
        <v>60.772744721199501</v>
      </c>
      <c r="BX27" s="54">
        <v>47.79581949131358</v>
      </c>
      <c r="BY27" s="54">
        <v>35.587630410661518</v>
      </c>
      <c r="BZ27" s="54">
        <v>62.507290262478136</v>
      </c>
    </row>
    <row r="28" spans="1:78" hidden="1" outlineLevel="1">
      <c r="B28" s="218">
        <f t="shared" si="18"/>
        <v>0.12999999999999995</v>
      </c>
      <c r="C28" s="211">
        <v>63.589316053384152</v>
      </c>
      <c r="D28" s="54">
        <v>88.275933720725988</v>
      </c>
      <c r="E28" s="54">
        <v>94.344030399529942</v>
      </c>
      <c r="F28" s="54">
        <v>82.764671939882533</v>
      </c>
      <c r="G28" s="54">
        <v>64.966274263297663</v>
      </c>
      <c r="H28" s="54">
        <v>50.329149287339078</v>
      </c>
      <c r="I28" s="54">
        <v>33.610867633724553</v>
      </c>
      <c r="J28" s="54">
        <v>16.917650995296327</v>
      </c>
      <c r="K28" s="54">
        <v>38.470454204335113</v>
      </c>
      <c r="M28" s="218">
        <f t="shared" si="19"/>
        <v>0.12999999999999995</v>
      </c>
      <c r="N28" s="211">
        <v>63.589316053384152</v>
      </c>
      <c r="O28" s="54">
        <v>88.275933720725988</v>
      </c>
      <c r="P28" s="54">
        <v>94.344030399529942</v>
      </c>
      <c r="Q28" s="54">
        <v>82.764671939882533</v>
      </c>
      <c r="R28" s="54">
        <v>64.966274263297663</v>
      </c>
      <c r="S28" s="54">
        <v>50.329149287339078</v>
      </c>
      <c r="T28" s="54">
        <v>33.610867633724553</v>
      </c>
      <c r="U28" s="54">
        <v>16.917650995296327</v>
      </c>
      <c r="V28" s="54">
        <v>38.470454204335113</v>
      </c>
      <c r="X28" s="218">
        <f t="shared" si="20"/>
        <v>0.12999999999999995</v>
      </c>
      <c r="Y28" s="211">
        <v>63.589316053384152</v>
      </c>
      <c r="Z28" s="54">
        <v>88.275933720725988</v>
      </c>
      <c r="AA28" s="54">
        <v>94.344030399529942</v>
      </c>
      <c r="AB28" s="54">
        <v>82.764671939882533</v>
      </c>
      <c r="AC28" s="54">
        <v>64.966274263297663</v>
      </c>
      <c r="AD28" s="54">
        <v>50.329149287339078</v>
      </c>
      <c r="AE28" s="54">
        <v>33.610867633724553</v>
      </c>
      <c r="AF28" s="54">
        <v>16.917650995296327</v>
      </c>
      <c r="AG28" s="54">
        <v>38.470454204335113</v>
      </c>
      <c r="AI28" s="218">
        <f t="shared" si="21"/>
        <v>0.12999999999999995</v>
      </c>
      <c r="AJ28" s="211">
        <v>63.589316053384152</v>
      </c>
      <c r="AK28" s="54">
        <v>88.275933720725988</v>
      </c>
      <c r="AL28" s="54">
        <v>94.344030399529942</v>
      </c>
      <c r="AM28" s="54">
        <v>82.764671939882533</v>
      </c>
      <c r="AN28" s="54">
        <v>64.966274263297663</v>
      </c>
      <c r="AO28" s="54">
        <v>50.329149287339078</v>
      </c>
      <c r="AP28" s="54">
        <v>33.610867633724553</v>
      </c>
      <c r="AQ28" s="54">
        <v>16.917650995296327</v>
      </c>
      <c r="AR28" s="54">
        <v>38.470454204335113</v>
      </c>
      <c r="BF28" s="218">
        <f t="shared" si="22"/>
        <v>0.12999999999999995</v>
      </c>
      <c r="BG28" s="211">
        <v>63.589316053384152</v>
      </c>
      <c r="BH28" s="54">
        <v>88.275933720725988</v>
      </c>
      <c r="BI28" s="54">
        <v>94.344030399529942</v>
      </c>
      <c r="BJ28" s="54">
        <v>82.764671939882533</v>
      </c>
      <c r="BK28" s="54">
        <v>64.966274263297663</v>
      </c>
      <c r="BL28" s="54">
        <v>50.329149287339078</v>
      </c>
      <c r="BM28" s="54">
        <v>33.610867633724553</v>
      </c>
      <c r="BN28" s="54">
        <v>16.917650995296327</v>
      </c>
      <c r="BO28" s="54">
        <v>38.470454204335113</v>
      </c>
      <c r="BQ28" s="218">
        <f t="shared" si="23"/>
        <v>0.12999999999999995</v>
      </c>
      <c r="BR28" s="211">
        <v>63.589316053384152</v>
      </c>
      <c r="BS28" s="54">
        <v>88.275933720725988</v>
      </c>
      <c r="BT28" s="54">
        <v>94.344030399529942</v>
      </c>
      <c r="BU28" s="54">
        <v>82.764671939882533</v>
      </c>
      <c r="BV28" s="54">
        <v>64.966274263297663</v>
      </c>
      <c r="BW28" s="54">
        <v>50.329149287339078</v>
      </c>
      <c r="BX28" s="54">
        <v>33.610867633724553</v>
      </c>
      <c r="BY28" s="54">
        <v>16.917650995296327</v>
      </c>
      <c r="BZ28" s="54">
        <v>38.470454204335113</v>
      </c>
    </row>
    <row r="29" spans="1:78" hidden="1" outlineLevel="1">
      <c r="B29" s="218">
        <f t="shared" si="18"/>
        <v>0.11999999999999995</v>
      </c>
      <c r="C29" s="211">
        <v>63.053641390432318</v>
      </c>
      <c r="D29" s="54">
        <v>86.541992701955309</v>
      </c>
      <c r="E29" s="54">
        <v>91.144148989071368</v>
      </c>
      <c r="F29" s="54">
        <v>77.8001316764244</v>
      </c>
      <c r="G29" s="54">
        <v>57.690130729991552</v>
      </c>
      <c r="H29" s="54">
        <v>40.295909848657061</v>
      </c>
      <c r="I29" s="54">
        <v>20.096000240168564</v>
      </c>
      <c r="J29" s="54">
        <v>-0.71784263394803816</v>
      </c>
      <c r="K29" s="54">
        <v>15.966129017463345</v>
      </c>
      <c r="M29" s="218">
        <f t="shared" si="19"/>
        <v>0.11999999999999995</v>
      </c>
      <c r="N29" s="211">
        <v>63.053641390432318</v>
      </c>
      <c r="O29" s="54">
        <v>86.541992701955309</v>
      </c>
      <c r="P29" s="54">
        <v>91.144148989071368</v>
      </c>
      <c r="Q29" s="54">
        <v>77.8001316764244</v>
      </c>
      <c r="R29" s="54">
        <v>57.690130729991552</v>
      </c>
      <c r="S29" s="54">
        <v>40.295909848657061</v>
      </c>
      <c r="T29" s="54">
        <v>20.096000240168564</v>
      </c>
      <c r="U29" s="54">
        <v>-0.71784263394803816</v>
      </c>
      <c r="V29" s="54">
        <v>15.966129017463345</v>
      </c>
      <c r="X29" s="218">
        <f t="shared" si="20"/>
        <v>0.11999999999999995</v>
      </c>
      <c r="Y29" s="211">
        <v>63.053641390432318</v>
      </c>
      <c r="Z29" s="54">
        <v>86.541992701955309</v>
      </c>
      <c r="AA29" s="54">
        <v>91.144148989071368</v>
      </c>
      <c r="AB29" s="54">
        <v>77.8001316764244</v>
      </c>
      <c r="AC29" s="54">
        <v>57.690130729991552</v>
      </c>
      <c r="AD29" s="54">
        <v>40.295909848657061</v>
      </c>
      <c r="AE29" s="54">
        <v>20.096000240168564</v>
      </c>
      <c r="AF29" s="54">
        <v>-0.71784263394803816</v>
      </c>
      <c r="AG29" s="54">
        <v>15.966129017463345</v>
      </c>
      <c r="AI29" s="218">
        <f t="shared" si="21"/>
        <v>0.11999999999999995</v>
      </c>
      <c r="AJ29" s="211">
        <v>63.053641390432318</v>
      </c>
      <c r="AK29" s="54">
        <v>86.541992701955309</v>
      </c>
      <c r="AL29" s="54">
        <v>91.144148989071368</v>
      </c>
      <c r="AM29" s="54">
        <v>77.8001316764244</v>
      </c>
      <c r="AN29" s="54">
        <v>57.690130729991552</v>
      </c>
      <c r="AO29" s="54">
        <v>40.295909848657061</v>
      </c>
      <c r="AP29" s="54">
        <v>20.096000240168564</v>
      </c>
      <c r="AQ29" s="54">
        <v>-0.71784263394803816</v>
      </c>
      <c r="AR29" s="54">
        <v>15.966129017463345</v>
      </c>
      <c r="BF29" s="218">
        <f t="shared" si="22"/>
        <v>0.11999999999999995</v>
      </c>
      <c r="BG29" s="211">
        <v>63.053641390432318</v>
      </c>
      <c r="BH29" s="54">
        <v>86.541992701955309</v>
      </c>
      <c r="BI29" s="54">
        <v>91.144148989071368</v>
      </c>
      <c r="BJ29" s="54">
        <v>77.8001316764244</v>
      </c>
      <c r="BK29" s="54">
        <v>57.690130729991552</v>
      </c>
      <c r="BL29" s="54">
        <v>40.295909848657061</v>
      </c>
      <c r="BM29" s="54">
        <v>20.096000240168564</v>
      </c>
      <c r="BN29" s="54">
        <v>-0.71784263394803816</v>
      </c>
      <c r="BO29" s="54">
        <v>15.966129017463345</v>
      </c>
      <c r="BQ29" s="218">
        <f t="shared" si="23"/>
        <v>0.11999999999999995</v>
      </c>
      <c r="BR29" s="211">
        <v>63.053641390432318</v>
      </c>
      <c r="BS29" s="54">
        <v>86.541992701955309</v>
      </c>
      <c r="BT29" s="54">
        <v>91.144148989071368</v>
      </c>
      <c r="BU29" s="54">
        <v>77.8001316764244</v>
      </c>
      <c r="BV29" s="54">
        <v>57.690130729991552</v>
      </c>
      <c r="BW29" s="54">
        <v>40.295909848657061</v>
      </c>
      <c r="BX29" s="54">
        <v>20.096000240168564</v>
      </c>
      <c r="BY29" s="54">
        <v>-0.71784263394803816</v>
      </c>
      <c r="BZ29" s="54">
        <v>15.966129017463345</v>
      </c>
    </row>
    <row r="30" spans="1:78" hidden="1" outlineLevel="1">
      <c r="B30" s="218">
        <f t="shared" si="18"/>
        <v>0.10999999999999996</v>
      </c>
      <c r="C30" s="211">
        <v>62.517952349361266</v>
      </c>
      <c r="D30" s="54">
        <v>84.818638860560327</v>
      </c>
      <c r="E30" s="54">
        <v>87.990996238089849</v>
      </c>
      <c r="F30" s="54">
        <v>72.95066003802043</v>
      </c>
      <c r="G30" s="54">
        <v>50.642133416384183</v>
      </c>
      <c r="H30" s="54">
        <v>30.662070391527095</v>
      </c>
      <c r="I30" s="54">
        <v>7.2255123753194539</v>
      </c>
      <c r="J30" s="54">
        <v>-17.366851973831558</v>
      </c>
      <c r="K30" s="54">
        <v>-5.0930518359114103</v>
      </c>
      <c r="M30" s="218">
        <f t="shared" si="19"/>
        <v>0.10999999999999996</v>
      </c>
      <c r="N30" s="211">
        <v>62.517952349361266</v>
      </c>
      <c r="O30" s="54">
        <v>84.818638860560327</v>
      </c>
      <c r="P30" s="54">
        <v>87.990996238089849</v>
      </c>
      <c r="Q30" s="54">
        <v>72.95066003802043</v>
      </c>
      <c r="R30" s="54">
        <v>50.642133416384183</v>
      </c>
      <c r="S30" s="54">
        <v>30.662070391527095</v>
      </c>
      <c r="T30" s="54">
        <v>7.2255123753194539</v>
      </c>
      <c r="U30" s="54">
        <v>-17.366851973831558</v>
      </c>
      <c r="V30" s="54">
        <v>-5.0930518359114103</v>
      </c>
      <c r="X30" s="218">
        <f t="shared" si="20"/>
        <v>0.10999999999999996</v>
      </c>
      <c r="Y30" s="211">
        <v>62.517952349361266</v>
      </c>
      <c r="Z30" s="54">
        <v>84.818638860560327</v>
      </c>
      <c r="AA30" s="54">
        <v>87.990996238089849</v>
      </c>
      <c r="AB30" s="54">
        <v>72.95066003802043</v>
      </c>
      <c r="AC30" s="54">
        <v>50.642133416384183</v>
      </c>
      <c r="AD30" s="54">
        <v>30.662070391527095</v>
      </c>
      <c r="AE30" s="54">
        <v>7.2255123753194539</v>
      </c>
      <c r="AF30" s="54">
        <v>-17.366851973831558</v>
      </c>
      <c r="AG30" s="54">
        <v>-5.0930518359114103</v>
      </c>
      <c r="AI30" s="218">
        <f t="shared" si="21"/>
        <v>0.10999999999999996</v>
      </c>
      <c r="AJ30" s="211">
        <v>62.517952349361266</v>
      </c>
      <c r="AK30" s="54">
        <v>84.818638860560327</v>
      </c>
      <c r="AL30" s="54">
        <v>87.990996238089849</v>
      </c>
      <c r="AM30" s="54">
        <v>72.95066003802043</v>
      </c>
      <c r="AN30" s="54">
        <v>50.642133416384183</v>
      </c>
      <c r="AO30" s="54">
        <v>30.662070391527095</v>
      </c>
      <c r="AP30" s="54">
        <v>7.2255123753194539</v>
      </c>
      <c r="AQ30" s="54">
        <v>-17.366851973831558</v>
      </c>
      <c r="AR30" s="54">
        <v>-5.0930518359114103</v>
      </c>
      <c r="BF30" s="218">
        <f t="shared" si="22"/>
        <v>0.10999999999999996</v>
      </c>
      <c r="BG30" s="211">
        <v>62.517952349361266</v>
      </c>
      <c r="BH30" s="54">
        <v>84.818638860560327</v>
      </c>
      <c r="BI30" s="54">
        <v>87.990996238089849</v>
      </c>
      <c r="BJ30" s="54">
        <v>72.95066003802043</v>
      </c>
      <c r="BK30" s="54">
        <v>50.642133416384183</v>
      </c>
      <c r="BL30" s="54">
        <v>30.662070391527095</v>
      </c>
      <c r="BM30" s="54">
        <v>7.2255123753194539</v>
      </c>
      <c r="BN30" s="54">
        <v>-17.366851973831558</v>
      </c>
      <c r="BO30" s="54">
        <v>-5.0930518359114103</v>
      </c>
      <c r="BQ30" s="218">
        <f t="shared" si="23"/>
        <v>0.10999999999999996</v>
      </c>
      <c r="BR30" s="211">
        <v>62.517952349361266</v>
      </c>
      <c r="BS30" s="54">
        <v>84.818638860560327</v>
      </c>
      <c r="BT30" s="54">
        <v>87.990996238089849</v>
      </c>
      <c r="BU30" s="54">
        <v>72.95066003802043</v>
      </c>
      <c r="BV30" s="54">
        <v>50.642133416384183</v>
      </c>
      <c r="BW30" s="54">
        <v>30.662070391527095</v>
      </c>
      <c r="BX30" s="54">
        <v>7.2255123753194539</v>
      </c>
      <c r="BY30" s="54">
        <v>-17.366851973831558</v>
      </c>
      <c r="BZ30" s="54">
        <v>-5.0930518359114103</v>
      </c>
    </row>
    <row r="31" spans="1:78" hidden="1" outlineLevel="1">
      <c r="B31" s="218">
        <f t="shared" si="18"/>
        <v>9.9999999999999964E-2</v>
      </c>
      <c r="C31" s="211">
        <v>61.982236072201104</v>
      </c>
      <c r="D31" s="54">
        <v>83.106152181730664</v>
      </c>
      <c r="E31" s="54">
        <v>84.884502630514788</v>
      </c>
      <c r="F31" s="54">
        <v>68.216025934328343</v>
      </c>
      <c r="G31" s="54">
        <v>43.816284473192354</v>
      </c>
      <c r="H31" s="54">
        <v>21.414336555757558</v>
      </c>
      <c r="I31" s="54">
        <v>-5.0274439726698574</v>
      </c>
      <c r="J31" s="54">
        <v>-33.080697224044513</v>
      </c>
      <c r="K31" s="54">
        <v>-24.789096622319533</v>
      </c>
      <c r="M31" s="218">
        <f t="shared" si="19"/>
        <v>9.9999999999999964E-2</v>
      </c>
      <c r="N31" s="211">
        <v>61.982236072201104</v>
      </c>
      <c r="O31" s="54">
        <v>83.106152181730664</v>
      </c>
      <c r="P31" s="54">
        <v>84.884502630514788</v>
      </c>
      <c r="Q31" s="54">
        <v>68.216025934328343</v>
      </c>
      <c r="R31" s="54">
        <v>43.816284473192354</v>
      </c>
      <c r="S31" s="54">
        <v>21.414336555757558</v>
      </c>
      <c r="T31" s="54">
        <v>-5.0274439726698574</v>
      </c>
      <c r="U31" s="54">
        <v>-33.080697224044513</v>
      </c>
      <c r="V31" s="54">
        <v>-24.789096622319533</v>
      </c>
      <c r="X31" s="218">
        <f t="shared" si="20"/>
        <v>9.9999999999999964E-2</v>
      </c>
      <c r="Y31" s="211">
        <v>61.982236072201104</v>
      </c>
      <c r="Z31" s="54">
        <v>83.106152181730664</v>
      </c>
      <c r="AA31" s="54">
        <v>84.884502630514788</v>
      </c>
      <c r="AB31" s="54">
        <v>68.216025934328343</v>
      </c>
      <c r="AC31" s="54">
        <v>43.816284473192354</v>
      </c>
      <c r="AD31" s="54">
        <v>21.414336555757558</v>
      </c>
      <c r="AE31" s="54">
        <v>-5.0274439726698574</v>
      </c>
      <c r="AF31" s="54">
        <v>-33.080697224044513</v>
      </c>
      <c r="AG31" s="54">
        <v>-24.789096622319533</v>
      </c>
      <c r="AI31" s="218">
        <f t="shared" si="21"/>
        <v>9.9999999999999964E-2</v>
      </c>
      <c r="AJ31" s="211">
        <v>61.982236072201104</v>
      </c>
      <c r="AK31" s="54">
        <v>83.106152181730664</v>
      </c>
      <c r="AL31" s="54">
        <v>84.884502630514788</v>
      </c>
      <c r="AM31" s="54">
        <v>68.216025934328343</v>
      </c>
      <c r="AN31" s="54">
        <v>43.816284473192354</v>
      </c>
      <c r="AO31" s="54">
        <v>21.414336555757558</v>
      </c>
      <c r="AP31" s="54">
        <v>-5.0274439726698574</v>
      </c>
      <c r="AQ31" s="54">
        <v>-33.080697224044513</v>
      </c>
      <c r="AR31" s="54">
        <v>-24.789096622319533</v>
      </c>
      <c r="BF31" s="218">
        <f t="shared" si="22"/>
        <v>9.9999999999999964E-2</v>
      </c>
      <c r="BG31" s="211">
        <v>61.982236072201104</v>
      </c>
      <c r="BH31" s="54">
        <v>83.106152181730664</v>
      </c>
      <c r="BI31" s="54">
        <v>84.884502630514788</v>
      </c>
      <c r="BJ31" s="54">
        <v>68.216025934328343</v>
      </c>
      <c r="BK31" s="54">
        <v>43.816284473192354</v>
      </c>
      <c r="BL31" s="54">
        <v>21.414336555757558</v>
      </c>
      <c r="BM31" s="54">
        <v>-5.0274439726698574</v>
      </c>
      <c r="BN31" s="54">
        <v>-33.080697224044513</v>
      </c>
      <c r="BO31" s="54">
        <v>-24.789096622319533</v>
      </c>
      <c r="BQ31" s="218">
        <f t="shared" si="23"/>
        <v>9.9999999999999964E-2</v>
      </c>
      <c r="BR31" s="211">
        <v>61.982236072201104</v>
      </c>
      <c r="BS31" s="54">
        <v>83.106152181730664</v>
      </c>
      <c r="BT31" s="54">
        <v>84.884502630514788</v>
      </c>
      <c r="BU31" s="54">
        <v>68.216025934328343</v>
      </c>
      <c r="BV31" s="54">
        <v>43.816284473192354</v>
      </c>
      <c r="BW31" s="54">
        <v>21.414336555757558</v>
      </c>
      <c r="BX31" s="54">
        <v>-5.0274439726698574</v>
      </c>
      <c r="BY31" s="54">
        <v>-33.080697224044513</v>
      </c>
      <c r="BZ31" s="54">
        <v>-24.789096622319533</v>
      </c>
    </row>
    <row r="32" spans="1:78" hidden="1" outlineLevel="1">
      <c r="B32" s="218">
        <f t="shared" si="18"/>
        <v>8.9999999999999969E-2</v>
      </c>
      <c r="C32" s="211">
        <v>61.446507049695853</v>
      </c>
      <c r="D32" s="54">
        <v>81.404381663400244</v>
      </c>
      <c r="E32" s="54">
        <v>81.823783706605781</v>
      </c>
      <c r="F32" s="54">
        <v>63.593282115822767</v>
      </c>
      <c r="G32" s="54">
        <v>37.207380906922182</v>
      </c>
      <c r="H32" s="54">
        <v>12.538738907307675</v>
      </c>
      <c r="I32" s="54">
        <v>-16.687997249990602</v>
      </c>
      <c r="J32" s="54">
        <v>-47.903305914075062</v>
      </c>
      <c r="K32" s="54">
        <v>-43.200091816268156</v>
      </c>
      <c r="M32" s="218">
        <f t="shared" si="19"/>
        <v>8.9999999999999969E-2</v>
      </c>
      <c r="N32" s="211">
        <v>61.446507049695853</v>
      </c>
      <c r="O32" s="54">
        <v>81.404381663400244</v>
      </c>
      <c r="P32" s="54">
        <v>81.823783706605781</v>
      </c>
      <c r="Q32" s="54">
        <v>63.593282115822767</v>
      </c>
      <c r="R32" s="54">
        <v>37.207380906922182</v>
      </c>
      <c r="S32" s="54">
        <v>12.538738907307675</v>
      </c>
      <c r="T32" s="54">
        <v>-16.687997249990602</v>
      </c>
      <c r="U32" s="54">
        <v>-47.903305914075062</v>
      </c>
      <c r="V32" s="54">
        <v>-43.200091816268156</v>
      </c>
      <c r="X32" s="218">
        <f t="shared" si="20"/>
        <v>8.9999999999999969E-2</v>
      </c>
      <c r="Y32" s="211">
        <v>61.446507049695853</v>
      </c>
      <c r="Z32" s="54">
        <v>81.404381663400244</v>
      </c>
      <c r="AA32" s="54">
        <v>81.823783706605781</v>
      </c>
      <c r="AB32" s="54">
        <v>63.593282115822767</v>
      </c>
      <c r="AC32" s="54">
        <v>37.207380906922182</v>
      </c>
      <c r="AD32" s="54">
        <v>12.538738907307675</v>
      </c>
      <c r="AE32" s="54">
        <v>-16.687997249990602</v>
      </c>
      <c r="AF32" s="54">
        <v>-47.903305914075062</v>
      </c>
      <c r="AG32" s="54">
        <v>-43.200091816268156</v>
      </c>
      <c r="AI32" s="218">
        <f t="shared" si="21"/>
        <v>8.9999999999999969E-2</v>
      </c>
      <c r="AJ32" s="211">
        <v>61.446507049695853</v>
      </c>
      <c r="AK32" s="54">
        <v>81.404381663400244</v>
      </c>
      <c r="AL32" s="54">
        <v>81.823783706605781</v>
      </c>
      <c r="AM32" s="54">
        <v>63.593282115822767</v>
      </c>
      <c r="AN32" s="54">
        <v>37.207380906922182</v>
      </c>
      <c r="AO32" s="54">
        <v>12.538738907307675</v>
      </c>
      <c r="AP32" s="54">
        <v>-16.687997249990602</v>
      </c>
      <c r="AQ32" s="54">
        <v>-47.903305914075062</v>
      </c>
      <c r="AR32" s="54">
        <v>-43.200091816268156</v>
      </c>
      <c r="BF32" s="218">
        <f t="shared" si="22"/>
        <v>8.9999999999999969E-2</v>
      </c>
      <c r="BG32" s="211">
        <v>61.446507049695853</v>
      </c>
      <c r="BH32" s="54">
        <v>81.404381663400244</v>
      </c>
      <c r="BI32" s="54">
        <v>81.823783706605781</v>
      </c>
      <c r="BJ32" s="54">
        <v>63.593282115822767</v>
      </c>
      <c r="BK32" s="54">
        <v>37.207380906922182</v>
      </c>
      <c r="BL32" s="54">
        <v>12.538738907307675</v>
      </c>
      <c r="BM32" s="54">
        <v>-16.687997249990602</v>
      </c>
      <c r="BN32" s="54">
        <v>-47.903305914075062</v>
      </c>
      <c r="BO32" s="54">
        <v>-43.200091816268156</v>
      </c>
      <c r="BQ32" s="218">
        <f t="shared" si="23"/>
        <v>8.9999999999999969E-2</v>
      </c>
      <c r="BR32" s="211">
        <v>61.446507049695853</v>
      </c>
      <c r="BS32" s="54">
        <v>81.404381663400244</v>
      </c>
      <c r="BT32" s="54">
        <v>81.823783706605781</v>
      </c>
      <c r="BU32" s="54">
        <v>63.593282115822767</v>
      </c>
      <c r="BV32" s="54">
        <v>37.207380906922182</v>
      </c>
      <c r="BW32" s="54">
        <v>12.538738907307675</v>
      </c>
      <c r="BX32" s="54">
        <v>-16.687997249990602</v>
      </c>
      <c r="BY32" s="54">
        <v>-47.903305914075062</v>
      </c>
      <c r="BZ32" s="54">
        <v>-43.200091816268156</v>
      </c>
    </row>
    <row r="33" spans="1:78" hidden="1" outlineLevel="1">
      <c r="B33" s="218">
        <f t="shared" si="18"/>
        <v>7.9999999999999974E-2</v>
      </c>
      <c r="C33" s="211">
        <v>60.910847398018518</v>
      </c>
      <c r="D33" s="54">
        <v>79.713144469073143</v>
      </c>
      <c r="E33" s="54">
        <v>78.809018928502155</v>
      </c>
      <c r="F33" s="54">
        <v>59.081234108475037</v>
      </c>
      <c r="G33" s="54">
        <v>30.81072085747688</v>
      </c>
      <c r="H33" s="54">
        <v>4.0244432594925144</v>
      </c>
      <c r="I33" s="54">
        <v>-27.780935765093815</v>
      </c>
      <c r="J33" s="54">
        <v>-61.879435074418396</v>
      </c>
      <c r="K33" s="54">
        <v>-60.398208851837765</v>
      </c>
      <c r="M33" s="218">
        <f t="shared" si="19"/>
        <v>7.9999999999999974E-2</v>
      </c>
      <c r="N33" s="211">
        <v>60.910847398018518</v>
      </c>
      <c r="O33" s="54">
        <v>79.713144469073143</v>
      </c>
      <c r="P33" s="54">
        <v>78.809018928502155</v>
      </c>
      <c r="Q33" s="54">
        <v>59.081234108475037</v>
      </c>
      <c r="R33" s="54">
        <v>30.81072085747688</v>
      </c>
      <c r="S33" s="54">
        <v>4.0244432594925144</v>
      </c>
      <c r="T33" s="54">
        <v>-27.780935765093815</v>
      </c>
      <c r="U33" s="54">
        <v>-61.879435074418396</v>
      </c>
      <c r="V33" s="54">
        <v>-60.398208851837765</v>
      </c>
      <c r="X33" s="218">
        <f t="shared" si="20"/>
        <v>7.9999999999999974E-2</v>
      </c>
      <c r="Y33" s="211">
        <v>60.910847398018518</v>
      </c>
      <c r="Z33" s="54">
        <v>79.713144469073143</v>
      </c>
      <c r="AA33" s="54">
        <v>78.809018928502155</v>
      </c>
      <c r="AB33" s="54">
        <v>59.081234108475037</v>
      </c>
      <c r="AC33" s="54">
        <v>30.81072085747688</v>
      </c>
      <c r="AD33" s="54">
        <v>4.0244432594925144</v>
      </c>
      <c r="AE33" s="54">
        <v>-27.780935765093815</v>
      </c>
      <c r="AF33" s="54">
        <v>-61.879435074418396</v>
      </c>
      <c r="AG33" s="54">
        <v>-60.398208851837765</v>
      </c>
      <c r="AI33" s="218">
        <f t="shared" si="21"/>
        <v>7.9999999999999974E-2</v>
      </c>
      <c r="AJ33" s="211">
        <v>60.910847398018518</v>
      </c>
      <c r="AK33" s="54">
        <v>79.713144469073143</v>
      </c>
      <c r="AL33" s="54">
        <v>78.809018928502155</v>
      </c>
      <c r="AM33" s="54">
        <v>59.081234108475037</v>
      </c>
      <c r="AN33" s="54">
        <v>30.81072085747688</v>
      </c>
      <c r="AO33" s="54">
        <v>4.0244432594925144</v>
      </c>
      <c r="AP33" s="54">
        <v>-27.780935765093815</v>
      </c>
      <c r="AQ33" s="54">
        <v>-61.879435074418396</v>
      </c>
      <c r="AR33" s="54">
        <v>-60.398208851837765</v>
      </c>
      <c r="BF33" s="218">
        <f t="shared" si="22"/>
        <v>7.9999999999999974E-2</v>
      </c>
      <c r="BG33" s="211">
        <v>60.910847398018518</v>
      </c>
      <c r="BH33" s="54">
        <v>79.713144469073143</v>
      </c>
      <c r="BI33" s="54">
        <v>78.809018928502155</v>
      </c>
      <c r="BJ33" s="54">
        <v>59.081234108475037</v>
      </c>
      <c r="BK33" s="54">
        <v>30.81072085747688</v>
      </c>
      <c r="BL33" s="54">
        <v>4.0244432594925144</v>
      </c>
      <c r="BM33" s="54">
        <v>-27.780935765093815</v>
      </c>
      <c r="BN33" s="54">
        <v>-61.879435074418396</v>
      </c>
      <c r="BO33" s="54">
        <v>-60.398208851837765</v>
      </c>
      <c r="BQ33" s="218">
        <f t="shared" si="23"/>
        <v>7.9999999999999974E-2</v>
      </c>
      <c r="BR33" s="211">
        <v>60.910847398018518</v>
      </c>
      <c r="BS33" s="54">
        <v>79.713144469073143</v>
      </c>
      <c r="BT33" s="54">
        <v>78.809018928502155</v>
      </c>
      <c r="BU33" s="54">
        <v>59.081234108475037</v>
      </c>
      <c r="BV33" s="54">
        <v>30.81072085747688</v>
      </c>
      <c r="BW33" s="54">
        <v>4.0244432594925144</v>
      </c>
      <c r="BX33" s="54">
        <v>-27.780935765093815</v>
      </c>
      <c r="BY33" s="54">
        <v>-61.879435074418396</v>
      </c>
      <c r="BZ33" s="54">
        <v>-60.398208851837765</v>
      </c>
    </row>
    <row r="34" spans="1:78" collapsed="1"/>
    <row r="35" spans="1:78">
      <c r="B35" s="407"/>
      <c r="M35" s="407"/>
      <c r="X35" s="407"/>
      <c r="AI35" s="407"/>
      <c r="BF35" s="407"/>
      <c r="BQ35" s="407"/>
    </row>
    <row r="36" spans="1:78" ht="44.25" customHeight="1">
      <c r="B36" s="503" t="s">
        <v>74</v>
      </c>
      <c r="C36" s="503"/>
      <c r="D36" s="503"/>
      <c r="E36" s="234"/>
      <c r="F36" s="234"/>
      <c r="G36" s="234"/>
      <c r="H36" s="234"/>
      <c r="I36" s="234"/>
      <c r="J36" s="234"/>
      <c r="K36" s="234"/>
      <c r="M36" s="503" t="s">
        <v>75</v>
      </c>
      <c r="N36" s="503"/>
      <c r="O36" s="503"/>
      <c r="P36" s="503"/>
      <c r="Q36" s="503"/>
      <c r="R36" s="503"/>
      <c r="S36" s="503"/>
      <c r="T36" s="503"/>
      <c r="U36" s="503"/>
      <c r="V36" s="503"/>
      <c r="X36" s="503" t="s">
        <v>76</v>
      </c>
      <c r="Y36" s="503"/>
      <c r="Z36" s="503"/>
      <c r="AA36" s="503"/>
      <c r="AB36" s="503"/>
      <c r="AC36" s="503"/>
      <c r="AD36" s="503"/>
      <c r="AE36" s="503"/>
      <c r="AF36" s="503"/>
      <c r="AG36" s="503"/>
      <c r="AI36" s="503" t="s">
        <v>76</v>
      </c>
      <c r="AJ36" s="503"/>
      <c r="AK36" s="503"/>
      <c r="AL36" s="503"/>
      <c r="AM36" s="503"/>
      <c r="AN36" s="503"/>
      <c r="AO36" s="503"/>
      <c r="AP36" s="503"/>
      <c r="AQ36" s="503"/>
      <c r="AR36" s="503"/>
      <c r="AU36" s="503" t="s">
        <v>77</v>
      </c>
      <c r="AV36" s="503"/>
      <c r="AW36" s="503"/>
      <c r="AX36" s="503"/>
      <c r="AY36" s="503"/>
      <c r="AZ36" s="503"/>
      <c r="BA36" s="503"/>
      <c r="BB36" s="503"/>
      <c r="BC36" s="503"/>
      <c r="BD36" s="503"/>
      <c r="BF36" s="503" t="s">
        <v>78</v>
      </c>
      <c r="BG36" s="503"/>
      <c r="BH36" s="503"/>
      <c r="BI36" s="503"/>
      <c r="BJ36" s="503"/>
      <c r="BK36" s="503"/>
      <c r="BL36" s="503"/>
      <c r="BM36" s="503"/>
      <c r="BN36" s="503"/>
      <c r="BO36" s="503"/>
      <c r="BQ36" s="503" t="s">
        <v>79</v>
      </c>
      <c r="BR36" s="503"/>
      <c r="BS36" s="503"/>
      <c r="BT36" s="503"/>
      <c r="BU36" s="503"/>
      <c r="BV36" s="503"/>
      <c r="BW36" s="503"/>
      <c r="BX36" s="503"/>
      <c r="BY36" s="503"/>
      <c r="BZ36" s="503"/>
    </row>
    <row r="37" spans="1:78" s="17" customFormat="1">
      <c r="A37"/>
      <c r="X37" s="17" t="s">
        <v>23</v>
      </c>
      <c r="AI37" s="17" t="s">
        <v>23</v>
      </c>
      <c r="AU37" s="17" t="s">
        <v>23</v>
      </c>
    </row>
    <row r="38" spans="1:78">
      <c r="C38" s="214">
        <v>2</v>
      </c>
      <c r="D38" s="214">
        <f t="shared" ref="D38:K38" si="24">C38+1</f>
        <v>3</v>
      </c>
      <c r="E38" s="214">
        <f t="shared" si="24"/>
        <v>4</v>
      </c>
      <c r="F38" s="214">
        <f t="shared" si="24"/>
        <v>5</v>
      </c>
      <c r="G38" s="214">
        <f t="shared" si="24"/>
        <v>6</v>
      </c>
      <c r="H38" s="214">
        <f t="shared" si="24"/>
        <v>7</v>
      </c>
      <c r="I38" s="214">
        <f t="shared" si="24"/>
        <v>8</v>
      </c>
      <c r="J38" s="214">
        <f t="shared" si="24"/>
        <v>9</v>
      </c>
      <c r="K38" s="214">
        <f t="shared" si="24"/>
        <v>10</v>
      </c>
      <c r="N38" s="214">
        <v>2</v>
      </c>
      <c r="O38" s="214">
        <f t="shared" ref="O38:V38" si="25">N38+1</f>
        <v>3</v>
      </c>
      <c r="P38" s="214">
        <f t="shared" si="25"/>
        <v>4</v>
      </c>
      <c r="Q38" s="214">
        <f t="shared" si="25"/>
        <v>5</v>
      </c>
      <c r="R38" s="214">
        <f t="shared" si="25"/>
        <v>6</v>
      </c>
      <c r="S38" s="214">
        <f t="shared" si="25"/>
        <v>7</v>
      </c>
      <c r="T38" s="214">
        <f t="shared" si="25"/>
        <v>8</v>
      </c>
      <c r="U38" s="214">
        <f t="shared" si="25"/>
        <v>9</v>
      </c>
      <c r="V38" s="214">
        <f t="shared" si="25"/>
        <v>10</v>
      </c>
      <c r="Y38" s="214">
        <v>2</v>
      </c>
      <c r="Z38" s="214">
        <f t="shared" ref="Z38:AG38" si="26">Y38+1</f>
        <v>3</v>
      </c>
      <c r="AA38" s="214">
        <f t="shared" si="26"/>
        <v>4</v>
      </c>
      <c r="AB38" s="214">
        <f t="shared" si="26"/>
        <v>5</v>
      </c>
      <c r="AC38" s="214">
        <f t="shared" si="26"/>
        <v>6</v>
      </c>
      <c r="AD38" s="214">
        <f t="shared" si="26"/>
        <v>7</v>
      </c>
      <c r="AE38" s="214">
        <f t="shared" si="26"/>
        <v>8</v>
      </c>
      <c r="AF38" s="214">
        <f t="shared" si="26"/>
        <v>9</v>
      </c>
      <c r="AG38" s="214">
        <f t="shared" si="26"/>
        <v>10</v>
      </c>
      <c r="AJ38" s="214">
        <v>2</v>
      </c>
      <c r="AK38" s="214">
        <f t="shared" ref="AK38:AR38" si="27">AJ38+1</f>
        <v>3</v>
      </c>
      <c r="AL38" s="214">
        <f t="shared" si="27"/>
        <v>4</v>
      </c>
      <c r="AM38" s="214">
        <f t="shared" si="27"/>
        <v>5</v>
      </c>
      <c r="AN38" s="214">
        <f t="shared" si="27"/>
        <v>6</v>
      </c>
      <c r="AO38" s="214">
        <f t="shared" si="27"/>
        <v>7</v>
      </c>
      <c r="AP38" s="214">
        <f t="shared" si="27"/>
        <v>8</v>
      </c>
      <c r="AQ38" s="214">
        <f t="shared" si="27"/>
        <v>9</v>
      </c>
      <c r="AR38" s="214">
        <f t="shared" si="27"/>
        <v>10</v>
      </c>
      <c r="AV38" s="214">
        <v>2</v>
      </c>
      <c r="AW38" s="214">
        <f t="shared" ref="AW38:BD38" si="28">AV38+1</f>
        <v>3</v>
      </c>
      <c r="AX38" s="214">
        <f t="shared" si="28"/>
        <v>4</v>
      </c>
      <c r="AY38" s="214">
        <f t="shared" si="28"/>
        <v>5</v>
      </c>
      <c r="AZ38" s="214">
        <f t="shared" si="28"/>
        <v>6</v>
      </c>
      <c r="BA38" s="214">
        <f t="shared" si="28"/>
        <v>7</v>
      </c>
      <c r="BB38" s="214">
        <f t="shared" si="28"/>
        <v>8</v>
      </c>
      <c r="BC38" s="214">
        <f t="shared" si="28"/>
        <v>9</v>
      </c>
      <c r="BD38" s="214">
        <f t="shared" si="28"/>
        <v>10</v>
      </c>
      <c r="BG38" s="214">
        <v>2</v>
      </c>
      <c r="BH38" s="214">
        <f t="shared" ref="BH38:BO38" si="29">BG38+1</f>
        <v>3</v>
      </c>
      <c r="BI38" s="214">
        <f t="shared" si="29"/>
        <v>4</v>
      </c>
      <c r="BJ38" s="214">
        <f t="shared" si="29"/>
        <v>5</v>
      </c>
      <c r="BK38" s="214">
        <f t="shared" si="29"/>
        <v>6</v>
      </c>
      <c r="BL38" s="214">
        <f t="shared" si="29"/>
        <v>7</v>
      </c>
      <c r="BM38" s="214">
        <f t="shared" si="29"/>
        <v>8</v>
      </c>
      <c r="BN38" s="214">
        <f t="shared" si="29"/>
        <v>9</v>
      </c>
      <c r="BO38" s="214">
        <f t="shared" si="29"/>
        <v>10</v>
      </c>
      <c r="BR38" s="214">
        <v>2</v>
      </c>
      <c r="BS38" s="214">
        <f t="shared" ref="BS38:BZ38" si="30">BR38+1</f>
        <v>3</v>
      </c>
      <c r="BT38" s="214">
        <f t="shared" si="30"/>
        <v>4</v>
      </c>
      <c r="BU38" s="214">
        <f t="shared" si="30"/>
        <v>5</v>
      </c>
      <c r="BV38" s="214">
        <f t="shared" si="30"/>
        <v>6</v>
      </c>
      <c r="BW38" s="214">
        <f t="shared" si="30"/>
        <v>7</v>
      </c>
      <c r="BX38" s="214">
        <f t="shared" si="30"/>
        <v>8</v>
      </c>
      <c r="BY38" s="214">
        <f t="shared" si="30"/>
        <v>9</v>
      </c>
      <c r="BZ38" s="214">
        <f t="shared" si="30"/>
        <v>10</v>
      </c>
    </row>
    <row r="39" spans="1:78">
      <c r="B39" s="215">
        <v>0.2</v>
      </c>
      <c r="C39" s="212">
        <v>30.170029386609958</v>
      </c>
      <c r="D39" s="213">
        <v>36.430240115608797</v>
      </c>
      <c r="E39" s="43">
        <v>43.735356496651576</v>
      </c>
      <c r="F39" s="43">
        <v>52.302303331948977</v>
      </c>
      <c r="G39" s="43">
        <v>62.345753033820394</v>
      </c>
      <c r="H39" s="43">
        <v>74.232571090603912</v>
      </c>
      <c r="I39" s="43">
        <v>88.374274421762465</v>
      </c>
      <c r="J39" s="43">
        <v>105.10618095848842</v>
      </c>
      <c r="K39" s="43">
        <v>125.18365563377273</v>
      </c>
      <c r="M39" s="215">
        <v>0.2</v>
      </c>
      <c r="N39" s="212">
        <v>28.861903109895568</v>
      </c>
      <c r="O39" s="213">
        <v>33.547787640075825</v>
      </c>
      <c r="P39" s="213">
        <v>38.976902152318125</v>
      </c>
      <c r="Q39" s="213">
        <v>45.312818795363278</v>
      </c>
      <c r="R39" s="213">
        <v>52.698438109420046</v>
      </c>
      <c r="S39" s="213">
        <v>61.409811645609864</v>
      </c>
      <c r="T39" s="213">
        <v>71.743163106378219</v>
      </c>
      <c r="U39" s="213">
        <v>83.931960481167522</v>
      </c>
      <c r="V39" s="213">
        <v>98.558733908005578</v>
      </c>
      <c r="X39" s="43">
        <v>0.2</v>
      </c>
      <c r="Y39" s="43">
        <v>28.861903109895568</v>
      </c>
      <c r="Z39" s="43">
        <v>33.547787640075825</v>
      </c>
      <c r="AA39" s="43">
        <v>38.976902152318125</v>
      </c>
      <c r="AB39" s="43">
        <v>45.312818795363278</v>
      </c>
      <c r="AC39" s="43">
        <v>52.698438109420046</v>
      </c>
      <c r="AD39" s="43">
        <v>61.409811645609864</v>
      </c>
      <c r="AE39" s="43">
        <v>71.743163106378219</v>
      </c>
      <c r="AF39" s="43">
        <v>83.931960481167522</v>
      </c>
      <c r="AG39" s="43">
        <v>98.558733908005578</v>
      </c>
      <c r="AI39" s="43">
        <v>0.2</v>
      </c>
      <c r="AJ39" s="43">
        <v>28.861903109895568</v>
      </c>
      <c r="AK39" s="43">
        <v>33.547787640075825</v>
      </c>
      <c r="AL39" s="43">
        <v>38.976902152318125</v>
      </c>
      <c r="AM39" s="43">
        <v>45.312818795363278</v>
      </c>
      <c r="AN39" s="43">
        <v>52.698438109420046</v>
      </c>
      <c r="AO39" s="43">
        <v>61.409811645609864</v>
      </c>
      <c r="AP39" s="43">
        <v>71.743163106378219</v>
      </c>
      <c r="AQ39" s="43">
        <v>83.931960481167522</v>
      </c>
      <c r="AR39" s="43">
        <v>98.558733908005578</v>
      </c>
      <c r="AU39" s="215">
        <v>0.2</v>
      </c>
      <c r="AV39" s="212">
        <v>30.000008494763502</v>
      </c>
      <c r="AW39" s="213">
        <v>35.999972189485874</v>
      </c>
      <c r="AX39" s="213">
        <v>43.221611704337128</v>
      </c>
      <c r="AY39" s="213">
        <v>51.865829159991456</v>
      </c>
      <c r="AZ39" s="213">
        <v>62.239075036921598</v>
      </c>
      <c r="BA39" s="213">
        <v>74.686828651245264</v>
      </c>
      <c r="BB39" s="213">
        <v>89.669135520164787</v>
      </c>
      <c r="BC39" s="213">
        <v>107.60320867635605</v>
      </c>
      <c r="BD39" s="213">
        <v>129.12321644927169</v>
      </c>
      <c r="BF39" s="215">
        <v>0.2</v>
      </c>
      <c r="BG39" s="212">
        <v>30.170030103922926</v>
      </c>
      <c r="BH39" s="213">
        <v>36.430240981762523</v>
      </c>
      <c r="BI39" s="213">
        <v>131.567886486589</v>
      </c>
      <c r="BJ39" s="213">
        <v>160.46581687865182</v>
      </c>
      <c r="BK39" s="213">
        <v>194.56304958620532</v>
      </c>
      <c r="BL39" s="213">
        <v>235.07402749166266</v>
      </c>
      <c r="BM39" s="213">
        <v>283.42931158430599</v>
      </c>
      <c r="BN39" s="213">
        <v>340.83054875106603</v>
      </c>
      <c r="BO39" s="213">
        <v>409.70970116189778</v>
      </c>
      <c r="BQ39" s="215">
        <v>0.2</v>
      </c>
      <c r="BR39" s="212">
        <v>28.861908176713907</v>
      </c>
      <c r="BS39" s="213">
        <v>33.54779352951924</v>
      </c>
      <c r="BT39" s="213">
        <v>126.97864689249121</v>
      </c>
      <c r="BU39" s="213">
        <v>148.79887263521584</v>
      </c>
      <c r="BV39" s="213">
        <v>174.45009922505241</v>
      </c>
      <c r="BW39" s="213">
        <v>204.8600583930278</v>
      </c>
      <c r="BX39" s="213">
        <v>241.09110023291584</v>
      </c>
      <c r="BY39" s="213">
        <v>284.01710229791115</v>
      </c>
      <c r="BZ39" s="213">
        <v>335.52947699519871</v>
      </c>
    </row>
    <row r="40" spans="1:78">
      <c r="B40" s="215">
        <f>B39-1%</f>
        <v>0.19</v>
      </c>
      <c r="C40" s="211">
        <v>29.854899777175412</v>
      </c>
      <c r="D40" s="54">
        <v>35.68304987711533</v>
      </c>
      <c r="E40" s="43">
        <v>42.409588560737404</v>
      </c>
      <c r="F40" s="43">
        <v>50.216685932644012</v>
      </c>
      <c r="G40" s="43">
        <v>59.270314509951284</v>
      </c>
      <c r="H40" s="43">
        <v>69.87879445574815</v>
      </c>
      <c r="I40" s="43">
        <v>82.375636988449841</v>
      </c>
      <c r="J40" s="43">
        <v>97.013168013236537</v>
      </c>
      <c r="K40" s="43">
        <v>114.43161757900207</v>
      </c>
      <c r="M40" s="215">
        <f>M39-1%</f>
        <v>0.19</v>
      </c>
      <c r="N40" s="211">
        <v>28.616853569537309</v>
      </c>
      <c r="O40" s="54">
        <v>32.967526380214629</v>
      </c>
      <c r="P40" s="54">
        <v>37.949562868261495</v>
      </c>
      <c r="Q40" s="54">
        <v>43.700601549840634</v>
      </c>
      <c r="R40" s="54">
        <v>50.326735092830134</v>
      </c>
      <c r="S40" s="54">
        <v>58.060246772091666</v>
      </c>
      <c r="T40" s="54">
        <v>67.139261241008995</v>
      </c>
      <c r="U40" s="54">
        <v>77.735775896172129</v>
      </c>
      <c r="V40" s="54">
        <v>90.345851130666858</v>
      </c>
      <c r="X40" s="43">
        <f>X39-1%</f>
        <v>0.19</v>
      </c>
      <c r="Y40" s="43">
        <v>28.616853569537309</v>
      </c>
      <c r="Z40" s="43">
        <v>32.967526380214629</v>
      </c>
      <c r="AA40" s="43">
        <v>37.949562868261495</v>
      </c>
      <c r="AB40" s="43">
        <v>43.700601549840634</v>
      </c>
      <c r="AC40" s="43">
        <v>50.326735092830134</v>
      </c>
      <c r="AD40" s="43">
        <v>58.060246772091666</v>
      </c>
      <c r="AE40" s="43">
        <v>67.139261241008995</v>
      </c>
      <c r="AF40" s="43">
        <v>77.735775896172129</v>
      </c>
      <c r="AG40" s="43">
        <v>90.345851130666858</v>
      </c>
      <c r="AI40" s="43">
        <f>AI39-1%</f>
        <v>0.19</v>
      </c>
      <c r="AJ40" s="43">
        <v>28.616853569537309</v>
      </c>
      <c r="AK40" s="43">
        <v>32.967526380214629</v>
      </c>
      <c r="AL40" s="43">
        <v>37.949562868261495</v>
      </c>
      <c r="AM40" s="43">
        <v>43.700601549840634</v>
      </c>
      <c r="AN40" s="43">
        <v>50.326735092830134</v>
      </c>
      <c r="AO40" s="43">
        <v>58.060246772091666</v>
      </c>
      <c r="AP40" s="43">
        <v>67.139261241008995</v>
      </c>
      <c r="AQ40" s="43">
        <v>77.735775896172129</v>
      </c>
      <c r="AR40" s="43">
        <v>90.345851130666858</v>
      </c>
      <c r="AU40" s="215">
        <f>AU39-1%</f>
        <v>0.19</v>
      </c>
      <c r="AV40" s="211">
        <v>29.750009769906828</v>
      </c>
      <c r="AW40" s="54">
        <v>35.402495869093208</v>
      </c>
      <c r="AX40" s="54">
        <v>42.149057739079339</v>
      </c>
      <c r="AY40" s="54">
        <v>50.157442237713795</v>
      </c>
      <c r="AZ40" s="54">
        <v>59.687238028113697</v>
      </c>
      <c r="BA40" s="54">
        <v>71.02770840853664</v>
      </c>
      <c r="BB40" s="54">
        <v>84.563440321778174</v>
      </c>
      <c r="BC40" s="54">
        <v>100.63065122809961</v>
      </c>
      <c r="BD40" s="54">
        <v>119.7499027704033</v>
      </c>
      <c r="BF40" s="215">
        <f>BF39-1%</f>
        <v>0.19</v>
      </c>
      <c r="BG40" s="211">
        <v>29.854925679969611</v>
      </c>
      <c r="BH40" s="54">
        <v>35.683080539648664</v>
      </c>
      <c r="BI40" s="54">
        <v>130.24206828549117</v>
      </c>
      <c r="BJ40" s="54">
        <v>157.2483327434243</v>
      </c>
      <c r="BK40" s="54">
        <v>188.80514215600505</v>
      </c>
      <c r="BL40" s="54">
        <v>225.952565356722</v>
      </c>
      <c r="BM40" s="54">
        <v>269.88683293128167</v>
      </c>
      <c r="BN40" s="54">
        <v>321.55667072029985</v>
      </c>
      <c r="BO40" s="54">
        <v>383.04280673245682</v>
      </c>
      <c r="BQ40" s="215">
        <f>BQ39-1%</f>
        <v>0.19</v>
      </c>
      <c r="BR40" s="211">
        <v>28.616873899617453</v>
      </c>
      <c r="BS40" s="54">
        <v>32.967552606803288</v>
      </c>
      <c r="BT40" s="54">
        <v>125.95126842443841</v>
      </c>
      <c r="BU40" s="54">
        <v>146.30651071612692</v>
      </c>
      <c r="BV40" s="54">
        <v>169.99631909783719</v>
      </c>
      <c r="BW40" s="54">
        <v>197.81519367058146</v>
      </c>
      <c r="BX40" s="54">
        <v>230.64919473619844</v>
      </c>
      <c r="BY40" s="54">
        <v>269.18029736463365</v>
      </c>
      <c r="BZ40" s="54">
        <v>315.03402371842986</v>
      </c>
    </row>
    <row r="41" spans="1:78">
      <c r="B41" s="215">
        <f t="shared" ref="B41:B51" si="31">B40-1%</f>
        <v>0.18</v>
      </c>
      <c r="C41" s="211">
        <v>29.539794842635164</v>
      </c>
      <c r="D41" s="54">
        <v>34.942190480106909</v>
      </c>
      <c r="E41" s="43">
        <v>41.106251134914004</v>
      </c>
      <c r="F41" s="43">
        <v>48.184177310567065</v>
      </c>
      <c r="G41" s="43">
        <v>56.299186821640191</v>
      </c>
      <c r="H41" s="43">
        <v>65.709610510185726</v>
      </c>
      <c r="I41" s="43">
        <v>76.682183580634401</v>
      </c>
      <c r="J41" s="43">
        <v>89.400443587008468</v>
      </c>
      <c r="K41" s="43">
        <v>104.4080642958716</v>
      </c>
      <c r="M41" s="215">
        <f t="shared" ref="M41:M51" si="32">M40-1%</f>
        <v>0.18</v>
      </c>
      <c r="N41" s="211">
        <v>28.371818575415379</v>
      </c>
      <c r="O41" s="54">
        <v>32.392227745005798</v>
      </c>
      <c r="P41" s="54">
        <v>36.939579564769247</v>
      </c>
      <c r="Q41" s="54">
        <v>42.129377075724499</v>
      </c>
      <c r="R41" s="54">
        <v>48.035647281320948</v>
      </c>
      <c r="S41" s="54">
        <v>54.853524686365425</v>
      </c>
      <c r="T41" s="54">
        <v>62.771428982281975</v>
      </c>
      <c r="U41" s="54">
        <v>71.910397005712667</v>
      </c>
      <c r="V41" s="54">
        <v>82.694423844961321</v>
      </c>
      <c r="X41" s="43">
        <f t="shared" ref="X41:X51" si="33">X40-1%</f>
        <v>0.18</v>
      </c>
      <c r="Y41" s="43">
        <v>28.371818575415379</v>
      </c>
      <c r="Z41" s="43">
        <v>32.392227745005798</v>
      </c>
      <c r="AA41" s="43">
        <v>36.939579564769247</v>
      </c>
      <c r="AB41" s="43">
        <v>42.129377075724499</v>
      </c>
      <c r="AC41" s="43">
        <v>48.035647281320948</v>
      </c>
      <c r="AD41" s="43">
        <v>54.853524686365425</v>
      </c>
      <c r="AE41" s="43">
        <v>62.771428982281975</v>
      </c>
      <c r="AF41" s="43">
        <v>71.910397005712667</v>
      </c>
      <c r="AG41" s="43">
        <v>82.694423844961321</v>
      </c>
      <c r="AI41" s="43">
        <f t="shared" ref="AI41:AI51" si="34">AI40-1%</f>
        <v>0.18</v>
      </c>
      <c r="AJ41" s="43">
        <v>28.371818575415379</v>
      </c>
      <c r="AK41" s="43">
        <v>32.392227745005798</v>
      </c>
      <c r="AL41" s="43">
        <v>36.939579564769247</v>
      </c>
      <c r="AM41" s="43">
        <v>42.129377075724499</v>
      </c>
      <c r="AN41" s="43">
        <v>48.035647281320948</v>
      </c>
      <c r="AO41" s="43">
        <v>54.853524686365425</v>
      </c>
      <c r="AP41" s="43">
        <v>62.771428982281975</v>
      </c>
      <c r="AQ41" s="43">
        <v>71.910397005712667</v>
      </c>
      <c r="AR41" s="43">
        <v>82.694423844961321</v>
      </c>
      <c r="AU41" s="215">
        <f t="shared" ref="AU41:AU51" si="35">AU40-1%</f>
        <v>0.18</v>
      </c>
      <c r="AV41" s="211">
        <v>29.499995591147716</v>
      </c>
      <c r="AW41" s="54">
        <v>34.810027737691364</v>
      </c>
      <c r="AX41" s="54">
        <v>41.094447131390055</v>
      </c>
      <c r="AY41" s="54">
        <v>48.49135465854841</v>
      </c>
      <c r="AZ41" s="54">
        <v>57.219805151967947</v>
      </c>
      <c r="BA41" s="54">
        <v>67.519476510223413</v>
      </c>
      <c r="BB41" s="54">
        <v>79.708879999069239</v>
      </c>
      <c r="BC41" s="54">
        <v>94.056764136152808</v>
      </c>
      <c r="BD41" s="54">
        <v>110.98726001141803</v>
      </c>
      <c r="BF41" s="215">
        <f t="shared" ref="BF41:BF51" si="36">BF40-1%</f>
        <v>0.18</v>
      </c>
      <c r="BG41" s="211">
        <v>29.539796565764505</v>
      </c>
      <c r="BH41" s="54">
        <v>34.942192518371357</v>
      </c>
      <c r="BI41" s="54">
        <v>128.93869116575686</v>
      </c>
      <c r="BJ41" s="54">
        <v>154.08404849151052</v>
      </c>
      <c r="BK41" s="54">
        <v>183.17478213250928</v>
      </c>
      <c r="BL41" s="54">
        <v>217.09659881048498</v>
      </c>
      <c r="BM41" s="54">
        <v>256.84071367723107</v>
      </c>
      <c r="BN41" s="54">
        <v>303.13759979498559</v>
      </c>
      <c r="BO41" s="54">
        <v>357.76962670266744</v>
      </c>
      <c r="BQ41" s="215">
        <f t="shared" ref="BQ41:BQ51" si="37">BQ40-1%</f>
        <v>0.18</v>
      </c>
      <c r="BR41" s="211">
        <v>28.371820253161765</v>
      </c>
      <c r="BS41" s="54">
        <v>32.392229660496092</v>
      </c>
      <c r="BT41" s="54">
        <v>124.94132235297398</v>
      </c>
      <c r="BU41" s="54">
        <v>143.85520060132652</v>
      </c>
      <c r="BV41" s="54">
        <v>165.64067309808982</v>
      </c>
      <c r="BW41" s="54">
        <v>190.97618148794288</v>
      </c>
      <c r="BX41" s="54">
        <v>220.59047032315638</v>
      </c>
      <c r="BY41" s="54">
        <v>255.00527512883261</v>
      </c>
      <c r="BZ41" s="54">
        <v>295.61385426505797</v>
      </c>
    </row>
    <row r="42" spans="1:78">
      <c r="B42" s="215">
        <f t="shared" si="31"/>
        <v>0.16999999999999998</v>
      </c>
      <c r="C42" s="211">
        <v>29.224698289258313</v>
      </c>
      <c r="D42" s="54">
        <v>34.207562290126177</v>
      </c>
      <c r="E42" s="43">
        <v>39.825159685787099</v>
      </c>
      <c r="F42" s="43">
        <v>46.203615074445594</v>
      </c>
      <c r="G42" s="43">
        <v>53.429763653616725</v>
      </c>
      <c r="H42" s="43">
        <v>61.718641314975535</v>
      </c>
      <c r="I42" s="43">
        <v>71.281013396323445</v>
      </c>
      <c r="J42" s="43">
        <v>82.243680562495669</v>
      </c>
      <c r="K42" s="43">
        <v>95.070359010333718</v>
      </c>
      <c r="M42" s="215">
        <f t="shared" si="32"/>
        <v>0.16999999999999998</v>
      </c>
      <c r="N42" s="211">
        <v>28.126763510279851</v>
      </c>
      <c r="O42" s="54">
        <v>31.821825487507631</v>
      </c>
      <c r="P42" s="54">
        <v>35.947037696171947</v>
      </c>
      <c r="Q42" s="54">
        <v>40.598557942333372</v>
      </c>
      <c r="R42" s="54">
        <v>45.823545093430511</v>
      </c>
      <c r="S42" s="54">
        <v>51.784747347156497</v>
      </c>
      <c r="T42" s="54">
        <v>58.629001036535151</v>
      </c>
      <c r="U42" s="54">
        <v>66.436190043275104</v>
      </c>
      <c r="V42" s="54">
        <v>75.570722703922343</v>
      </c>
      <c r="X42" s="43">
        <f t="shared" si="33"/>
        <v>0.16999999999999998</v>
      </c>
      <c r="Y42" s="43">
        <v>28.126763510279851</v>
      </c>
      <c r="Z42" s="43">
        <v>31.821825487507631</v>
      </c>
      <c r="AA42" s="43">
        <v>35.947037696171947</v>
      </c>
      <c r="AB42" s="43">
        <v>40.598557942333372</v>
      </c>
      <c r="AC42" s="43">
        <v>45.823545093430511</v>
      </c>
      <c r="AD42" s="43">
        <v>51.784747347156497</v>
      </c>
      <c r="AE42" s="43">
        <v>58.629001036535151</v>
      </c>
      <c r="AF42" s="43">
        <v>66.436190043275104</v>
      </c>
      <c r="AG42" s="43">
        <v>75.570722703922343</v>
      </c>
      <c r="AI42" s="43">
        <f t="shared" si="34"/>
        <v>0.16999999999999998</v>
      </c>
      <c r="AJ42" s="43">
        <v>28.126763510279851</v>
      </c>
      <c r="AK42" s="43">
        <v>31.821825487507631</v>
      </c>
      <c r="AL42" s="43">
        <v>35.947037696171947</v>
      </c>
      <c r="AM42" s="43">
        <v>40.598557942333372</v>
      </c>
      <c r="AN42" s="43">
        <v>45.823545093430511</v>
      </c>
      <c r="AO42" s="43">
        <v>51.784747347156497</v>
      </c>
      <c r="AP42" s="43">
        <v>58.629001036535151</v>
      </c>
      <c r="AQ42" s="43">
        <v>66.436190043275104</v>
      </c>
      <c r="AR42" s="43">
        <v>75.570722703922343</v>
      </c>
      <c r="AU42" s="215">
        <f t="shared" si="35"/>
        <v>0.16999999999999998</v>
      </c>
      <c r="AV42" s="211">
        <v>29.250005138447239</v>
      </c>
      <c r="AW42" s="54">
        <v>34.222525180333811</v>
      </c>
      <c r="AX42" s="54">
        <v>40.057594207773661</v>
      </c>
      <c r="AY42" s="54">
        <v>46.867373312973186</v>
      </c>
      <c r="AZ42" s="54">
        <v>54.834866277085176</v>
      </c>
      <c r="BA42" s="54">
        <v>64.156710262392636</v>
      </c>
      <c r="BB42" s="54">
        <v>75.09564413276145</v>
      </c>
      <c r="BC42" s="54">
        <v>87.861809087867115</v>
      </c>
      <c r="BD42" s="54">
        <v>102.79866334183141</v>
      </c>
      <c r="BF42" s="215">
        <f t="shared" si="36"/>
        <v>0.16999999999999998</v>
      </c>
      <c r="BG42" s="211">
        <v>29.224687496298202</v>
      </c>
      <c r="BH42" s="54">
        <v>34.20754965694681</v>
      </c>
      <c r="BI42" s="54">
        <v>127.65760822052314</v>
      </c>
      <c r="BJ42" s="54">
        <v>150.97166084676465</v>
      </c>
      <c r="BK42" s="54">
        <v>177.66825772343162</v>
      </c>
      <c r="BL42" s="54">
        <v>208.49872102883427</v>
      </c>
      <c r="BM42" s="54">
        <v>244.27310440305044</v>
      </c>
      <c r="BN42" s="54">
        <v>285.54096131866203</v>
      </c>
      <c r="BO42" s="54">
        <v>333.82684048462659</v>
      </c>
      <c r="BQ42" s="215">
        <f t="shared" si="37"/>
        <v>0.16999999999999998</v>
      </c>
      <c r="BR42" s="211">
        <v>28.126774096185564</v>
      </c>
      <c r="BS42" s="54">
        <v>31.821780332014391</v>
      </c>
      <c r="BT42" s="54">
        <v>123.9486805427686</v>
      </c>
      <c r="BU42" s="54">
        <v>141.44439393915445</v>
      </c>
      <c r="BV42" s="54">
        <v>161.38165759017178</v>
      </c>
      <c r="BW42" s="54">
        <v>184.33643516543472</v>
      </c>
      <c r="BX42" s="54">
        <v>210.9024918364812</v>
      </c>
      <c r="BY42" s="54">
        <v>241.46487186074947</v>
      </c>
      <c r="BZ42" s="54">
        <v>277.22225706519902</v>
      </c>
    </row>
    <row r="43" spans="1:78">
      <c r="B43" s="215">
        <f t="shared" si="31"/>
        <v>0.15999999999999998</v>
      </c>
      <c r="C43" s="211">
        <v>28.909566607677668</v>
      </c>
      <c r="D43" s="54">
        <v>33.479274653379669</v>
      </c>
      <c r="E43" s="43">
        <v>38.566032772271583</v>
      </c>
      <c r="F43" s="43">
        <v>44.274508317501891</v>
      </c>
      <c r="G43" s="43">
        <v>50.659205864350987</v>
      </c>
      <c r="H43" s="43">
        <v>57.899987114296529</v>
      </c>
      <c r="I43" s="43">
        <v>66.159505514988339</v>
      </c>
      <c r="J43" s="43">
        <v>75.519943860065283</v>
      </c>
      <c r="K43" s="43">
        <v>86.376951697563513</v>
      </c>
      <c r="M43" s="215">
        <f t="shared" si="32"/>
        <v>0.15999999999999998</v>
      </c>
      <c r="N43" s="211">
        <v>27.881719223461371</v>
      </c>
      <c r="O43" s="54">
        <v>31.256278521057634</v>
      </c>
      <c r="P43" s="54">
        <v>34.971491197105919</v>
      </c>
      <c r="Q43" s="54">
        <v>39.107495256521254</v>
      </c>
      <c r="R43" s="54">
        <v>43.687825407291271</v>
      </c>
      <c r="S43" s="54">
        <v>48.849359748663673</v>
      </c>
      <c r="T43" s="54">
        <v>54.703039849161634</v>
      </c>
      <c r="U43" s="54">
        <v>61.295571677140678</v>
      </c>
      <c r="V43" s="54">
        <v>68.94292731885615</v>
      </c>
      <c r="X43" s="215">
        <f t="shared" si="33"/>
        <v>0.15999999999999998</v>
      </c>
      <c r="Y43" s="211">
        <v>28.881807820584147</v>
      </c>
      <c r="Z43" s="54">
        <v>33.447095586181298</v>
      </c>
      <c r="AA43" s="54">
        <v>38.528653067060866</v>
      </c>
      <c r="AB43" s="54">
        <v>44.231046600466904</v>
      </c>
      <c r="AC43" s="54">
        <v>50.608974707531537</v>
      </c>
      <c r="AD43" s="54">
        <v>57.84162855390322</v>
      </c>
      <c r="AE43" s="54">
        <v>66.091901793294866</v>
      </c>
      <c r="AF43" s="54">
        <v>75.441047123521884</v>
      </c>
      <c r="AG43" s="54">
        <v>86.285934670574591</v>
      </c>
      <c r="AI43" s="215">
        <f t="shared" si="34"/>
        <v>0.15999999999999998</v>
      </c>
      <c r="AJ43" s="211">
        <v>28.314286811910542</v>
      </c>
      <c r="AK43" s="54">
        <v>32.788707209372738</v>
      </c>
      <c r="AL43" s="54">
        <v>37.764635986937975</v>
      </c>
      <c r="AM43" s="54">
        <v>43.344870918304181</v>
      </c>
      <c r="AN43" s="54">
        <v>49.580810280473202</v>
      </c>
      <c r="AO43" s="54">
        <v>56.64921227032324</v>
      </c>
      <c r="AP43" s="54">
        <v>64.707950550109985</v>
      </c>
      <c r="AQ43" s="54">
        <v>73.835784437372041</v>
      </c>
      <c r="AR43" s="54">
        <v>84.424219304980909</v>
      </c>
      <c r="AU43" s="215">
        <f t="shared" si="35"/>
        <v>0.15999999999999998</v>
      </c>
      <c r="AV43" s="211">
        <v>29.00001206565052</v>
      </c>
      <c r="AW43" s="54">
        <v>33.639997900156473</v>
      </c>
      <c r="AX43" s="54">
        <v>39.038254504565607</v>
      </c>
      <c r="AY43" s="54">
        <v>45.284456692523221</v>
      </c>
      <c r="AZ43" s="54">
        <v>52.529884664895022</v>
      </c>
      <c r="BA43" s="54">
        <v>60.934718051860052</v>
      </c>
      <c r="BB43" s="54">
        <v>70.713060638185254</v>
      </c>
      <c r="BC43" s="54">
        <v>82.026781386791214</v>
      </c>
      <c r="BD43" s="54">
        <v>95.151113350499529</v>
      </c>
      <c r="BF43" s="215">
        <f t="shared" si="36"/>
        <v>0.15999999999999998</v>
      </c>
      <c r="BG43" s="211">
        <v>28.909586694057598</v>
      </c>
      <c r="BH43" s="54">
        <v>33.47929791479482</v>
      </c>
      <c r="BI43" s="54">
        <v>126.39853553313507</v>
      </c>
      <c r="BJ43" s="54">
        <v>147.91062957275352</v>
      </c>
      <c r="BK43" s="54">
        <v>172.28365745316611</v>
      </c>
      <c r="BL43" s="54">
        <v>200.15198350615609</v>
      </c>
      <c r="BM43" s="54">
        <v>232.17010106184085</v>
      </c>
      <c r="BN43" s="54">
        <v>268.73465996558656</v>
      </c>
      <c r="BO43" s="54">
        <v>311.15174131627759</v>
      </c>
      <c r="BQ43" s="215">
        <f t="shared" si="37"/>
        <v>0.15999999999999998</v>
      </c>
      <c r="BR43" s="211">
        <v>27.881721781861778</v>
      </c>
      <c r="BS43" s="54">
        <v>31.25627817399474</v>
      </c>
      <c r="BT43" s="54">
        <v>122.97327912373382</v>
      </c>
      <c r="BU43" s="54">
        <v>139.07337380555416</v>
      </c>
      <c r="BV43" s="54">
        <v>157.21676763021048</v>
      </c>
      <c r="BW43" s="54">
        <v>177.89163316055442</v>
      </c>
      <c r="BX43" s="54">
        <v>201.57446827597903</v>
      </c>
      <c r="BY43" s="54">
        <v>228.53454766807917</v>
      </c>
      <c r="BZ43" s="54">
        <v>259.80875748168887</v>
      </c>
    </row>
    <row r="44" spans="1:78">
      <c r="B44" s="215">
        <f t="shared" si="31"/>
        <v>0.14999999999999997</v>
      </c>
      <c r="C44" s="211">
        <v>28.594453096714087</v>
      </c>
      <c r="D44" s="54">
        <v>32.757268953488932</v>
      </c>
      <c r="E44" s="43">
        <v>37.328916547670332</v>
      </c>
      <c r="F44" s="43">
        <v>42.395598050288307</v>
      </c>
      <c r="G44" s="43">
        <v>47.985269832866685</v>
      </c>
      <c r="H44" s="43">
        <v>54.248031642685355</v>
      </c>
      <c r="I44" s="43">
        <v>61.306172201350911</v>
      </c>
      <c r="J44" s="43">
        <v>69.206156149059424</v>
      </c>
      <c r="K44" s="43">
        <v>78.291530452635897</v>
      </c>
      <c r="M44" s="215">
        <f t="shared" si="32"/>
        <v>0.14999999999999997</v>
      </c>
      <c r="N44" s="211">
        <v>27.636694602645445</v>
      </c>
      <c r="O44" s="54">
        <v>30.695685070296744</v>
      </c>
      <c r="P44" s="54">
        <v>34.012973418339243</v>
      </c>
      <c r="Q44" s="54">
        <v>37.6555932808416</v>
      </c>
      <c r="R44" s="54">
        <v>41.62706220579809</v>
      </c>
      <c r="S44" s="54">
        <v>46.042483263566076</v>
      </c>
      <c r="T44" s="54">
        <v>50.983958609361117</v>
      </c>
      <c r="U44" s="54">
        <v>56.471663762756997</v>
      </c>
      <c r="V44" s="54">
        <v>62.782551761042718</v>
      </c>
      <c r="X44" s="215">
        <f t="shared" si="33"/>
        <v>0.14999999999999997</v>
      </c>
      <c r="Y44" s="211">
        <v>28.566705245485633</v>
      </c>
      <c r="Z44" s="229">
        <v>32.725380219876151</v>
      </c>
      <c r="AA44" s="54">
        <v>37.292082900056762</v>
      </c>
      <c r="AB44" s="54">
        <v>42.353233848753419</v>
      </c>
      <c r="AC44" s="54">
        <v>47.936645257882532</v>
      </c>
      <c r="AD44" s="54">
        <v>54.192019983008244</v>
      </c>
      <c r="AE44" s="54">
        <v>61.241884550995202</v>
      </c>
      <c r="AF44" s="54">
        <v>69.132275878707105</v>
      </c>
      <c r="AG44" s="54">
        <v>78.206295345049199</v>
      </c>
      <c r="AI44" s="215">
        <f t="shared" si="34"/>
        <v>0.14999999999999997</v>
      </c>
      <c r="AJ44" s="211">
        <v>28.001251121447151</v>
      </c>
      <c r="AK44" s="54">
        <v>32.07512789782939</v>
      </c>
      <c r="AL44" s="54">
        <v>36.54399779748838</v>
      </c>
      <c r="AM44" s="54">
        <v>41.492888340587065</v>
      </c>
      <c r="AN44" s="54">
        <v>46.947249948103426</v>
      </c>
      <c r="AO44" s="54">
        <v>53.05415064909203</v>
      </c>
      <c r="AP44" s="54">
        <v>59.933028646992589</v>
      </c>
      <c r="AQ44" s="54">
        <v>67.627028890319679</v>
      </c>
      <c r="AR44" s="54">
        <v>76.475575136328843</v>
      </c>
      <c r="AU44" s="215">
        <f t="shared" si="35"/>
        <v>0.14999999999999997</v>
      </c>
      <c r="AV44" s="227">
        <v>28.749997730092566</v>
      </c>
      <c r="AW44" s="54">
        <v>33.062509619744198</v>
      </c>
      <c r="AX44" s="54">
        <v>38.036447221572573</v>
      </c>
      <c r="AY44" s="54">
        <v>43.741936065645291</v>
      </c>
      <c r="AZ44" s="54">
        <v>50.303145175558711</v>
      </c>
      <c r="BA44" s="54">
        <v>57.848745007366169</v>
      </c>
      <c r="BB44" s="54">
        <v>66.551557718104021</v>
      </c>
      <c r="BC44" s="54">
        <v>76.534217069714416</v>
      </c>
      <c r="BD44" s="54">
        <v>88.014558518767316</v>
      </c>
      <c r="BF44" s="215">
        <f t="shared" si="36"/>
        <v>0.14999999999999997</v>
      </c>
      <c r="BG44" s="211">
        <v>28.594460338151023</v>
      </c>
      <c r="BH44" s="54">
        <v>32.757277249143215</v>
      </c>
      <c r="BI44" s="54">
        <v>125.16139023078115</v>
      </c>
      <c r="BJ44" s="54">
        <v>144.89963986656255</v>
      </c>
      <c r="BK44" s="54">
        <v>167.01803730413613</v>
      </c>
      <c r="BL44" s="54">
        <v>192.04975700368865</v>
      </c>
      <c r="BM44" s="54">
        <v>220.51560293913769</v>
      </c>
      <c r="BN44" s="54">
        <v>252.68784969875199</v>
      </c>
      <c r="BO44" s="54">
        <v>289.68534209523409</v>
      </c>
      <c r="BQ44" s="215">
        <f t="shared" si="37"/>
        <v>0.14999999999999997</v>
      </c>
      <c r="BR44" s="211">
        <v>27.636678480957571</v>
      </c>
      <c r="BS44" s="54">
        <v>30.695665996788318</v>
      </c>
      <c r="BT44" s="54">
        <v>122.01474433454786</v>
      </c>
      <c r="BU44" s="54">
        <v>136.7412982772158</v>
      </c>
      <c r="BV44" s="54">
        <v>153.14413975597358</v>
      </c>
      <c r="BW44" s="54">
        <v>171.63582764436728</v>
      </c>
      <c r="BX44" s="54">
        <v>192.59325832574126</v>
      </c>
      <c r="BY44" s="54">
        <v>216.18992045263644</v>
      </c>
      <c r="BZ44" s="54">
        <v>243.32732322924906</v>
      </c>
    </row>
    <row r="45" spans="1:78">
      <c r="B45" s="215">
        <f t="shared" si="31"/>
        <v>0.13999999999999996</v>
      </c>
      <c r="C45" s="211">
        <v>28.279341073294603</v>
      </c>
      <c r="D45" s="54">
        <v>32.041617398018566</v>
      </c>
      <c r="E45" s="43">
        <v>36.113371005163501</v>
      </c>
      <c r="F45" s="43">
        <v>40.566040029191832</v>
      </c>
      <c r="G45" s="43">
        <v>45.4051035782486</v>
      </c>
      <c r="H45" s="43">
        <v>50.756272307869658</v>
      </c>
      <c r="I45" s="43">
        <v>56.709757286545646</v>
      </c>
      <c r="J45" s="43">
        <v>63.282167266305827</v>
      </c>
      <c r="K45" s="43">
        <v>70.775340620311013</v>
      </c>
      <c r="M45" s="215">
        <f t="shared" si="32"/>
        <v>0.13999999999999996</v>
      </c>
      <c r="N45" s="211">
        <v>27.391640971977729</v>
      </c>
      <c r="O45" s="54">
        <v>30.139949581878668</v>
      </c>
      <c r="P45" s="54">
        <v>33.071331297328783</v>
      </c>
      <c r="Q45" s="54">
        <v>36.241989922974341</v>
      </c>
      <c r="R45" s="54">
        <v>39.638909971364491</v>
      </c>
      <c r="S45" s="54">
        <v>43.359648718890803</v>
      </c>
      <c r="T45" s="54">
        <v>47.462650690420304</v>
      </c>
      <c r="U45" s="54">
        <v>51.947323856485312</v>
      </c>
      <c r="V45" s="54">
        <v>57.060186364096872</v>
      </c>
      <c r="X45" s="215">
        <f t="shared" si="33"/>
        <v>0.13999999999999996</v>
      </c>
      <c r="Y45" s="211">
        <v>28.251598004878964</v>
      </c>
      <c r="Z45" s="54">
        <v>32.009955764544813</v>
      </c>
      <c r="AA45" s="54">
        <v>36.077261530336244</v>
      </c>
      <c r="AB45" s="54">
        <v>40.524805404883018</v>
      </c>
      <c r="AC45" s="54">
        <v>45.358109759637259</v>
      </c>
      <c r="AD45" s="54">
        <v>50.702909264667383</v>
      </c>
      <c r="AE45" s="54">
        <v>56.648539376359956</v>
      </c>
      <c r="AF45" s="54">
        <v>63.212881145579473</v>
      </c>
      <c r="AG45" s="54">
        <v>70.695940721586737</v>
      </c>
      <c r="AI45" s="215">
        <f t="shared" si="34"/>
        <v>0.13999999999999996</v>
      </c>
      <c r="AJ45" s="211">
        <v>27.688217597230608</v>
      </c>
      <c r="AK45" s="54">
        <v>31.367714700506802</v>
      </c>
      <c r="AL45" s="54">
        <v>35.344887235487704</v>
      </c>
      <c r="AM45" s="54">
        <v>39.689882016423041</v>
      </c>
      <c r="AN45" s="54">
        <v>44.406232646550286</v>
      </c>
      <c r="AO45" s="54">
        <v>49.617719937399784</v>
      </c>
      <c r="AP45" s="54">
        <v>55.411197927060847</v>
      </c>
      <c r="AQ45" s="54">
        <v>61.802136886440714</v>
      </c>
      <c r="AR45" s="54">
        <v>69.087959350360322</v>
      </c>
      <c r="AU45" s="215">
        <f t="shared" si="35"/>
        <v>0.13999999999999996</v>
      </c>
      <c r="AV45" s="211">
        <v>28.499998948945816</v>
      </c>
      <c r="AW45" s="54">
        <v>32.49002423096394</v>
      </c>
      <c r="AX45" s="54">
        <v>37.051882679416963</v>
      </c>
      <c r="AY45" s="54">
        <v>42.239174424543478</v>
      </c>
      <c r="AZ45" s="54">
        <v>48.152547431314943</v>
      </c>
      <c r="BA45" s="54">
        <v>54.894058771211895</v>
      </c>
      <c r="BB45" s="54">
        <v>62.601721966386343</v>
      </c>
      <c r="BC45" s="54">
        <v>71.366034966753048</v>
      </c>
      <c r="BD45" s="54">
        <v>81.357033914203129</v>
      </c>
      <c r="BF45" s="215">
        <f t="shared" si="36"/>
        <v>0.13999999999999996</v>
      </c>
      <c r="BG45" s="211">
        <v>28.279355799605632</v>
      </c>
      <c r="BH45" s="54">
        <v>32.041634083514268</v>
      </c>
      <c r="BI45" s="54">
        <v>123.94589971568224</v>
      </c>
      <c r="BJ45" s="54">
        <v>141.93847245550583</v>
      </c>
      <c r="BK45" s="54">
        <v>161.86918968142996</v>
      </c>
      <c r="BL45" s="54">
        <v>184.18568334876929</v>
      </c>
      <c r="BM45" s="54">
        <v>209.29646390471498</v>
      </c>
      <c r="BN45" s="54">
        <v>237.36727080061272</v>
      </c>
      <c r="BO45" s="54">
        <v>269.36902582982566</v>
      </c>
      <c r="BQ45" s="215">
        <f t="shared" si="37"/>
        <v>0.13999999999999996</v>
      </c>
      <c r="BR45" s="211">
        <v>27.391654292387784</v>
      </c>
      <c r="BS45" s="54">
        <v>30.139964238776656</v>
      </c>
      <c r="BT45" s="54">
        <v>121.0730922753021</v>
      </c>
      <c r="BU45" s="54">
        <v>134.44782587678765</v>
      </c>
      <c r="BV45" s="54">
        <v>149.16206376621159</v>
      </c>
      <c r="BW45" s="54">
        <v>165.56489544432864</v>
      </c>
      <c r="BX45" s="54">
        <v>183.94797570234724</v>
      </c>
      <c r="BY45" s="54">
        <v>204.40903517966427</v>
      </c>
      <c r="BZ45" s="54">
        <v>227.73427539765646</v>
      </c>
    </row>
    <row r="46" spans="1:78">
      <c r="B46" s="215">
        <f t="shared" si="31"/>
        <v>0.12999999999999995</v>
      </c>
      <c r="C46" s="211">
        <v>27.964242129023447</v>
      </c>
      <c r="D46" s="54">
        <v>31.332248461834205</v>
      </c>
      <c r="E46" s="43">
        <v>34.919325066619798</v>
      </c>
      <c r="F46" s="43">
        <v>38.785233319795964</v>
      </c>
      <c r="G46" s="43">
        <v>42.916500177143192</v>
      </c>
      <c r="H46" s="43">
        <v>47.41950685401865</v>
      </c>
      <c r="I46" s="43">
        <v>52.35814298391341</v>
      </c>
      <c r="J46" s="43">
        <v>57.727391640004384</v>
      </c>
      <c r="K46" s="43">
        <v>63.795355101492156</v>
      </c>
      <c r="M46" s="215">
        <f t="shared" si="32"/>
        <v>0.12999999999999995</v>
      </c>
      <c r="N46" s="211">
        <v>27.146607204012714</v>
      </c>
      <c r="O46" s="54">
        <v>29.589151260838058</v>
      </c>
      <c r="P46" s="54">
        <v>32.146378846477148</v>
      </c>
      <c r="Q46" s="54">
        <v>34.866041372203547</v>
      </c>
      <c r="R46" s="54">
        <v>37.721746899696981</v>
      </c>
      <c r="S46" s="54">
        <v>40.796923589168927</v>
      </c>
      <c r="T46" s="54">
        <v>44.130683631139881</v>
      </c>
      <c r="U46" s="54">
        <v>47.707656080715822</v>
      </c>
      <c r="V46" s="54">
        <v>51.750000794292689</v>
      </c>
      <c r="X46" s="215">
        <f t="shared" si="33"/>
        <v>0.12999999999999995</v>
      </c>
      <c r="Y46" s="211">
        <v>27.936473788935896</v>
      </c>
      <c r="Z46" s="54">
        <v>31.300829861718874</v>
      </c>
      <c r="AA46" s="54">
        <v>34.883916358732591</v>
      </c>
      <c r="AB46" s="54">
        <v>38.745065719749491</v>
      </c>
      <c r="AC46" s="54">
        <v>42.871227581401563</v>
      </c>
      <c r="AD46" s="54">
        <v>47.368373540094311</v>
      </c>
      <c r="AE46" s="54">
        <v>52.300196655090716</v>
      </c>
      <c r="AF46" s="54">
        <v>57.662097850681079</v>
      </c>
      <c r="AG46" s="54">
        <v>63.721446843604198</v>
      </c>
      <c r="AI46" s="215">
        <f t="shared" si="34"/>
        <v>0.12999999999999995</v>
      </c>
      <c r="AJ46" s="211">
        <v>27.375192187952358</v>
      </c>
      <c r="AK46" s="229">
        <v>30.666572168723548</v>
      </c>
      <c r="AL46" s="54">
        <v>34.166960726448039</v>
      </c>
      <c r="AM46" s="54">
        <v>37.934872543613153</v>
      </c>
      <c r="AN46" s="54">
        <v>41.955740200280999</v>
      </c>
      <c r="AO46" s="54">
        <v>46.33399167185889</v>
      </c>
      <c r="AP46" s="54">
        <v>51.130653415120321</v>
      </c>
      <c r="AQ46" s="54">
        <v>56.340683608050753</v>
      </c>
      <c r="AR46" s="54">
        <v>62.227785140170916</v>
      </c>
      <c r="AU46" s="215">
        <f t="shared" si="35"/>
        <v>0.12999999999999995</v>
      </c>
      <c r="AV46" s="211">
        <v>28.249991776190857</v>
      </c>
      <c r="AW46" s="54">
        <v>31.922486076789678</v>
      </c>
      <c r="AX46" s="54">
        <v>36.084492856762758</v>
      </c>
      <c r="AY46" s="54">
        <v>40.775471072095044</v>
      </c>
      <c r="AZ46" s="54">
        <v>46.076303421605182</v>
      </c>
      <c r="BA46" s="54">
        <v>52.066213970731653</v>
      </c>
      <c r="BB46" s="54">
        <v>58.854587400529589</v>
      </c>
      <c r="BC46" s="54">
        <v>66.505844668827095</v>
      </c>
      <c r="BD46" s="54">
        <v>75.151170592484746</v>
      </c>
      <c r="BF46" s="215">
        <f t="shared" si="36"/>
        <v>0.12999999999999995</v>
      </c>
      <c r="BG46" s="211">
        <v>27.964228449648498</v>
      </c>
      <c r="BH46" s="54">
        <v>31.332233134918759</v>
      </c>
      <c r="BI46" s="54">
        <v>122.75189977108207</v>
      </c>
      <c r="BJ46" s="54">
        <v>139.02579183882324</v>
      </c>
      <c r="BK46" s="54">
        <v>156.83427245544132</v>
      </c>
      <c r="BL46" s="54">
        <v>176.55355426642126</v>
      </c>
      <c r="BM46" s="54">
        <v>198.49613518047758</v>
      </c>
      <c r="BN46" s="54">
        <v>222.7469346076056</v>
      </c>
      <c r="BO46" s="54">
        <v>250.15046499482153</v>
      </c>
      <c r="BQ46" s="215">
        <f t="shared" si="37"/>
        <v>0.12999999999999995</v>
      </c>
      <c r="BR46" s="211">
        <v>27.146591191408348</v>
      </c>
      <c r="BS46" s="54">
        <v>29.589133807483066</v>
      </c>
      <c r="BT46" s="54">
        <v>120.14810760826404</v>
      </c>
      <c r="BU46" s="54">
        <v>132.19178121861765</v>
      </c>
      <c r="BV46" s="54">
        <v>145.26856426672563</v>
      </c>
      <c r="BW46" s="54">
        <v>159.67304926415426</v>
      </c>
      <c r="BX46" s="54">
        <v>175.62715371690652</v>
      </c>
      <c r="BY46" s="54">
        <v>193.1669291453623</v>
      </c>
      <c r="BZ46" s="54">
        <v>212.98726370651835</v>
      </c>
    </row>
    <row r="47" spans="1:78">
      <c r="B47" s="215">
        <f t="shared" si="31"/>
        <v>0.11999999999999995</v>
      </c>
      <c r="C47" s="211">
        <v>27.649140020790824</v>
      </c>
      <c r="D47" s="54">
        <v>30.629141987679663</v>
      </c>
      <c r="E47" s="43">
        <v>33.746688977100895</v>
      </c>
      <c r="F47" s="43">
        <v>37.052102924150432</v>
      </c>
      <c r="G47" s="43">
        <v>40.516985858525068</v>
      </c>
      <c r="H47" s="43">
        <v>44.232525963173849</v>
      </c>
      <c r="I47" s="43">
        <v>48.241008136579353</v>
      </c>
      <c r="J47" s="43">
        <v>52.522240167531798</v>
      </c>
      <c r="K47" s="43">
        <v>57.317787048787466</v>
      </c>
      <c r="M47" s="215">
        <f t="shared" si="32"/>
        <v>0.11999999999999995</v>
      </c>
      <c r="N47" s="211">
        <v>26.90154761762436</v>
      </c>
      <c r="O47" s="54">
        <v>29.043231728177052</v>
      </c>
      <c r="P47" s="54">
        <v>31.237932413583067</v>
      </c>
      <c r="Q47" s="54">
        <v>33.527186878471674</v>
      </c>
      <c r="R47" s="54">
        <v>35.873541248634353</v>
      </c>
      <c r="S47" s="54">
        <v>38.349746868428284</v>
      </c>
      <c r="T47" s="54">
        <v>40.979855638844207</v>
      </c>
      <c r="U47" s="54">
        <v>43.73741568200353</v>
      </c>
      <c r="V47" s="54">
        <v>46.826059291824919</v>
      </c>
      <c r="X47" s="215">
        <f t="shared" si="33"/>
        <v>0.11999999999999995</v>
      </c>
      <c r="Y47" s="211">
        <v>27.621370794378159</v>
      </c>
      <c r="Z47" s="54">
        <v>30.598052735700975</v>
      </c>
      <c r="AA47" s="54">
        <v>33.71176970240905</v>
      </c>
      <c r="AB47" s="54">
        <v>37.013016946572066</v>
      </c>
      <c r="AC47" s="54">
        <v>40.473371041664677</v>
      </c>
      <c r="AD47" s="54">
        <v>44.183508140320761</v>
      </c>
      <c r="AE47" s="54">
        <v>48.186125867658717</v>
      </c>
      <c r="AF47" s="54">
        <v>52.461182770596423</v>
      </c>
      <c r="AG47" s="54">
        <v>57.248909706039392</v>
      </c>
      <c r="AI47" s="215">
        <f t="shared" si="34"/>
        <v>0.11999999999999995</v>
      </c>
      <c r="AJ47" s="211">
        <v>27.062170111564075</v>
      </c>
      <c r="AK47" s="54">
        <v>29.971711153168044</v>
      </c>
      <c r="AL47" s="54">
        <v>33.010148059558738</v>
      </c>
      <c r="AM47" s="54">
        <v>36.227109432662168</v>
      </c>
      <c r="AN47" s="54">
        <v>39.593046962352474</v>
      </c>
      <c r="AO47" s="54">
        <v>43.197882936397647</v>
      </c>
      <c r="AP47" s="54">
        <v>47.081744002246076</v>
      </c>
      <c r="AQ47" s="54">
        <v>51.223812400632731</v>
      </c>
      <c r="AR47" s="54">
        <v>55.863593306936174</v>
      </c>
      <c r="AU47" s="215">
        <f t="shared" si="35"/>
        <v>0.11999999999999995</v>
      </c>
      <c r="AV47" s="211">
        <v>28.000007914126542</v>
      </c>
      <c r="AW47" s="54">
        <v>31.360024328824306</v>
      </c>
      <c r="AX47" s="54">
        <v>35.134122832108027</v>
      </c>
      <c r="AY47" s="54">
        <v>39.350185448529245</v>
      </c>
      <c r="AZ47" s="54">
        <v>44.0722657480066</v>
      </c>
      <c r="BA47" s="54">
        <v>49.360927201611993</v>
      </c>
      <c r="BB47" s="54">
        <v>55.301245477878076</v>
      </c>
      <c r="BC47" s="54">
        <v>61.937362442486652</v>
      </c>
      <c r="BD47" s="54">
        <v>69.370083418496534</v>
      </c>
      <c r="BF47" s="215">
        <f t="shared" si="36"/>
        <v>0.11999999999999995</v>
      </c>
      <c r="BG47" s="211">
        <v>27.649144010820343</v>
      </c>
      <c r="BH47" s="54">
        <v>30.629146407751318</v>
      </c>
      <c r="BI47" s="54">
        <v>121.5791463444549</v>
      </c>
      <c r="BJ47" s="54">
        <v>136.16062001798076</v>
      </c>
      <c r="BK47" s="54">
        <v>151.91163731725007</v>
      </c>
      <c r="BL47" s="54">
        <v>169.14726670329372</v>
      </c>
      <c r="BM47" s="54">
        <v>188.10274051341119</v>
      </c>
      <c r="BN47" s="54">
        <v>208.79702383835576</v>
      </c>
      <c r="BO47" s="54">
        <v>231.97502934555504</v>
      </c>
      <c r="BQ47" s="215">
        <f t="shared" si="37"/>
        <v>0.11999999999999995</v>
      </c>
      <c r="BR47" s="211">
        <v>26.901561751221017</v>
      </c>
      <c r="BS47" s="54">
        <v>29.043192521353632</v>
      </c>
      <c r="BT47" s="54">
        <v>119.23974538891211</v>
      </c>
      <c r="BU47" s="54">
        <v>129.97296752630595</v>
      </c>
      <c r="BV47" s="54">
        <v>141.46124506010341</v>
      </c>
      <c r="BW47" s="54">
        <v>153.95654921313306</v>
      </c>
      <c r="BX47" s="54">
        <v>167.62118379170462</v>
      </c>
      <c r="BY47" s="54">
        <v>182.44380934923487</v>
      </c>
      <c r="BZ47" s="54">
        <v>199.04575288237905</v>
      </c>
    </row>
    <row r="48" spans="1:78">
      <c r="B48" s="215">
        <f t="shared" si="31"/>
        <v>0.10999999999999996</v>
      </c>
      <c r="C48" s="211">
        <v>27.334015753111281</v>
      </c>
      <c r="D48" s="54">
        <v>29.93238528630307</v>
      </c>
      <c r="E48" s="43">
        <v>32.595058383890255</v>
      </c>
      <c r="F48" s="43">
        <v>35.365752589710382</v>
      </c>
      <c r="G48" s="43">
        <v>38.204278636959671</v>
      </c>
      <c r="H48" s="43">
        <v>41.189720816017626</v>
      </c>
      <c r="I48" s="43">
        <v>44.347987927427305</v>
      </c>
      <c r="J48" s="43">
        <v>47.648269594326692</v>
      </c>
      <c r="K48" s="43">
        <v>51.311594573470259</v>
      </c>
      <c r="M48" s="215">
        <f t="shared" si="32"/>
        <v>0.10999999999999996</v>
      </c>
      <c r="N48" s="211">
        <v>26.656498635708516</v>
      </c>
      <c r="O48" s="54">
        <v>28.502222527163113</v>
      </c>
      <c r="P48" s="54">
        <v>30.345970991971093</v>
      </c>
      <c r="Q48" s="54">
        <v>32.224648523311281</v>
      </c>
      <c r="R48" s="54">
        <v>34.092444634923957</v>
      </c>
      <c r="S48" s="54">
        <v>36.014016979972538</v>
      </c>
      <c r="T48" s="54">
        <v>38.001833095682528</v>
      </c>
      <c r="U48" s="54">
        <v>40.021884224713226</v>
      </c>
      <c r="V48" s="54">
        <v>42.264411928506995</v>
      </c>
      <c r="X48" s="215">
        <f t="shared" si="33"/>
        <v>0.10999999999999996</v>
      </c>
      <c r="Y48" s="211"/>
      <c r="Z48" s="54"/>
      <c r="AA48" s="54"/>
      <c r="AB48" s="54"/>
      <c r="AC48" s="54"/>
      <c r="AD48" s="54"/>
      <c r="AE48" s="54"/>
      <c r="AF48" s="54"/>
      <c r="AG48" s="54"/>
      <c r="AI48" s="43">
        <f t="shared" si="34"/>
        <v>0.10999999999999996</v>
      </c>
      <c r="AJ48" s="43"/>
      <c r="AK48" s="43"/>
      <c r="AL48" s="43"/>
      <c r="AM48" s="43"/>
      <c r="AN48" s="43"/>
      <c r="AO48" s="43"/>
      <c r="AP48" s="43"/>
      <c r="AQ48" s="43"/>
      <c r="AR48" s="43"/>
      <c r="AU48" s="215">
        <f t="shared" si="35"/>
        <v>0.10999999999999996</v>
      </c>
      <c r="AV48" s="211">
        <v>27.749994616191948</v>
      </c>
      <c r="AW48" s="54">
        <v>30.802473013270959</v>
      </c>
      <c r="AX48" s="54">
        <v>34.200571154796087</v>
      </c>
      <c r="AY48" s="54">
        <v>37.962561970966981</v>
      </c>
      <c r="AZ48" s="54">
        <v>42.138474313526253</v>
      </c>
      <c r="BA48" s="54">
        <v>46.773810387327025</v>
      </c>
      <c r="BB48" s="54">
        <v>51.933702202699266</v>
      </c>
      <c r="BC48" s="54">
        <v>57.646334001927521</v>
      </c>
      <c r="BD48" s="54">
        <v>63.987538713117793</v>
      </c>
      <c r="BF48" s="215">
        <f t="shared" si="36"/>
        <v>0.10999999999999996</v>
      </c>
      <c r="BG48" s="211">
        <v>27.334005090023723</v>
      </c>
      <c r="BH48" s="54">
        <v>29.932373609583195</v>
      </c>
      <c r="BI48" s="54">
        <v>120.42754295429944</v>
      </c>
      <c r="BJ48" s="54">
        <v>133.34248083689803</v>
      </c>
      <c r="BK48" s="54">
        <v>147.09774786257026</v>
      </c>
      <c r="BL48" s="54">
        <v>161.96064484883499</v>
      </c>
      <c r="BM48" s="54">
        <v>178.10219204169158</v>
      </c>
      <c r="BN48" s="54">
        <v>195.49165500394349</v>
      </c>
      <c r="BO48" s="54">
        <v>214.79328281357905</v>
      </c>
      <c r="BQ48" s="215">
        <f t="shared" si="37"/>
        <v>0.10999999999999996</v>
      </c>
      <c r="BR48" s="211">
        <v>26.656515947147565</v>
      </c>
      <c r="BS48" s="54">
        <v>28.50222685994693</v>
      </c>
      <c r="BT48" s="54">
        <v>118.3476495130638</v>
      </c>
      <c r="BU48" s="54">
        <v>127.79029546408186</v>
      </c>
      <c r="BV48" s="54">
        <v>137.7389984272013</v>
      </c>
      <c r="BW48" s="54">
        <v>148.41020964568548</v>
      </c>
      <c r="BX48" s="54">
        <v>159.91822736627336</v>
      </c>
      <c r="BY48" s="54">
        <v>172.21812187661939</v>
      </c>
      <c r="BZ48" s="54">
        <v>185.8703970545954</v>
      </c>
    </row>
    <row r="49" spans="2:78">
      <c r="B49" s="215">
        <f t="shared" si="31"/>
        <v>9.9999999999999964E-2</v>
      </c>
      <c r="C49" s="211">
        <v>27.018890319665466</v>
      </c>
      <c r="D49" s="54">
        <v>29.241902220555492</v>
      </c>
      <c r="E49" s="43">
        <v>31.464386296897246</v>
      </c>
      <c r="F49" s="43">
        <v>33.725649455538942</v>
      </c>
      <c r="G49" s="43">
        <v>35.9759145887583</v>
      </c>
      <c r="H49" s="43">
        <v>38.285877000383039</v>
      </c>
      <c r="I49" s="43">
        <v>40.669330529971795</v>
      </c>
      <c r="J49" s="43">
        <v>43.087665714909612</v>
      </c>
      <c r="K49" s="43">
        <v>45.747577831812457</v>
      </c>
      <c r="M49" s="215">
        <f t="shared" si="32"/>
        <v>9.9999999999999964E-2</v>
      </c>
      <c r="N49" s="211">
        <v>26.411477031591474</v>
      </c>
      <c r="O49" s="54">
        <v>27.966107153583902</v>
      </c>
      <c r="P49" s="54">
        <v>29.470175830485886</v>
      </c>
      <c r="Q49" s="54">
        <v>30.957838418141172</v>
      </c>
      <c r="R49" s="54">
        <v>32.376666230553361</v>
      </c>
      <c r="S49" s="54">
        <v>33.785682118309076</v>
      </c>
      <c r="T49" s="54">
        <v>35.188708060253497</v>
      </c>
      <c r="U49" s="54">
        <v>36.547980870793602</v>
      </c>
      <c r="V49" s="54">
        <v>38.042574325403912</v>
      </c>
      <c r="X49" s="215">
        <f t="shared" si="33"/>
        <v>9.9999999999999964E-2</v>
      </c>
      <c r="Y49" s="211"/>
      <c r="Z49" s="54"/>
      <c r="AA49" s="54"/>
      <c r="AB49" s="54"/>
      <c r="AC49" s="54"/>
      <c r="AD49" s="54"/>
      <c r="AE49" s="54"/>
      <c r="AF49" s="54"/>
      <c r="AG49" s="54"/>
      <c r="AI49" s="43">
        <f t="shared" si="34"/>
        <v>9.9999999999999964E-2</v>
      </c>
      <c r="AJ49" s="43"/>
      <c r="AK49" s="43"/>
      <c r="AL49" s="43"/>
      <c r="AM49" s="43"/>
      <c r="AN49" s="43"/>
      <c r="AO49" s="43"/>
      <c r="AP49" s="43"/>
      <c r="AQ49" s="43"/>
      <c r="AR49" s="43"/>
      <c r="AU49" s="215">
        <f t="shared" si="35"/>
        <v>9.9999999999999964E-2</v>
      </c>
      <c r="AV49" s="211">
        <v>27.499991637777242</v>
      </c>
      <c r="AW49" s="54">
        <v>30.250020771975425</v>
      </c>
      <c r="AX49" s="54">
        <v>33.283694725676</v>
      </c>
      <c r="AY49" s="54">
        <v>36.61211815290644</v>
      </c>
      <c r="AZ49" s="54">
        <v>40.273257753031089</v>
      </c>
      <c r="BA49" s="54">
        <v>44.300488121050208</v>
      </c>
      <c r="BB49" s="54">
        <v>48.743284648548354</v>
      </c>
      <c r="BC49" s="54">
        <v>53.617827669242949</v>
      </c>
      <c r="BD49" s="54">
        <v>58.979425171422633</v>
      </c>
      <c r="BF49" s="215">
        <f t="shared" si="36"/>
        <v>9.9999999999999964E-2</v>
      </c>
      <c r="BG49" s="211">
        <v>27.018900176160365</v>
      </c>
      <c r="BH49" s="54">
        <v>29.241912888005444</v>
      </c>
      <c r="BI49" s="54">
        <v>119.29691607265717</v>
      </c>
      <c r="BJ49" s="54">
        <v>130.57063504200534</v>
      </c>
      <c r="BK49" s="54">
        <v>142.39105303056238</v>
      </c>
      <c r="BL49" s="54">
        <v>154.98833610985866</v>
      </c>
      <c r="BM49" s="54">
        <v>168.48133081128424</v>
      </c>
      <c r="BN49" s="54">
        <v>182.80355482108629</v>
      </c>
      <c r="BO49" s="54">
        <v>198.55640053544084</v>
      </c>
      <c r="BQ49" s="215">
        <f t="shared" si="37"/>
        <v>9.9999999999999964E-2</v>
      </c>
      <c r="BR49" s="211">
        <v>26.411469400038044</v>
      </c>
      <c r="BS49" s="54">
        <v>27.966112155860074</v>
      </c>
      <c r="BT49" s="54">
        <v>117.47193472113163</v>
      </c>
      <c r="BU49" s="54">
        <v>125.64352968718735</v>
      </c>
      <c r="BV49" s="54">
        <v>134.09958877135932</v>
      </c>
      <c r="BW49" s="54">
        <v>143.02945014123438</v>
      </c>
      <c r="BX49" s="54">
        <v>152.50965005198771</v>
      </c>
      <c r="BY49" s="54">
        <v>162.46871345887752</v>
      </c>
      <c r="BZ49" s="54">
        <v>173.42414182849771</v>
      </c>
    </row>
    <row r="50" spans="2:78">
      <c r="B50" s="215">
        <f t="shared" si="31"/>
        <v>8.9999999999999969E-2</v>
      </c>
      <c r="C50" s="211">
        <v>26.703783732271607</v>
      </c>
      <c r="D50" s="54">
        <v>28.557698842679862</v>
      </c>
      <c r="E50" s="43">
        <v>30.354451141533914</v>
      </c>
      <c r="F50" s="43">
        <v>32.130593993657769</v>
      </c>
      <c r="G50" s="43">
        <v>33.829569160429934</v>
      </c>
      <c r="H50" s="43">
        <v>35.51607200190869</v>
      </c>
      <c r="I50" s="43">
        <v>37.194819338438982</v>
      </c>
      <c r="J50" s="43">
        <v>38.823203575594228</v>
      </c>
      <c r="K50" s="43">
        <v>40.598034611844767</v>
      </c>
      <c r="M50" s="215">
        <f t="shared" si="32"/>
        <v>8.9999999999999969E-2</v>
      </c>
      <c r="N50" s="211">
        <v>26.166428926693825</v>
      </c>
      <c r="O50" s="54">
        <v>27.434890319564261</v>
      </c>
      <c r="P50" s="54">
        <v>28.610576532602909</v>
      </c>
      <c r="Q50" s="54">
        <v>29.726070344409042</v>
      </c>
      <c r="R50" s="54">
        <v>30.724555437836287</v>
      </c>
      <c r="S50" s="54">
        <v>31.66123904715112</v>
      </c>
      <c r="T50" s="54">
        <v>32.533502513413453</v>
      </c>
      <c r="U50" s="54">
        <v>33.301832512396658</v>
      </c>
      <c r="V50" s="54">
        <v>34.13904513088557</v>
      </c>
      <c r="X50" s="43">
        <f t="shared" si="33"/>
        <v>8.9999999999999969E-2</v>
      </c>
      <c r="Y50" s="43">
        <v>26.166428926693825</v>
      </c>
      <c r="Z50" s="43">
        <v>27.434890319564261</v>
      </c>
      <c r="AA50" s="43">
        <v>28.610576532602909</v>
      </c>
      <c r="AB50" s="43">
        <v>29.726070344409042</v>
      </c>
      <c r="AC50" s="43">
        <v>30.724555437836287</v>
      </c>
      <c r="AD50" s="43">
        <v>31.66123904715112</v>
      </c>
      <c r="AE50" s="43">
        <v>32.533502513413453</v>
      </c>
      <c r="AF50" s="43">
        <v>33.301832512396658</v>
      </c>
      <c r="AG50" s="43">
        <v>34.13904513088557</v>
      </c>
      <c r="AI50" s="43">
        <f t="shared" si="34"/>
        <v>8.9999999999999969E-2</v>
      </c>
      <c r="AJ50" s="43">
        <v>26.166428926693825</v>
      </c>
      <c r="AK50" s="43">
        <v>27.434890319564261</v>
      </c>
      <c r="AL50" s="43">
        <v>28.610576532602909</v>
      </c>
      <c r="AM50" s="43">
        <v>29.726070344409042</v>
      </c>
      <c r="AN50" s="43">
        <v>30.724555437836287</v>
      </c>
      <c r="AO50" s="43">
        <v>31.66123904715112</v>
      </c>
      <c r="AP50" s="43">
        <v>32.533502513413453</v>
      </c>
      <c r="AQ50" s="43">
        <v>33.301832512396658</v>
      </c>
      <c r="AR50" s="43">
        <v>34.13904513088557</v>
      </c>
      <c r="AU50" s="215">
        <f t="shared" si="35"/>
        <v>8.9999999999999969E-2</v>
      </c>
      <c r="AV50" s="211">
        <v>27.249995427246432</v>
      </c>
      <c r="AW50" s="54">
        <v>29.702502683466431</v>
      </c>
      <c r="AX50" s="54">
        <v>32.383408659321077</v>
      </c>
      <c r="AY50" s="54">
        <v>35.297868090575903</v>
      </c>
      <c r="AZ50" s="54">
        <v>38.474623905428913</v>
      </c>
      <c r="BA50" s="54">
        <v>41.937379004289546</v>
      </c>
      <c r="BB50" s="54">
        <v>45.722471545818131</v>
      </c>
      <c r="BC50" s="54">
        <v>49.837764945492154</v>
      </c>
      <c r="BD50" s="54">
        <v>54.323124288919097</v>
      </c>
      <c r="BF50" s="215">
        <f t="shared" si="36"/>
        <v>8.9999999999999969E-2</v>
      </c>
      <c r="BG50" s="211">
        <v>26.703803162479549</v>
      </c>
      <c r="BH50" s="54">
        <v>28.557705323209802</v>
      </c>
      <c r="BI50" s="54">
        <v>118.18692008118262</v>
      </c>
      <c r="BJ50" s="54">
        <v>127.84364539287721</v>
      </c>
      <c r="BK50" s="54">
        <v>137.78915275839708</v>
      </c>
      <c r="BL50" s="54">
        <v>148.22447528880161</v>
      </c>
      <c r="BM50" s="54">
        <v>159.22668995111846</v>
      </c>
      <c r="BN50" s="54">
        <v>170.70673390870718</v>
      </c>
      <c r="BO50" s="54">
        <v>183.22054527217509</v>
      </c>
      <c r="BQ50" s="215">
        <f t="shared" si="37"/>
        <v>8.9999999999999969E-2</v>
      </c>
      <c r="BR50" s="211">
        <v>26.166415946138503</v>
      </c>
      <c r="BS50" s="54">
        <v>27.434862865459099</v>
      </c>
      <c r="BT50" s="54">
        <v>116.61228811625132</v>
      </c>
      <c r="BU50" s="54">
        <v>123.53173069031624</v>
      </c>
      <c r="BV50" s="54">
        <v>130.54119211179227</v>
      </c>
      <c r="BW50" s="54">
        <v>137.80974182210198</v>
      </c>
      <c r="BX50" s="54">
        <v>145.38459020795756</v>
      </c>
      <c r="BY50" s="54">
        <v>153.17761448161755</v>
      </c>
      <c r="BZ50" s="54">
        <v>161.67220956428099</v>
      </c>
    </row>
    <row r="51" spans="2:78">
      <c r="B51" s="215">
        <f t="shared" si="31"/>
        <v>7.9999999999999974E-2</v>
      </c>
      <c r="C51" s="211">
        <v>26.38868468430579</v>
      </c>
      <c r="D51" s="54">
        <v>27.87984848403276</v>
      </c>
      <c r="E51" s="43">
        <v>29.265031261804602</v>
      </c>
      <c r="F51" s="43">
        <v>30.579943792881469</v>
      </c>
      <c r="G51" s="43">
        <v>31.763084169904904</v>
      </c>
      <c r="H51" s="43">
        <v>32.875637373923034</v>
      </c>
      <c r="I51" s="43">
        <v>33.915246547109632</v>
      </c>
      <c r="J51" s="43">
        <v>34.838931913626595</v>
      </c>
      <c r="K51" s="43">
        <v>35.836302594776043</v>
      </c>
      <c r="M51" s="215">
        <f t="shared" si="32"/>
        <v>7.9999999999999974E-2</v>
      </c>
      <c r="N51" s="211">
        <v>25.921375732775417</v>
      </c>
      <c r="O51" s="54">
        <v>26.90857189709687</v>
      </c>
      <c r="P51" s="54">
        <v>27.766845000506144</v>
      </c>
      <c r="Q51" s="54">
        <v>28.528762120798408</v>
      </c>
      <c r="R51" s="54">
        <v>29.134208029772353</v>
      </c>
      <c r="S51" s="54">
        <v>29.636233927769936</v>
      </c>
      <c r="T51" s="54">
        <v>30.0288077024369</v>
      </c>
      <c r="U51" s="54">
        <v>30.271258192641401</v>
      </c>
      <c r="V51" s="54">
        <v>30.532845906375726</v>
      </c>
      <c r="X51" s="43">
        <f t="shared" si="33"/>
        <v>7.9999999999999974E-2</v>
      </c>
      <c r="Y51" s="43">
        <v>25.921375732775417</v>
      </c>
      <c r="Z51" s="43">
        <v>26.90857189709687</v>
      </c>
      <c r="AA51" s="43">
        <v>27.766845000506144</v>
      </c>
      <c r="AB51" s="43">
        <v>28.528762120798408</v>
      </c>
      <c r="AC51" s="43">
        <v>29.134208029772353</v>
      </c>
      <c r="AD51" s="43">
        <v>29.636233927769936</v>
      </c>
      <c r="AE51" s="43">
        <v>30.0288077024369</v>
      </c>
      <c r="AF51" s="43">
        <v>30.271258192641401</v>
      </c>
      <c r="AG51" s="43">
        <v>30.532845906375726</v>
      </c>
      <c r="AI51" s="43">
        <f t="shared" si="34"/>
        <v>7.9999999999999974E-2</v>
      </c>
      <c r="AJ51" s="43">
        <v>25.921375732775417</v>
      </c>
      <c r="AK51" s="43">
        <v>26.90857189709687</v>
      </c>
      <c r="AL51" s="43">
        <v>27.766845000506144</v>
      </c>
      <c r="AM51" s="43">
        <v>28.528762120798408</v>
      </c>
      <c r="AN51" s="43">
        <v>29.134208029772353</v>
      </c>
      <c r="AO51" s="43">
        <v>29.636233927769936</v>
      </c>
      <c r="AP51" s="43">
        <v>30.0288077024369</v>
      </c>
      <c r="AQ51" s="43">
        <v>30.271258192641401</v>
      </c>
      <c r="AR51" s="43">
        <v>30.532845906375726</v>
      </c>
      <c r="AU51" s="215">
        <f t="shared" si="35"/>
        <v>7.9999999999999974E-2</v>
      </c>
      <c r="AV51" s="211">
        <v>27.00000589657428</v>
      </c>
      <c r="AW51" s="54">
        <v>29.160021663004123</v>
      </c>
      <c r="AX51" s="54">
        <v>31.499418405457835</v>
      </c>
      <c r="AY51" s="54">
        <v>34.019384744413465</v>
      </c>
      <c r="AZ51" s="54">
        <v>36.740877190773325</v>
      </c>
      <c r="BA51" s="54">
        <v>39.680241109913815</v>
      </c>
      <c r="BB51" s="54">
        <v>42.863599688222514</v>
      </c>
      <c r="BC51" s="54">
        <v>46.29271516143401</v>
      </c>
      <c r="BD51" s="54">
        <v>49.996340554199293</v>
      </c>
      <c r="BF51" s="215">
        <f t="shared" si="36"/>
        <v>7.9999999999999974E-2</v>
      </c>
      <c r="BG51" s="211">
        <v>26.388667806884229</v>
      </c>
      <c r="BH51" s="54">
        <v>27.879860710113924</v>
      </c>
      <c r="BI51" s="54">
        <v>117.09758608333732</v>
      </c>
      <c r="BJ51" s="54">
        <v>125.16117059166928</v>
      </c>
      <c r="BK51" s="54">
        <v>133.28919421341089</v>
      </c>
      <c r="BL51" s="54">
        <v>141.66295113280299</v>
      </c>
      <c r="BM51" s="54">
        <v>150.32699523154588</v>
      </c>
      <c r="BN51" s="54">
        <v>159.17906142154803</v>
      </c>
      <c r="BO51" s="54">
        <v>168.73949476613961</v>
      </c>
      <c r="BQ51" s="215">
        <f t="shared" si="37"/>
        <v>7.9999999999999974E-2</v>
      </c>
      <c r="BR51" s="211">
        <v>25.921375001027236</v>
      </c>
      <c r="BS51" s="54">
        <v>26.908571137480607</v>
      </c>
      <c r="BT51" s="54">
        <v>115.76857883692004</v>
      </c>
      <c r="BU51" s="54">
        <v>121.45457247242847</v>
      </c>
      <c r="BV51" s="54">
        <v>127.06242290102536</v>
      </c>
      <c r="BW51" s="54">
        <v>132.74727544074079</v>
      </c>
      <c r="BX51" s="54">
        <v>138.53332824418678</v>
      </c>
      <c r="BY51" s="54">
        <v>144.32422086556232</v>
      </c>
      <c r="BZ51" s="54">
        <v>150.57934719554723</v>
      </c>
    </row>
    <row r="52" spans="2:78">
      <c r="B52" s="99"/>
      <c r="C52" s="203"/>
      <c r="D52" s="203"/>
      <c r="E52" s="203"/>
      <c r="F52" s="203"/>
      <c r="G52" s="203"/>
      <c r="H52" s="203"/>
      <c r="I52" s="203"/>
      <c r="J52" s="203"/>
      <c r="K52" s="203"/>
      <c r="M52" s="99"/>
      <c r="N52" s="203"/>
      <c r="O52" s="203"/>
      <c r="P52" s="203"/>
      <c r="Q52" s="203"/>
      <c r="R52" s="203"/>
      <c r="S52" s="203"/>
      <c r="T52" s="203"/>
      <c r="U52" s="203"/>
      <c r="V52" s="203"/>
      <c r="X52" s="99"/>
      <c r="Y52" s="203"/>
      <c r="Z52" s="203"/>
      <c r="AA52" s="203"/>
      <c r="AB52" s="203"/>
      <c r="AC52" s="203"/>
      <c r="AD52" s="203"/>
      <c r="AE52" s="203"/>
      <c r="AF52" s="203"/>
      <c r="AG52" s="203"/>
      <c r="AI52" s="99"/>
      <c r="AJ52" s="203"/>
      <c r="AK52" s="203"/>
      <c r="AL52" s="203"/>
      <c r="AM52" s="203"/>
      <c r="AN52" s="203"/>
      <c r="AO52" s="203"/>
      <c r="AP52" s="203"/>
      <c r="AQ52" s="203"/>
      <c r="AR52" s="203"/>
      <c r="BF52" s="99"/>
      <c r="BG52" s="203"/>
      <c r="BH52" s="203"/>
      <c r="BI52" s="203"/>
      <c r="BJ52" s="203"/>
      <c r="BK52" s="203"/>
      <c r="BL52" s="203"/>
      <c r="BM52" s="203"/>
      <c r="BN52" s="203"/>
      <c r="BO52" s="203"/>
      <c r="BQ52" s="99"/>
      <c r="BR52" s="203"/>
      <c r="BS52" s="203"/>
      <c r="BT52" s="203"/>
      <c r="BU52" s="203"/>
      <c r="BV52" s="203"/>
      <c r="BW52" s="203"/>
      <c r="BX52" s="203"/>
      <c r="BY52" s="203"/>
      <c r="BZ52" s="203"/>
    </row>
    <row r="54" spans="2:78" ht="46.5" hidden="1" customHeight="1">
      <c r="B54" s="503"/>
      <c r="C54" s="503"/>
      <c r="D54" s="503"/>
      <c r="E54" s="503"/>
      <c r="F54" s="503"/>
      <c r="G54" s="503"/>
      <c r="H54" s="503"/>
      <c r="I54" s="503"/>
      <c r="J54" s="503"/>
      <c r="K54" s="503"/>
      <c r="M54" s="503"/>
      <c r="N54" s="503"/>
      <c r="O54" s="503"/>
      <c r="P54" s="503"/>
      <c r="Q54" s="503"/>
      <c r="R54" s="503"/>
      <c r="S54" s="503"/>
      <c r="T54" s="503"/>
      <c r="U54" s="503"/>
      <c r="V54" s="503"/>
      <c r="X54" s="503" t="s">
        <v>24</v>
      </c>
      <c r="Y54" s="503"/>
      <c r="Z54" s="503"/>
      <c r="AA54" s="503"/>
      <c r="AB54" s="503"/>
      <c r="AC54" s="503"/>
      <c r="AD54" s="503"/>
      <c r="AE54" s="503"/>
      <c r="AF54" s="503"/>
      <c r="AG54" s="503"/>
      <c r="AI54" s="503" t="s">
        <v>24</v>
      </c>
      <c r="AJ54" s="503"/>
      <c r="AK54" s="503"/>
      <c r="AL54" s="503"/>
      <c r="AM54" s="503"/>
      <c r="AN54" s="503"/>
      <c r="AO54" s="503"/>
      <c r="AP54" s="503"/>
      <c r="AQ54" s="503"/>
      <c r="AR54" s="503"/>
      <c r="AU54" s="503" t="s">
        <v>24</v>
      </c>
      <c r="AV54" s="503"/>
      <c r="AW54" s="503"/>
      <c r="AX54" s="503"/>
      <c r="AY54" s="503"/>
      <c r="AZ54" s="503"/>
      <c r="BA54" s="503"/>
      <c r="BB54" s="503"/>
      <c r="BC54" s="503"/>
      <c r="BD54" s="503"/>
      <c r="BF54" s="503"/>
      <c r="BG54" s="503"/>
      <c r="BH54" s="503"/>
      <c r="BI54" s="503"/>
      <c r="BJ54" s="503"/>
      <c r="BK54" s="503"/>
      <c r="BL54" s="503"/>
      <c r="BM54" s="503"/>
      <c r="BN54" s="503"/>
      <c r="BO54" s="503"/>
      <c r="BQ54" s="503"/>
      <c r="BR54" s="503"/>
      <c r="BS54" s="503"/>
      <c r="BT54" s="503"/>
      <c r="BU54" s="503"/>
      <c r="BV54" s="503"/>
      <c r="BW54" s="503"/>
      <c r="BX54" s="503"/>
      <c r="BY54" s="503"/>
      <c r="BZ54" s="503"/>
    </row>
    <row r="55" spans="2:78">
      <c r="B55" s="505"/>
      <c r="C55" s="505"/>
      <c r="D55" s="505"/>
      <c r="E55" s="505"/>
      <c r="F55" s="505"/>
      <c r="G55" s="505"/>
      <c r="H55" s="505"/>
      <c r="I55" s="505"/>
      <c r="J55" s="505"/>
      <c r="K55" s="505"/>
      <c r="M55" s="505"/>
      <c r="N55" s="505"/>
      <c r="O55" s="505"/>
      <c r="P55" s="505"/>
      <c r="Q55" s="505"/>
      <c r="R55" s="505"/>
      <c r="S55" s="505"/>
      <c r="T55" s="505"/>
      <c r="U55" s="505"/>
      <c r="V55" s="505"/>
      <c r="X55" s="505" t="s">
        <v>25</v>
      </c>
      <c r="Y55" s="505"/>
      <c r="Z55" s="505"/>
      <c r="AA55" s="505"/>
      <c r="AB55" s="505"/>
      <c r="AC55" s="505"/>
      <c r="AD55" s="505"/>
      <c r="AE55" s="505"/>
      <c r="AF55" s="505"/>
      <c r="AG55" s="505"/>
      <c r="AI55" s="505" t="s">
        <v>25</v>
      </c>
      <c r="AJ55" s="505"/>
      <c r="AK55" s="505"/>
      <c r="AL55" s="505"/>
      <c r="AM55" s="505"/>
      <c r="AN55" s="505"/>
      <c r="AO55" s="505"/>
      <c r="AP55" s="505"/>
      <c r="AQ55" s="505"/>
      <c r="AR55" s="505"/>
      <c r="AU55" s="505" t="s">
        <v>25</v>
      </c>
      <c r="AV55" s="505"/>
      <c r="AW55" s="505"/>
      <c r="AX55" s="505"/>
      <c r="AY55" s="505"/>
      <c r="AZ55" s="505"/>
      <c r="BA55" s="505"/>
      <c r="BB55" s="505"/>
      <c r="BC55" s="505"/>
      <c r="BD55" s="505"/>
      <c r="BF55" s="505"/>
      <c r="BG55" s="505"/>
      <c r="BH55" s="505"/>
      <c r="BI55" s="505"/>
      <c r="BJ55" s="505"/>
      <c r="BK55" s="505"/>
      <c r="BL55" s="505"/>
      <c r="BM55" s="505"/>
      <c r="BN55" s="505"/>
      <c r="BO55" s="505"/>
      <c r="BQ55" s="505"/>
      <c r="BR55" s="505"/>
      <c r="BS55" s="505"/>
      <c r="BT55" s="505"/>
      <c r="BU55" s="505"/>
      <c r="BV55" s="505"/>
      <c r="BW55" s="505"/>
      <c r="BX55" s="505"/>
      <c r="BY55" s="505"/>
      <c r="BZ55" s="505"/>
    </row>
    <row r="56" spans="2:78">
      <c r="B56" s="407"/>
      <c r="C56" s="217">
        <v>2</v>
      </c>
      <c r="D56" s="217">
        <f t="shared" ref="D56:K56" si="38">C56+1</f>
        <v>3</v>
      </c>
      <c r="E56" s="217">
        <f t="shared" si="38"/>
        <v>4</v>
      </c>
      <c r="F56" s="217">
        <f t="shared" si="38"/>
        <v>5</v>
      </c>
      <c r="G56" s="217">
        <f t="shared" si="38"/>
        <v>6</v>
      </c>
      <c r="H56" s="217">
        <f t="shared" si="38"/>
        <v>7</v>
      </c>
      <c r="I56" s="217">
        <f t="shared" si="38"/>
        <v>8</v>
      </c>
      <c r="J56" s="217">
        <f t="shared" si="38"/>
        <v>9</v>
      </c>
      <c r="K56" s="217">
        <f t="shared" si="38"/>
        <v>10</v>
      </c>
      <c r="M56" s="407"/>
      <c r="N56" s="217">
        <v>2</v>
      </c>
      <c r="O56" s="217">
        <f t="shared" ref="O56:V56" si="39">N56+1</f>
        <v>3</v>
      </c>
      <c r="P56" s="217">
        <f t="shared" si="39"/>
        <v>4</v>
      </c>
      <c r="Q56" s="217">
        <f t="shared" si="39"/>
        <v>5</v>
      </c>
      <c r="R56" s="217">
        <f t="shared" si="39"/>
        <v>6</v>
      </c>
      <c r="S56" s="217">
        <f t="shared" si="39"/>
        <v>7</v>
      </c>
      <c r="T56" s="217">
        <f t="shared" si="39"/>
        <v>8</v>
      </c>
      <c r="U56" s="217">
        <f t="shared" si="39"/>
        <v>9</v>
      </c>
      <c r="V56" s="217">
        <f t="shared" si="39"/>
        <v>10</v>
      </c>
      <c r="X56" s="407"/>
      <c r="Y56" s="217">
        <v>2</v>
      </c>
      <c r="Z56" s="217">
        <f t="shared" ref="Z56:AG56" si="40">Y56+1</f>
        <v>3</v>
      </c>
      <c r="AA56" s="217">
        <f t="shared" si="40"/>
        <v>4</v>
      </c>
      <c r="AB56" s="217">
        <f t="shared" si="40"/>
        <v>5</v>
      </c>
      <c r="AC56" s="217">
        <f t="shared" si="40"/>
        <v>6</v>
      </c>
      <c r="AD56" s="217">
        <f t="shared" si="40"/>
        <v>7</v>
      </c>
      <c r="AE56" s="217">
        <f t="shared" si="40"/>
        <v>8</v>
      </c>
      <c r="AF56" s="217">
        <f t="shared" si="40"/>
        <v>9</v>
      </c>
      <c r="AG56" s="217">
        <f t="shared" si="40"/>
        <v>10</v>
      </c>
      <c r="AI56" s="407"/>
      <c r="AJ56" s="217">
        <v>2</v>
      </c>
      <c r="AK56" s="217">
        <f t="shared" ref="AK56:AR56" si="41">AJ56+1</f>
        <v>3</v>
      </c>
      <c r="AL56" s="217">
        <f t="shared" si="41"/>
        <v>4</v>
      </c>
      <c r="AM56" s="217">
        <f t="shared" si="41"/>
        <v>5</v>
      </c>
      <c r="AN56" s="217">
        <f t="shared" si="41"/>
        <v>6</v>
      </c>
      <c r="AO56" s="217">
        <f t="shared" si="41"/>
        <v>7</v>
      </c>
      <c r="AP56" s="217">
        <f t="shared" si="41"/>
        <v>8</v>
      </c>
      <c r="AQ56" s="217">
        <f t="shared" si="41"/>
        <v>9</v>
      </c>
      <c r="AR56" s="217">
        <f t="shared" si="41"/>
        <v>10</v>
      </c>
      <c r="AU56" s="407"/>
      <c r="AV56" s="217">
        <v>2</v>
      </c>
      <c r="AW56" s="217">
        <f t="shared" ref="AW56:BD56" si="42">AV56+1</f>
        <v>3</v>
      </c>
      <c r="AX56" s="217">
        <f t="shared" si="42"/>
        <v>4</v>
      </c>
      <c r="AY56" s="217">
        <f t="shared" si="42"/>
        <v>5</v>
      </c>
      <c r="AZ56" s="217">
        <f t="shared" si="42"/>
        <v>6</v>
      </c>
      <c r="BA56" s="217">
        <f t="shared" si="42"/>
        <v>7</v>
      </c>
      <c r="BB56" s="217">
        <f t="shared" si="42"/>
        <v>8</v>
      </c>
      <c r="BC56" s="217">
        <f t="shared" si="42"/>
        <v>9</v>
      </c>
      <c r="BD56" s="217">
        <f t="shared" si="42"/>
        <v>10</v>
      </c>
      <c r="BF56" s="407"/>
      <c r="BG56" s="217">
        <v>2</v>
      </c>
      <c r="BH56" s="217">
        <f t="shared" ref="BH56:BO56" si="43">BG56+1</f>
        <v>3</v>
      </c>
      <c r="BI56" s="217">
        <f t="shared" si="43"/>
        <v>4</v>
      </c>
      <c r="BJ56" s="217">
        <f t="shared" si="43"/>
        <v>5</v>
      </c>
      <c r="BK56" s="217">
        <f t="shared" si="43"/>
        <v>6</v>
      </c>
      <c r="BL56" s="217">
        <f t="shared" si="43"/>
        <v>7</v>
      </c>
      <c r="BM56" s="217">
        <f t="shared" si="43"/>
        <v>8</v>
      </c>
      <c r="BN56" s="217">
        <f t="shared" si="43"/>
        <v>9</v>
      </c>
      <c r="BO56" s="217">
        <f t="shared" si="43"/>
        <v>10</v>
      </c>
      <c r="BQ56" s="407"/>
      <c r="BR56" s="217">
        <v>2</v>
      </c>
      <c r="BS56" s="217">
        <f t="shared" ref="BS56:BZ56" si="44">BR56+1</f>
        <v>3</v>
      </c>
      <c r="BT56" s="217">
        <f t="shared" si="44"/>
        <v>4</v>
      </c>
      <c r="BU56" s="217">
        <f t="shared" si="44"/>
        <v>5</v>
      </c>
      <c r="BV56" s="217">
        <f t="shared" si="44"/>
        <v>6</v>
      </c>
      <c r="BW56" s="217">
        <f t="shared" si="44"/>
        <v>7</v>
      </c>
      <c r="BX56" s="217">
        <f t="shared" si="44"/>
        <v>8</v>
      </c>
      <c r="BY56" s="217">
        <f t="shared" si="44"/>
        <v>9</v>
      </c>
      <c r="BZ56" s="217">
        <f t="shared" si="44"/>
        <v>10</v>
      </c>
    </row>
    <row r="57" spans="2:78">
      <c r="B57" s="407"/>
      <c r="C57" s="206">
        <f>SUM('Call Rights'!$J$59:$L$59)</f>
        <v>-25.80830186055363</v>
      </c>
      <c r="D57" s="206">
        <f>SUM('Call Rights'!$J$59:$L$59)</f>
        <v>-25.80830186055363</v>
      </c>
      <c r="E57" s="206">
        <f>SUM('Call Rights'!$J$59:$L$59)</f>
        <v>-25.80830186055363</v>
      </c>
      <c r="F57" s="206">
        <f>SUM('Call Rights'!$J$59:$L$59)</f>
        <v>-25.80830186055363</v>
      </c>
      <c r="G57" s="206">
        <f>SUM('Call Rights'!$J$59:$L$59)</f>
        <v>-25.80830186055363</v>
      </c>
      <c r="H57" s="206">
        <f>SUM('Call Rights'!$J$59:$L$59)</f>
        <v>-25.80830186055363</v>
      </c>
      <c r="I57" s="206">
        <f>SUM('Call Rights'!$J$59:$L$59)</f>
        <v>-25.80830186055363</v>
      </c>
      <c r="J57" s="206">
        <f>SUM('Call Rights'!$J$59:$L$59)</f>
        <v>-25.80830186055363</v>
      </c>
      <c r="K57" s="206">
        <f>SUM('Call Rights'!$J$59:$L$59)</f>
        <v>-25.80830186055363</v>
      </c>
      <c r="M57" s="407"/>
      <c r="N57" s="206">
        <f>SUM('Call Rights'!$J$59:$L$59)</f>
        <v>-25.80830186055363</v>
      </c>
      <c r="O57" s="206">
        <f>N57</f>
        <v>-25.80830186055363</v>
      </c>
      <c r="P57" s="206">
        <f t="shared" ref="P57:V57" si="45">O57</f>
        <v>-25.80830186055363</v>
      </c>
      <c r="Q57" s="206">
        <f t="shared" si="45"/>
        <v>-25.80830186055363</v>
      </c>
      <c r="R57" s="206">
        <f t="shared" si="45"/>
        <v>-25.80830186055363</v>
      </c>
      <c r="S57" s="206">
        <f t="shared" si="45"/>
        <v>-25.80830186055363</v>
      </c>
      <c r="T57" s="206">
        <f t="shared" si="45"/>
        <v>-25.80830186055363</v>
      </c>
      <c r="U57" s="206">
        <f t="shared" si="45"/>
        <v>-25.80830186055363</v>
      </c>
      <c r="V57" s="206">
        <f t="shared" si="45"/>
        <v>-25.80830186055363</v>
      </c>
      <c r="X57" s="407"/>
      <c r="Y57" s="206">
        <f>SUM('Call Rights'!$J$59:$L$59)</f>
        <v>-25.80830186055363</v>
      </c>
      <c r="AI57" s="407"/>
      <c r="AJ57" s="206">
        <f>SUM('Call Rights'!$J$59:$L$59)</f>
        <v>-25.80830186055363</v>
      </c>
      <c r="AU57" s="407"/>
      <c r="AV57" s="226">
        <f>SUM('Call Rights'!$J$59:$L$59)</f>
        <v>-25.80830186055363</v>
      </c>
      <c r="BF57" s="206">
        <f>'Call Rights'!K59</f>
        <v>0</v>
      </c>
      <c r="BG57" s="206">
        <f>BF57</f>
        <v>0</v>
      </c>
      <c r="BH57" s="206">
        <f>BG57</f>
        <v>0</v>
      </c>
      <c r="BI57" s="206">
        <f>'Call Rights'!N59</f>
        <v>0</v>
      </c>
      <c r="BJ57" s="206">
        <f t="shared" ref="BJ57:BO57" si="46">BI57</f>
        <v>0</v>
      </c>
      <c r="BK57" s="206">
        <f t="shared" si="46"/>
        <v>0</v>
      </c>
      <c r="BL57" s="206">
        <f t="shared" si="46"/>
        <v>0</v>
      </c>
      <c r="BM57" s="206">
        <f t="shared" si="46"/>
        <v>0</v>
      </c>
      <c r="BN57" s="206">
        <f t="shared" si="46"/>
        <v>0</v>
      </c>
      <c r="BO57" s="206">
        <f t="shared" si="46"/>
        <v>0</v>
      </c>
      <c r="BQ57" s="206">
        <f>BF57</f>
        <v>0</v>
      </c>
      <c r="BR57" s="206">
        <f t="shared" ref="BR57:BZ57" si="47">BG57</f>
        <v>0</v>
      </c>
      <c r="BS57" s="206">
        <f t="shared" si="47"/>
        <v>0</v>
      </c>
      <c r="BT57" s="206">
        <f t="shared" si="47"/>
        <v>0</v>
      </c>
      <c r="BU57" s="206">
        <f t="shared" si="47"/>
        <v>0</v>
      </c>
      <c r="BV57" s="206">
        <f t="shared" si="47"/>
        <v>0</v>
      </c>
      <c r="BW57" s="206">
        <f t="shared" si="47"/>
        <v>0</v>
      </c>
      <c r="BX57" s="206">
        <f t="shared" si="47"/>
        <v>0</v>
      </c>
      <c r="BY57" s="206">
        <f t="shared" si="47"/>
        <v>0</v>
      </c>
      <c r="BZ57" s="206">
        <f t="shared" si="47"/>
        <v>0</v>
      </c>
    </row>
    <row r="58" spans="2:78">
      <c r="B58" s="218">
        <v>0.2</v>
      </c>
      <c r="C58" s="225">
        <f>(C39+C$57)/-C$57/(C$38-1)</f>
        <v>0.16900482447948093</v>
      </c>
      <c r="D58" s="225">
        <f t="shared" ref="D58:K58" si="48">(D39+D$57)/-D$57/(D$38-1)</f>
        <v>0.20578529948322816</v>
      </c>
      <c r="E58" s="225">
        <f t="shared" si="48"/>
        <v>0.23154118821869388</v>
      </c>
      <c r="F58" s="225">
        <f t="shared" si="48"/>
        <v>0.25664223875079673</v>
      </c>
      <c r="G58" s="225">
        <f t="shared" si="48"/>
        <v>0.28314494592231937</v>
      </c>
      <c r="H58" s="225">
        <f t="shared" si="48"/>
        <v>0.31271765116314337</v>
      </c>
      <c r="I58" s="225">
        <f t="shared" si="48"/>
        <v>0.3463225177877301</v>
      </c>
      <c r="J58" s="225">
        <f t="shared" si="48"/>
        <v>0.38407156506457629</v>
      </c>
      <c r="K58" s="225">
        <f t="shared" si="48"/>
        <v>0.42783543196535057</v>
      </c>
      <c r="M58" s="218">
        <v>0.2</v>
      </c>
      <c r="N58" s="225">
        <f>(N39+N$57)/-N$57/(N$38-1)</f>
        <v>0.11831856531441054</v>
      </c>
      <c r="O58" s="225">
        <f t="shared" ref="O58:V58" si="49">(O39+O$57)/-O$57/(O$38-1)</f>
        <v>0.1499417865875072</v>
      </c>
      <c r="P58" s="225">
        <f t="shared" si="49"/>
        <v>0.17008222603352649</v>
      </c>
      <c r="Q58" s="225">
        <f t="shared" si="49"/>
        <v>0.18893646161025687</v>
      </c>
      <c r="R58" s="225">
        <f t="shared" si="49"/>
        <v>0.20838361542854006</v>
      </c>
      <c r="S58" s="225">
        <f t="shared" si="49"/>
        <v>0.22990993348714475</v>
      </c>
      <c r="T58" s="225">
        <f t="shared" si="49"/>
        <v>0.25426403761758504</v>
      </c>
      <c r="U58" s="225">
        <f t="shared" si="49"/>
        <v>0.28151628754317742</v>
      </c>
      <c r="V58" s="225">
        <f t="shared" si="49"/>
        <v>0.31320857072586838</v>
      </c>
      <c r="X58" s="218">
        <v>0.2</v>
      </c>
      <c r="Y58" s="224">
        <f>(Y39+$N$57)/-$N$57/(Y$38-1)</f>
        <v>0.11831856531441054</v>
      </c>
      <c r="Z58" s="225">
        <f t="shared" ref="Z58:AG58" si="50">(Z39+$C$57)/-$C$57/(Z$38-1)</f>
        <v>0.1499417865875072</v>
      </c>
      <c r="AA58" s="225">
        <f t="shared" si="50"/>
        <v>0.17008222603352649</v>
      </c>
      <c r="AB58" s="225">
        <f t="shared" si="50"/>
        <v>0.18893646161025687</v>
      </c>
      <c r="AC58" s="225">
        <f t="shared" si="50"/>
        <v>0.20838361542854006</v>
      </c>
      <c r="AD58" s="225">
        <f t="shared" si="50"/>
        <v>0.22990993348714475</v>
      </c>
      <c r="AE58" s="225">
        <f t="shared" si="50"/>
        <v>0.25426403761758504</v>
      </c>
      <c r="AF58" s="225">
        <f t="shared" si="50"/>
        <v>0.28151628754317742</v>
      </c>
      <c r="AG58" s="225">
        <f t="shared" si="50"/>
        <v>0.31320857072586838</v>
      </c>
      <c r="AI58" s="218">
        <v>0.2</v>
      </c>
      <c r="AJ58" s="224">
        <f>(AJ39+$N$57)/-$N$57/(AJ$38-1)</f>
        <v>0.11831856531441054</v>
      </c>
      <c r="AK58" s="225">
        <f t="shared" ref="AK58:AR58" si="51">(AK39+$C$57)/-$C$57/(AK$38-1)</f>
        <v>0.1499417865875072</v>
      </c>
      <c r="AL58" s="225">
        <f t="shared" si="51"/>
        <v>0.17008222603352649</v>
      </c>
      <c r="AM58" s="225">
        <f t="shared" si="51"/>
        <v>0.18893646161025687</v>
      </c>
      <c r="AN58" s="225">
        <f t="shared" si="51"/>
        <v>0.20838361542854006</v>
      </c>
      <c r="AO58" s="225">
        <f t="shared" si="51"/>
        <v>0.22990993348714475</v>
      </c>
      <c r="AP58" s="225">
        <f t="shared" si="51"/>
        <v>0.25426403761758504</v>
      </c>
      <c r="AQ58" s="225">
        <f t="shared" si="51"/>
        <v>0.28151628754317742</v>
      </c>
      <c r="AR58" s="225">
        <f t="shared" si="51"/>
        <v>0.31320857072586838</v>
      </c>
      <c r="AU58" s="218">
        <v>0.2</v>
      </c>
      <c r="AV58" s="224">
        <f t="shared" ref="AV58:BD58" si="52">(AV39+$AV$57)/-$AV$57/(AV$56-1)</f>
        <v>0.16241698724923209</v>
      </c>
      <c r="AW58" s="224">
        <f t="shared" si="52"/>
        <v>0.19744945607036571</v>
      </c>
      <c r="AX58" s="224">
        <f t="shared" si="52"/>
        <v>0.22490579372315142</v>
      </c>
      <c r="AY58" s="224">
        <f t="shared" si="52"/>
        <v>0.2524141983481788</v>
      </c>
      <c r="AZ58" s="224">
        <f t="shared" si="52"/>
        <v>0.28231825071799949</v>
      </c>
      <c r="BA58" s="224">
        <f t="shared" si="52"/>
        <v>0.3156511875829085</v>
      </c>
      <c r="BB58" s="224">
        <f t="shared" si="52"/>
        <v>0.35348998498158479</v>
      </c>
      <c r="BC58" s="224">
        <f t="shared" si="52"/>
        <v>0.39616567596036223</v>
      </c>
      <c r="BD58" s="224">
        <f t="shared" si="52"/>
        <v>0.44479621388215407</v>
      </c>
      <c r="BF58" s="218">
        <v>0.2</v>
      </c>
      <c r="BG58" s="225" t="e">
        <f>(BG39+BG$57)/-BG$57/(BG$38-1)</f>
        <v>#DIV/0!</v>
      </c>
      <c r="BH58" s="225" t="e">
        <f t="shared" ref="BH58:BO58" si="53">(BH39+BH$57)/-BH$57/(BH$38-1)</f>
        <v>#DIV/0!</v>
      </c>
      <c r="BI58" s="225" t="e">
        <f t="shared" si="53"/>
        <v>#DIV/0!</v>
      </c>
      <c r="BJ58" s="225" t="e">
        <f t="shared" si="53"/>
        <v>#DIV/0!</v>
      </c>
      <c r="BK58" s="225" t="e">
        <f t="shared" si="53"/>
        <v>#DIV/0!</v>
      </c>
      <c r="BL58" s="225" t="e">
        <f t="shared" si="53"/>
        <v>#DIV/0!</v>
      </c>
      <c r="BM58" s="225" t="e">
        <f t="shared" si="53"/>
        <v>#DIV/0!</v>
      </c>
      <c r="BN58" s="225" t="e">
        <f t="shared" si="53"/>
        <v>#DIV/0!</v>
      </c>
      <c r="BO58" s="225" t="e">
        <f t="shared" si="53"/>
        <v>#DIV/0!</v>
      </c>
      <c r="BQ58" s="218">
        <v>0.2</v>
      </c>
      <c r="BR58" s="225" t="e">
        <f>(BR39+BR$57)/-BR$57/(BR$38-1)</f>
        <v>#DIV/0!</v>
      </c>
      <c r="BS58" s="225" t="e">
        <f t="shared" ref="BS58:BZ58" si="54">(BS39+BS$57)/-BS$57/(BS$38-1)</f>
        <v>#DIV/0!</v>
      </c>
      <c r="BT58" s="225" t="e">
        <f t="shared" si="54"/>
        <v>#DIV/0!</v>
      </c>
      <c r="BU58" s="225" t="e">
        <f t="shared" si="54"/>
        <v>#DIV/0!</v>
      </c>
      <c r="BV58" s="225" t="e">
        <f t="shared" si="54"/>
        <v>#DIV/0!</v>
      </c>
      <c r="BW58" s="225" t="e">
        <f t="shared" si="54"/>
        <v>#DIV/0!</v>
      </c>
      <c r="BX58" s="225" t="e">
        <f t="shared" si="54"/>
        <v>#DIV/0!</v>
      </c>
      <c r="BY58" s="225" t="e">
        <f t="shared" si="54"/>
        <v>#DIV/0!</v>
      </c>
      <c r="BZ58" s="225" t="e">
        <f t="shared" si="54"/>
        <v>#DIV/0!</v>
      </c>
    </row>
    <row r="59" spans="2:78">
      <c r="B59" s="218">
        <f>B58-1%</f>
        <v>0.19</v>
      </c>
      <c r="C59" s="225">
        <f t="shared" ref="C59:K59" si="55">(C40+C$57)/-C$57/(C$38-1)</f>
        <v>0.15679442756389766</v>
      </c>
      <c r="D59" s="225">
        <f t="shared" si="55"/>
        <v>0.19130952648331026</v>
      </c>
      <c r="E59" s="225">
        <f t="shared" si="55"/>
        <v>0.21441791340222194</v>
      </c>
      <c r="F59" s="225">
        <f t="shared" si="55"/>
        <v>0.23643926868932302</v>
      </c>
      <c r="G59" s="225">
        <f t="shared" si="55"/>
        <v>0.25931200611491789</v>
      </c>
      <c r="H59" s="225">
        <f t="shared" si="55"/>
        <v>0.28460152624088703</v>
      </c>
      <c r="I59" s="225">
        <f t="shared" si="55"/>
        <v>0.3131181555096858</v>
      </c>
      <c r="J59" s="225">
        <f t="shared" si="55"/>
        <v>0.34487384397380227</v>
      </c>
      <c r="K59" s="225">
        <f t="shared" si="55"/>
        <v>0.38154525365646702</v>
      </c>
      <c r="M59" s="218">
        <f>M58-1%</f>
        <v>0.19</v>
      </c>
      <c r="N59" s="225">
        <f t="shared" ref="N59:V59" si="56">(N40+N$57)/-N$57/(N$38-1)</f>
        <v>0.10882357638866483</v>
      </c>
      <c r="O59" s="225">
        <f t="shared" si="56"/>
        <v>0.1387000306789542</v>
      </c>
      <c r="P59" s="225">
        <f t="shared" si="56"/>
        <v>0.15681337828565181</v>
      </c>
      <c r="Q59" s="225">
        <f t="shared" si="56"/>
        <v>0.17331922675465003</v>
      </c>
      <c r="R59" s="225">
        <f t="shared" si="56"/>
        <v>0.19000423479819406</v>
      </c>
      <c r="S59" s="225">
        <f t="shared" si="56"/>
        <v>0.20827887789621877</v>
      </c>
      <c r="T59" s="225">
        <f t="shared" si="56"/>
        <v>0.22877997942441231</v>
      </c>
      <c r="U59" s="225">
        <f t="shared" si="56"/>
        <v>0.25150567013373704</v>
      </c>
      <c r="V59" s="225">
        <f t="shared" si="56"/>
        <v>0.27785008275769341</v>
      </c>
      <c r="X59" s="218">
        <f>X58-1%</f>
        <v>0.19</v>
      </c>
      <c r="Y59" s="224">
        <f t="shared" ref="Y59:AG59" si="57">(Y40+$C$57)/-$C$57/(Y$38-1)</f>
        <v>0.10882357638866483</v>
      </c>
      <c r="Z59" s="225">
        <f t="shared" si="57"/>
        <v>0.1387000306789542</v>
      </c>
      <c r="AA59" s="225">
        <f t="shared" si="57"/>
        <v>0.15681337828565181</v>
      </c>
      <c r="AB59" s="225">
        <f t="shared" si="57"/>
        <v>0.17331922675465003</v>
      </c>
      <c r="AC59" s="225">
        <f t="shared" si="57"/>
        <v>0.19000423479819406</v>
      </c>
      <c r="AD59" s="225">
        <f t="shared" si="57"/>
        <v>0.20827887789621877</v>
      </c>
      <c r="AE59" s="225">
        <f t="shared" si="57"/>
        <v>0.22877997942441231</v>
      </c>
      <c r="AF59" s="225">
        <f t="shared" si="57"/>
        <v>0.25150567013373704</v>
      </c>
      <c r="AG59" s="225">
        <f t="shared" si="57"/>
        <v>0.27785008275769341</v>
      </c>
      <c r="AI59" s="218">
        <f>AI58-1%</f>
        <v>0.19</v>
      </c>
      <c r="AJ59" s="224">
        <f t="shared" ref="AJ59:AR59" si="58">(AJ40+$C$57)/-$C$57/(AJ$38-1)</f>
        <v>0.10882357638866483</v>
      </c>
      <c r="AK59" s="225">
        <f t="shared" si="58"/>
        <v>0.1387000306789542</v>
      </c>
      <c r="AL59" s="225">
        <f t="shared" si="58"/>
        <v>0.15681337828565181</v>
      </c>
      <c r="AM59" s="225">
        <f t="shared" si="58"/>
        <v>0.17331922675465003</v>
      </c>
      <c r="AN59" s="225">
        <f t="shared" si="58"/>
        <v>0.19000423479819406</v>
      </c>
      <c r="AO59" s="225">
        <f t="shared" si="58"/>
        <v>0.20827887789621877</v>
      </c>
      <c r="AP59" s="225">
        <f t="shared" si="58"/>
        <v>0.22877997942441231</v>
      </c>
      <c r="AQ59" s="225">
        <f t="shared" si="58"/>
        <v>0.25150567013373704</v>
      </c>
      <c r="AR59" s="225">
        <f t="shared" si="58"/>
        <v>0.27785008275769341</v>
      </c>
      <c r="AU59" s="218">
        <f>AU58-1%</f>
        <v>0.19</v>
      </c>
      <c r="AV59" s="224">
        <f t="shared" ref="AV59:BD59" si="59">(AV40+$AV$57)/-$AV$57/(AV$56-1)</f>
        <v>0.15273023117332069</v>
      </c>
      <c r="AW59" s="224">
        <f t="shared" si="59"/>
        <v>0.1858741822762795</v>
      </c>
      <c r="AX59" s="224">
        <f t="shared" si="59"/>
        <v>0.21105296487951072</v>
      </c>
      <c r="AY59" s="224">
        <f t="shared" si="59"/>
        <v>0.23586538654037034</v>
      </c>
      <c r="AZ59" s="224">
        <f t="shared" si="59"/>
        <v>0.262542931732691</v>
      </c>
      <c r="BA59" s="224">
        <f t="shared" si="59"/>
        <v>0.29202106356002988</v>
      </c>
      <c r="BB59" s="224">
        <f t="shared" si="59"/>
        <v>0.32522834141115814</v>
      </c>
      <c r="BC59" s="224">
        <f t="shared" si="59"/>
        <v>0.36239477209612175</v>
      </c>
      <c r="BD59" s="224">
        <f t="shared" si="59"/>
        <v>0.40444178439356071</v>
      </c>
      <c r="BF59" s="218">
        <f>BF58-1%</f>
        <v>0.19</v>
      </c>
      <c r="BG59" s="225" t="e">
        <f t="shared" ref="BG59:BO59" si="60">(BG40+BG$57)/-BG$57/(BG$38-1)</f>
        <v>#DIV/0!</v>
      </c>
      <c r="BH59" s="225" t="e">
        <f t="shared" si="60"/>
        <v>#DIV/0!</v>
      </c>
      <c r="BI59" s="225" t="e">
        <f t="shared" si="60"/>
        <v>#DIV/0!</v>
      </c>
      <c r="BJ59" s="225" t="e">
        <f t="shared" si="60"/>
        <v>#DIV/0!</v>
      </c>
      <c r="BK59" s="225" t="e">
        <f t="shared" si="60"/>
        <v>#DIV/0!</v>
      </c>
      <c r="BL59" s="225" t="e">
        <f t="shared" si="60"/>
        <v>#DIV/0!</v>
      </c>
      <c r="BM59" s="225" t="e">
        <f t="shared" si="60"/>
        <v>#DIV/0!</v>
      </c>
      <c r="BN59" s="225" t="e">
        <f t="shared" si="60"/>
        <v>#DIV/0!</v>
      </c>
      <c r="BO59" s="225" t="e">
        <f t="shared" si="60"/>
        <v>#DIV/0!</v>
      </c>
      <c r="BQ59" s="218">
        <f>BQ58-1%</f>
        <v>0.19</v>
      </c>
      <c r="BR59" s="225" t="e">
        <f t="shared" ref="BR59:BZ59" si="61">(BR40+BR$57)/-BR$57/(BR$38-1)</f>
        <v>#DIV/0!</v>
      </c>
      <c r="BS59" s="225" t="e">
        <f t="shared" si="61"/>
        <v>#DIV/0!</v>
      </c>
      <c r="BT59" s="225" t="e">
        <f t="shared" si="61"/>
        <v>#DIV/0!</v>
      </c>
      <c r="BU59" s="225" t="e">
        <f t="shared" si="61"/>
        <v>#DIV/0!</v>
      </c>
      <c r="BV59" s="225" t="e">
        <f t="shared" si="61"/>
        <v>#DIV/0!</v>
      </c>
      <c r="BW59" s="225" t="e">
        <f t="shared" si="61"/>
        <v>#DIV/0!</v>
      </c>
      <c r="BX59" s="225" t="e">
        <f t="shared" si="61"/>
        <v>#DIV/0!</v>
      </c>
      <c r="BY59" s="225" t="e">
        <f t="shared" si="61"/>
        <v>#DIV/0!</v>
      </c>
      <c r="BZ59" s="225" t="e">
        <f t="shared" si="61"/>
        <v>#DIV/0!</v>
      </c>
    </row>
    <row r="60" spans="2:78">
      <c r="B60" s="218">
        <f t="shared" ref="B60:B70" si="62">B59-1%</f>
        <v>0.18</v>
      </c>
      <c r="C60" s="225">
        <f t="shared" ref="C60:K60" si="63">(C41+C$57)/-C$57/(C$38-1)</f>
        <v>0.14458498673192002</v>
      </c>
      <c r="D60" s="225">
        <f t="shared" si="63"/>
        <v>0.17695640474342589</v>
      </c>
      <c r="E60" s="225">
        <f t="shared" si="63"/>
        <v>0.19758434523663007</v>
      </c>
      <c r="F60" s="225">
        <f t="shared" si="63"/>
        <v>0.21675075302235941</v>
      </c>
      <c r="G60" s="225">
        <f t="shared" si="63"/>
        <v>0.23628741732667011</v>
      </c>
      <c r="H60" s="225">
        <f t="shared" si="63"/>
        <v>0.25767747696862059</v>
      </c>
      <c r="I60" s="225">
        <f t="shared" si="63"/>
        <v>0.28160308368413761</v>
      </c>
      <c r="J60" s="225">
        <f t="shared" si="63"/>
        <v>0.30800235361306083</v>
      </c>
      <c r="K60" s="225">
        <f t="shared" si="63"/>
        <v>0.33839138213916597</v>
      </c>
      <c r="M60" s="218">
        <f t="shared" ref="M60:M70" si="64">M59-1%</f>
        <v>0.18</v>
      </c>
      <c r="N60" s="225">
        <f t="shared" ref="N60:V60" si="65">(N41+N$57)/-N$57/(N$38-1)</f>
        <v>9.9329151089166498E-2</v>
      </c>
      <c r="O60" s="225">
        <f t="shared" si="65"/>
        <v>0.12755441872979803</v>
      </c>
      <c r="P60" s="225">
        <f t="shared" si="65"/>
        <v>0.14376869588139615</v>
      </c>
      <c r="Q60" s="225">
        <f t="shared" si="65"/>
        <v>0.15809908090191521</v>
      </c>
      <c r="R60" s="225">
        <f t="shared" si="65"/>
        <v>0.172249577216395</v>
      </c>
      <c r="S60" s="225">
        <f t="shared" si="65"/>
        <v>0.18757028250539798</v>
      </c>
      <c r="T60" s="225">
        <f t="shared" si="65"/>
        <v>0.2046026414371071</v>
      </c>
      <c r="U60" s="225">
        <f t="shared" si="65"/>
        <v>0.2232910140419932</v>
      </c>
      <c r="V60" s="225">
        <f t="shared" si="65"/>
        <v>0.24490879929417236</v>
      </c>
      <c r="X60" s="218">
        <f t="shared" ref="X60:X70" si="66">X59-1%</f>
        <v>0.18</v>
      </c>
      <c r="Y60" s="224">
        <f t="shared" ref="Y60:AG60" si="67">(Y41+$C$57)/-$C$57/(Y$38-1)</f>
        <v>9.9329151089166498E-2</v>
      </c>
      <c r="Z60" s="225">
        <f t="shared" si="67"/>
        <v>0.12755441872979803</v>
      </c>
      <c r="AA60" s="225">
        <f t="shared" si="67"/>
        <v>0.14376869588139615</v>
      </c>
      <c r="AB60" s="225">
        <f t="shared" si="67"/>
        <v>0.15809908090191521</v>
      </c>
      <c r="AC60" s="225">
        <f t="shared" si="67"/>
        <v>0.172249577216395</v>
      </c>
      <c r="AD60" s="225">
        <f t="shared" si="67"/>
        <v>0.18757028250539798</v>
      </c>
      <c r="AE60" s="225">
        <f t="shared" si="67"/>
        <v>0.2046026414371071</v>
      </c>
      <c r="AF60" s="225">
        <f t="shared" si="67"/>
        <v>0.2232910140419932</v>
      </c>
      <c r="AG60" s="225">
        <f t="shared" si="67"/>
        <v>0.24490879929417236</v>
      </c>
      <c r="AI60" s="218">
        <f t="shared" ref="AI60:AI70" si="68">AI59-1%</f>
        <v>0.18</v>
      </c>
      <c r="AJ60" s="224">
        <f t="shared" ref="AJ60:AR60" si="69">(AJ41+$C$57)/-$C$57/(AJ$38-1)</f>
        <v>9.9329151089166498E-2</v>
      </c>
      <c r="AK60" s="225">
        <f t="shared" si="69"/>
        <v>0.12755441872979803</v>
      </c>
      <c r="AL60" s="225">
        <f t="shared" si="69"/>
        <v>0.14376869588139615</v>
      </c>
      <c r="AM60" s="225">
        <f t="shared" si="69"/>
        <v>0.15809908090191521</v>
      </c>
      <c r="AN60" s="225">
        <f t="shared" si="69"/>
        <v>0.172249577216395</v>
      </c>
      <c r="AO60" s="225">
        <f t="shared" si="69"/>
        <v>0.18757028250539798</v>
      </c>
      <c r="AP60" s="225">
        <f t="shared" si="69"/>
        <v>0.2046026414371071</v>
      </c>
      <c r="AQ60" s="225">
        <f t="shared" si="69"/>
        <v>0.2232910140419932</v>
      </c>
      <c r="AR60" s="225">
        <f t="shared" si="69"/>
        <v>0.24490879929417236</v>
      </c>
      <c r="AU60" s="218">
        <f t="shared" ref="AU60:AU70" si="70">AU59-1%</f>
        <v>0.18</v>
      </c>
      <c r="AV60" s="224">
        <f t="shared" ref="AV60:BD60" si="71">(AV41+$AV$57)/-$AV$57/(AV$56-1)</f>
        <v>0.14304287630162169</v>
      </c>
      <c r="AW60" s="224">
        <f t="shared" si="71"/>
        <v>0.17439593518735741</v>
      </c>
      <c r="AX60" s="224">
        <f t="shared" si="71"/>
        <v>0.19743188778853546</v>
      </c>
      <c r="AY60" s="224">
        <f t="shared" si="71"/>
        <v>0.21972632024139876</v>
      </c>
      <c r="AZ60" s="224">
        <f t="shared" si="71"/>
        <v>0.24342169787950926</v>
      </c>
      <c r="BA60" s="224">
        <f t="shared" si="71"/>
        <v>0.26936535689847602</v>
      </c>
      <c r="BB60" s="224">
        <f t="shared" si="71"/>
        <v>0.298356809092721</v>
      </c>
      <c r="BC60" s="224">
        <f t="shared" si="71"/>
        <v>0.33055478932881999</v>
      </c>
      <c r="BD60" s="224">
        <f t="shared" si="71"/>
        <v>0.36671644397863346</v>
      </c>
      <c r="BF60" s="218">
        <f t="shared" ref="BF60:BF70" si="72">BF59-1%</f>
        <v>0.18</v>
      </c>
      <c r="BG60" s="225" t="e">
        <f t="shared" ref="BG60:BO60" si="73">(BG41+BG$57)/-BG$57/(BG$38-1)</f>
        <v>#DIV/0!</v>
      </c>
      <c r="BH60" s="225" t="e">
        <f t="shared" si="73"/>
        <v>#DIV/0!</v>
      </c>
      <c r="BI60" s="225" t="e">
        <f t="shared" si="73"/>
        <v>#DIV/0!</v>
      </c>
      <c r="BJ60" s="225" t="e">
        <f t="shared" si="73"/>
        <v>#DIV/0!</v>
      </c>
      <c r="BK60" s="225" t="e">
        <f t="shared" si="73"/>
        <v>#DIV/0!</v>
      </c>
      <c r="BL60" s="225" t="e">
        <f t="shared" si="73"/>
        <v>#DIV/0!</v>
      </c>
      <c r="BM60" s="225" t="e">
        <f t="shared" si="73"/>
        <v>#DIV/0!</v>
      </c>
      <c r="BN60" s="225" t="e">
        <f t="shared" si="73"/>
        <v>#DIV/0!</v>
      </c>
      <c r="BO60" s="225" t="e">
        <f t="shared" si="73"/>
        <v>#DIV/0!</v>
      </c>
      <c r="BQ60" s="218">
        <f t="shared" ref="BQ60:BQ70" si="74">BQ59-1%</f>
        <v>0.18</v>
      </c>
      <c r="BR60" s="225" t="e">
        <f t="shared" ref="BR60:BZ60" si="75">(BR41+BR$57)/-BR$57/(BR$38-1)</f>
        <v>#DIV/0!</v>
      </c>
      <c r="BS60" s="225" t="e">
        <f t="shared" si="75"/>
        <v>#DIV/0!</v>
      </c>
      <c r="BT60" s="225" t="e">
        <f t="shared" si="75"/>
        <v>#DIV/0!</v>
      </c>
      <c r="BU60" s="225" t="e">
        <f t="shared" si="75"/>
        <v>#DIV/0!</v>
      </c>
      <c r="BV60" s="225" t="e">
        <f t="shared" si="75"/>
        <v>#DIV/0!</v>
      </c>
      <c r="BW60" s="225" t="e">
        <f t="shared" si="75"/>
        <v>#DIV/0!</v>
      </c>
      <c r="BX60" s="225" t="e">
        <f t="shared" si="75"/>
        <v>#DIV/0!</v>
      </c>
      <c r="BY60" s="225" t="e">
        <f t="shared" si="75"/>
        <v>#DIV/0!</v>
      </c>
      <c r="BZ60" s="225" t="e">
        <f t="shared" si="75"/>
        <v>#DIV/0!</v>
      </c>
    </row>
    <row r="61" spans="2:78">
      <c r="B61" s="218">
        <f t="shared" si="62"/>
        <v>0.16999999999999998</v>
      </c>
      <c r="C61" s="225">
        <f t="shared" ref="C61:K61" si="76">(C42+C$57)/-C$57/(C$38-1)</f>
        <v>0.13237587064674064</v>
      </c>
      <c r="D61" s="225">
        <f t="shared" si="76"/>
        <v>0.16272400398435918</v>
      </c>
      <c r="E61" s="225">
        <f t="shared" si="76"/>
        <v>0.18103810033645742</v>
      </c>
      <c r="F61" s="225">
        <f t="shared" si="76"/>
        <v>0.19756543189175224</v>
      </c>
      <c r="G61" s="225">
        <f t="shared" si="76"/>
        <v>0.21405098206233214</v>
      </c>
      <c r="H61" s="225">
        <f t="shared" si="76"/>
        <v>0.23190431544373583</v>
      </c>
      <c r="I61" s="225">
        <f t="shared" si="76"/>
        <v>0.25170589227708934</v>
      </c>
      <c r="J61" s="225">
        <f t="shared" si="76"/>
        <v>0.2733392679556727</v>
      </c>
      <c r="K61" s="225">
        <f t="shared" si="76"/>
        <v>0.29819025557492673</v>
      </c>
      <c r="M61" s="218">
        <f t="shared" si="64"/>
        <v>0.16999999999999998</v>
      </c>
      <c r="N61" s="225">
        <f t="shared" ref="N61:V61" si="77">(N42+N$57)/-N$57/(N$38-1)</f>
        <v>8.9833948093649807E-2</v>
      </c>
      <c r="O61" s="225">
        <f t="shared" si="77"/>
        <v>0.11650366729756238</v>
      </c>
      <c r="P61" s="225">
        <f t="shared" si="77"/>
        <v>0.13094928252673013</v>
      </c>
      <c r="Q61" s="225">
        <f t="shared" si="77"/>
        <v>0.14327033372530526</v>
      </c>
      <c r="R61" s="225">
        <f t="shared" si="77"/>
        <v>0.15510701433222868</v>
      </c>
      <c r="S61" s="225">
        <f t="shared" si="77"/>
        <v>0.16775251639929498</v>
      </c>
      <c r="T61" s="225">
        <f t="shared" si="77"/>
        <v>0.18167298786987773</v>
      </c>
      <c r="U61" s="225">
        <f t="shared" si="77"/>
        <v>0.19677722502937445</v>
      </c>
      <c r="V61" s="225">
        <f t="shared" si="77"/>
        <v>0.21423950716945014</v>
      </c>
      <c r="X61" s="218">
        <f t="shared" si="66"/>
        <v>0.16999999999999998</v>
      </c>
      <c r="Y61" s="224">
        <f t="shared" ref="Y61:AG61" si="78">(Y42+$C$57)/-$C$57/(Y$38-1)</f>
        <v>8.9833948093649807E-2</v>
      </c>
      <c r="Z61" s="225">
        <f t="shared" si="78"/>
        <v>0.11650366729756238</v>
      </c>
      <c r="AA61" s="225">
        <f t="shared" si="78"/>
        <v>0.13094928252673013</v>
      </c>
      <c r="AB61" s="225">
        <f t="shared" si="78"/>
        <v>0.14327033372530526</v>
      </c>
      <c r="AC61" s="225">
        <f t="shared" si="78"/>
        <v>0.15510701433222868</v>
      </c>
      <c r="AD61" s="225">
        <f t="shared" si="78"/>
        <v>0.16775251639929498</v>
      </c>
      <c r="AE61" s="225">
        <f t="shared" si="78"/>
        <v>0.18167298786987773</v>
      </c>
      <c r="AF61" s="225">
        <f t="shared" si="78"/>
        <v>0.19677722502937445</v>
      </c>
      <c r="AG61" s="225">
        <f t="shared" si="78"/>
        <v>0.21423950716945014</v>
      </c>
      <c r="AI61" s="218">
        <f t="shared" si="68"/>
        <v>0.16999999999999998</v>
      </c>
      <c r="AJ61" s="224">
        <f t="shared" ref="AJ61:AR61" si="79">(AJ42+$C$57)/-$C$57/(AJ$38-1)</f>
        <v>8.9833948093649807E-2</v>
      </c>
      <c r="AK61" s="225">
        <f t="shared" si="79"/>
        <v>0.11650366729756238</v>
      </c>
      <c r="AL61" s="225">
        <f t="shared" si="79"/>
        <v>0.13094928252673013</v>
      </c>
      <c r="AM61" s="225">
        <f t="shared" si="79"/>
        <v>0.14327033372530526</v>
      </c>
      <c r="AN61" s="225">
        <f t="shared" si="79"/>
        <v>0.15510701433222868</v>
      </c>
      <c r="AO61" s="225">
        <f t="shared" si="79"/>
        <v>0.16775251639929498</v>
      </c>
      <c r="AP61" s="225">
        <f t="shared" si="79"/>
        <v>0.18167298786987773</v>
      </c>
      <c r="AQ61" s="225">
        <f t="shared" si="79"/>
        <v>0.19677722502937445</v>
      </c>
      <c r="AR61" s="225">
        <f t="shared" si="79"/>
        <v>0.21423950716945014</v>
      </c>
      <c r="AU61" s="218">
        <f t="shared" si="70"/>
        <v>0.16999999999999998</v>
      </c>
      <c r="AV61" s="224">
        <f t="shared" ref="AV61:BD61" si="80">(AV42+$AV$57)/-$AV$57/(AV$56-1)</f>
        <v>0.13335644074878233</v>
      </c>
      <c r="AW61" s="224">
        <f t="shared" si="80"/>
        <v>0.16301388919820395</v>
      </c>
      <c r="AX61" s="224">
        <f t="shared" si="80"/>
        <v>0.18404016433951151</v>
      </c>
      <c r="AY61" s="224">
        <f t="shared" si="80"/>
        <v>0.20399512883688625</v>
      </c>
      <c r="AZ61" s="224">
        <f t="shared" si="80"/>
        <v>0.2249397467014041</v>
      </c>
      <c r="BA61" s="224">
        <f t="shared" si="80"/>
        <v>0.24764904854415692</v>
      </c>
      <c r="BB61" s="224">
        <f t="shared" si="80"/>
        <v>0.27282108424155915</v>
      </c>
      <c r="BC61" s="224">
        <f t="shared" si="80"/>
        <v>0.30055012706085082</v>
      </c>
      <c r="BD61" s="224">
        <f t="shared" si="80"/>
        <v>0.33146251370013069</v>
      </c>
      <c r="BF61" s="218">
        <f t="shared" si="72"/>
        <v>0.16999999999999998</v>
      </c>
      <c r="BG61" s="225" t="e">
        <f t="shared" ref="BG61:BO61" si="81">(BG42+BG$57)/-BG$57/(BG$38-1)</f>
        <v>#DIV/0!</v>
      </c>
      <c r="BH61" s="225" t="e">
        <f t="shared" si="81"/>
        <v>#DIV/0!</v>
      </c>
      <c r="BI61" s="225" t="e">
        <f t="shared" si="81"/>
        <v>#DIV/0!</v>
      </c>
      <c r="BJ61" s="225" t="e">
        <f t="shared" si="81"/>
        <v>#DIV/0!</v>
      </c>
      <c r="BK61" s="225" t="e">
        <f t="shared" si="81"/>
        <v>#DIV/0!</v>
      </c>
      <c r="BL61" s="225" t="e">
        <f t="shared" si="81"/>
        <v>#DIV/0!</v>
      </c>
      <c r="BM61" s="225" t="e">
        <f t="shared" si="81"/>
        <v>#DIV/0!</v>
      </c>
      <c r="BN61" s="225" t="e">
        <f t="shared" si="81"/>
        <v>#DIV/0!</v>
      </c>
      <c r="BO61" s="225" t="e">
        <f t="shared" si="81"/>
        <v>#DIV/0!</v>
      </c>
      <c r="BQ61" s="218">
        <f t="shared" si="74"/>
        <v>0.16999999999999998</v>
      </c>
      <c r="BR61" s="225" t="e">
        <f t="shared" ref="BR61:BZ61" si="82">(BR42+BR$57)/-BR$57/(BR$38-1)</f>
        <v>#DIV/0!</v>
      </c>
      <c r="BS61" s="225" t="e">
        <f t="shared" si="82"/>
        <v>#DIV/0!</v>
      </c>
      <c r="BT61" s="225" t="e">
        <f t="shared" si="82"/>
        <v>#DIV/0!</v>
      </c>
      <c r="BU61" s="225" t="e">
        <f t="shared" si="82"/>
        <v>#DIV/0!</v>
      </c>
      <c r="BV61" s="225" t="e">
        <f t="shared" si="82"/>
        <v>#DIV/0!</v>
      </c>
      <c r="BW61" s="225" t="e">
        <f t="shared" si="82"/>
        <v>#DIV/0!</v>
      </c>
      <c r="BX61" s="225" t="e">
        <f t="shared" si="82"/>
        <v>#DIV/0!</v>
      </c>
      <c r="BY61" s="225" t="e">
        <f t="shared" si="82"/>
        <v>#DIV/0!</v>
      </c>
      <c r="BZ61" s="225" t="e">
        <f t="shared" si="82"/>
        <v>#DIV/0!</v>
      </c>
    </row>
    <row r="62" spans="2:78">
      <c r="B62" s="218">
        <f t="shared" si="62"/>
        <v>0.15999999999999998</v>
      </c>
      <c r="C62" s="225">
        <f t="shared" ref="C62:K62" si="83">(C43+C$57)/-C$57/(C$38-1)</f>
        <v>0.12016539344125257</v>
      </c>
      <c r="D62" s="225">
        <f t="shared" si="83"/>
        <v>0.14861444263697643</v>
      </c>
      <c r="E62" s="225">
        <f t="shared" si="83"/>
        <v>0.16477554368164177</v>
      </c>
      <c r="F62" s="225">
        <f t="shared" si="83"/>
        <v>0.17887854997903502</v>
      </c>
      <c r="G62" s="225">
        <f t="shared" si="83"/>
        <v>0.19258069855251039</v>
      </c>
      <c r="H62" s="225">
        <f t="shared" si="83"/>
        <v>0.20724394180820438</v>
      </c>
      <c r="I62" s="225">
        <f t="shared" si="83"/>
        <v>0.22335672048728847</v>
      </c>
      <c r="J62" s="225">
        <f t="shared" si="83"/>
        <v>0.24077350317405413</v>
      </c>
      <c r="K62" s="225">
        <f t="shared" si="83"/>
        <v>0.26076299084893073</v>
      </c>
      <c r="M62" s="218">
        <f t="shared" si="64"/>
        <v>0.15999999999999998</v>
      </c>
      <c r="N62" s="225">
        <f t="shared" ref="N62:V62" si="84">(N43+N$57)/-N$57/(N$38-1)</f>
        <v>8.0339162727975866E-2</v>
      </c>
      <c r="O62" s="225">
        <f t="shared" si="84"/>
        <v>0.10554698038523205</v>
      </c>
      <c r="P62" s="225">
        <f t="shared" si="84"/>
        <v>0.11834937695710553</v>
      </c>
      <c r="Q62" s="225">
        <f t="shared" si="84"/>
        <v>0.12882669952313491</v>
      </c>
      <c r="R62" s="225">
        <f t="shared" si="84"/>
        <v>0.13855637339754903</v>
      </c>
      <c r="S62" s="225">
        <f t="shared" si="84"/>
        <v>0.14879616394112608</v>
      </c>
      <c r="T62" s="225">
        <f t="shared" si="84"/>
        <v>0.1599415465210208</v>
      </c>
      <c r="U62" s="225">
        <f t="shared" si="84"/>
        <v>0.17187913993881901</v>
      </c>
      <c r="V62" s="225">
        <f t="shared" si="84"/>
        <v>0.18570521175432353</v>
      </c>
      <c r="X62" s="218">
        <f t="shared" si="66"/>
        <v>0.15999999999999998</v>
      </c>
      <c r="Y62" s="224">
        <f t="shared" ref="Y62:AG63" si="85">(Y43+$C$57)/-$C$57/(Y$38-1)</f>
        <v>0.11908981755704653</v>
      </c>
      <c r="Z62" s="225">
        <f t="shared" si="85"/>
        <v>0.14799101790775093</v>
      </c>
      <c r="AA62" s="225">
        <f t="shared" si="85"/>
        <v>0.16429275710373251</v>
      </c>
      <c r="AB62" s="225">
        <f t="shared" si="85"/>
        <v>0.17845754478010895</v>
      </c>
      <c r="AC62" s="225">
        <f t="shared" si="85"/>
        <v>0.19219143499622637</v>
      </c>
      <c r="AD62" s="225">
        <f t="shared" si="85"/>
        <v>0.20686706979296018</v>
      </c>
      <c r="AE62" s="225">
        <f t="shared" si="85"/>
        <v>0.22298251242897374</v>
      </c>
      <c r="AF62" s="225">
        <f t="shared" si="85"/>
        <v>0.24039137450393819</v>
      </c>
      <c r="AG62" s="225">
        <f t="shared" si="85"/>
        <v>0.26037114007729101</v>
      </c>
      <c r="AI62" s="218">
        <f t="shared" si="68"/>
        <v>0.15999999999999998</v>
      </c>
      <c r="AJ62" s="224">
        <f t="shared" ref="AJ62:AR62" si="86">(AJ43+$C$57)/-$C$57/(AJ$38-1)</f>
        <v>9.709995508023532E-2</v>
      </c>
      <c r="AK62" s="225">
        <f t="shared" si="86"/>
        <v>0.13523565762938125</v>
      </c>
      <c r="AL62" s="225">
        <f t="shared" si="86"/>
        <v>0.15442491064808428</v>
      </c>
      <c r="AM62" s="225">
        <f t="shared" si="86"/>
        <v>0.16987333332219445</v>
      </c>
      <c r="AN62" s="225">
        <f t="shared" si="86"/>
        <v>0.18422373194769825</v>
      </c>
      <c r="AO62" s="225">
        <f t="shared" si="86"/>
        <v>0.19916660006282713</v>
      </c>
      <c r="AP62" s="225">
        <f t="shared" si="86"/>
        <v>0.21532190300479592</v>
      </c>
      <c r="AQ62" s="225">
        <f t="shared" si="86"/>
        <v>0.23261644080807098</v>
      </c>
      <c r="AR62" s="225">
        <f t="shared" si="86"/>
        <v>0.25235599580466794</v>
      </c>
      <c r="AU62" s="218">
        <f t="shared" si="70"/>
        <v>0.15999999999999998</v>
      </c>
      <c r="AV62" s="224">
        <f t="shared" ref="AV62:BD62" si="87">(AV43+$AV$57)/-$AV$57/(AV$56-1)</f>
        <v>0.12366990367449235</v>
      </c>
      <c r="AW62" s="224">
        <f t="shared" si="87"/>
        <v>0.15172823229359966</v>
      </c>
      <c r="AX62" s="224">
        <f t="shared" si="87"/>
        <v>0.17087463710315023</v>
      </c>
      <c r="AY62" s="224">
        <f t="shared" si="87"/>
        <v>0.18866172343692314</v>
      </c>
      <c r="AZ62" s="224">
        <f t="shared" si="87"/>
        <v>0.20707741988389908</v>
      </c>
      <c r="BA62" s="224">
        <f t="shared" si="87"/>
        <v>0.226841840667524</v>
      </c>
      <c r="BB62" s="224">
        <f t="shared" si="87"/>
        <v>0.24856209348149844</v>
      </c>
      <c r="BC62" s="224">
        <f t="shared" si="87"/>
        <v>0.27228873789330948</v>
      </c>
      <c r="BD62" s="224">
        <f t="shared" si="87"/>
        <v>0.2985379229461218</v>
      </c>
      <c r="BF62" s="218">
        <f t="shared" si="72"/>
        <v>0.15999999999999998</v>
      </c>
      <c r="BG62" s="225" t="e">
        <f t="shared" ref="BG62:BO62" si="88">(BG43+BG$57)/-BG$57/(BG$38-1)</f>
        <v>#DIV/0!</v>
      </c>
      <c r="BH62" s="225" t="e">
        <f t="shared" si="88"/>
        <v>#DIV/0!</v>
      </c>
      <c r="BI62" s="225" t="e">
        <f t="shared" si="88"/>
        <v>#DIV/0!</v>
      </c>
      <c r="BJ62" s="225" t="e">
        <f t="shared" si="88"/>
        <v>#DIV/0!</v>
      </c>
      <c r="BK62" s="225" t="e">
        <f t="shared" si="88"/>
        <v>#DIV/0!</v>
      </c>
      <c r="BL62" s="225" t="e">
        <f t="shared" si="88"/>
        <v>#DIV/0!</v>
      </c>
      <c r="BM62" s="225" t="e">
        <f t="shared" si="88"/>
        <v>#DIV/0!</v>
      </c>
      <c r="BN62" s="225" t="e">
        <f t="shared" si="88"/>
        <v>#DIV/0!</v>
      </c>
      <c r="BO62" s="225" t="e">
        <f t="shared" si="88"/>
        <v>#DIV/0!</v>
      </c>
      <c r="BQ62" s="218">
        <f t="shared" si="74"/>
        <v>0.15999999999999998</v>
      </c>
      <c r="BR62" s="225" t="e">
        <f t="shared" ref="BR62:BZ62" si="89">(BR43+BR$57)/-BR$57/(BR$38-1)</f>
        <v>#DIV/0!</v>
      </c>
      <c r="BS62" s="225" t="e">
        <f t="shared" si="89"/>
        <v>#DIV/0!</v>
      </c>
      <c r="BT62" s="225" t="e">
        <f t="shared" si="89"/>
        <v>#DIV/0!</v>
      </c>
      <c r="BU62" s="225" t="e">
        <f t="shared" si="89"/>
        <v>#DIV/0!</v>
      </c>
      <c r="BV62" s="225" t="e">
        <f t="shared" si="89"/>
        <v>#DIV/0!</v>
      </c>
      <c r="BW62" s="225" t="e">
        <f t="shared" si="89"/>
        <v>#DIV/0!</v>
      </c>
      <c r="BX62" s="225" t="e">
        <f t="shared" si="89"/>
        <v>#DIV/0!</v>
      </c>
      <c r="BY62" s="225" t="e">
        <f t="shared" si="89"/>
        <v>#DIV/0!</v>
      </c>
      <c r="BZ62" s="225" t="e">
        <f t="shared" si="89"/>
        <v>#DIV/0!</v>
      </c>
    </row>
    <row r="63" spans="2:78">
      <c r="B63" s="218">
        <f t="shared" si="62"/>
        <v>0.14999999999999997</v>
      </c>
      <c r="C63" s="225">
        <f t="shared" ref="C63:K63" si="90">(C44+C$57)/-C$57/(C$38-1)</f>
        <v>0.10795562029669663</v>
      </c>
      <c r="D63" s="225">
        <f t="shared" si="90"/>
        <v>0.1346265850903651</v>
      </c>
      <c r="E63" s="225">
        <f t="shared" si="90"/>
        <v>0.14879727137627288</v>
      </c>
      <c r="F63" s="225">
        <f t="shared" si="90"/>
        <v>0.16067791169832174</v>
      </c>
      <c r="G63" s="225">
        <f t="shared" si="90"/>
        <v>0.17185917998122269</v>
      </c>
      <c r="H63" s="225">
        <f t="shared" si="90"/>
        <v>0.18366008694796554</v>
      </c>
      <c r="I63" s="225">
        <f t="shared" si="90"/>
        <v>0.19649198005353874</v>
      </c>
      <c r="J63" s="225">
        <f t="shared" si="90"/>
        <v>0.2101932864616167</v>
      </c>
      <c r="K63" s="225">
        <f t="shared" si="90"/>
        <v>0.22595325624572504</v>
      </c>
      <c r="M63" s="218">
        <f t="shared" si="64"/>
        <v>0.14999999999999997</v>
      </c>
      <c r="N63" s="225">
        <f t="shared" ref="N63:V63" si="91">(N44+N$57)/-N$57/(N$38-1)</f>
        <v>7.0845139365267512E-2</v>
      </c>
      <c r="O63" s="225">
        <f t="shared" si="91"/>
        <v>9.4686260958788071E-2</v>
      </c>
      <c r="P63" s="225">
        <f t="shared" si="91"/>
        <v>0.10596940992239322</v>
      </c>
      <c r="Q63" s="225">
        <f t="shared" si="91"/>
        <v>0.11476240750263979</v>
      </c>
      <c r="R63" s="225">
        <f t="shared" si="91"/>
        <v>0.12258660357210438</v>
      </c>
      <c r="S63" s="225">
        <f t="shared" si="91"/>
        <v>0.1306697195882999</v>
      </c>
      <c r="T63" s="225">
        <f t="shared" si="91"/>
        <v>0.1393552513497156</v>
      </c>
      <c r="U63" s="225">
        <f t="shared" si="91"/>
        <v>0.14851501111872062</v>
      </c>
      <c r="V63" s="225">
        <f t="shared" si="91"/>
        <v>0.15918327409299385</v>
      </c>
      <c r="X63" s="218">
        <f t="shared" si="66"/>
        <v>0.14999999999999997</v>
      </c>
      <c r="Y63" s="224">
        <f t="shared" ref="Y63:AG63" si="92">(Y44+$C$57)/-$C$57/(Y$38-1)</f>
        <v>0.1068804681468814</v>
      </c>
      <c r="Z63" s="225">
        <f t="shared" si="85"/>
        <v>0.13400878517107784</v>
      </c>
      <c r="AA63" s="225">
        <f t="shared" si="92"/>
        <v>0.14832153753666594</v>
      </c>
      <c r="AB63" s="225">
        <f t="shared" si="92"/>
        <v>0.16026753791856099</v>
      </c>
      <c r="AC63" s="225">
        <f t="shared" si="92"/>
        <v>0.17148236654152504</v>
      </c>
      <c r="AD63" s="225">
        <f t="shared" si="92"/>
        <v>0.18329837091320697</v>
      </c>
      <c r="AE63" s="225">
        <f t="shared" si="92"/>
        <v>0.19613612750266432</v>
      </c>
      <c r="AF63" s="225">
        <f t="shared" si="92"/>
        <v>0.20983545455760619</v>
      </c>
      <c r="AG63" s="225">
        <f t="shared" si="92"/>
        <v>0.22558629806456285</v>
      </c>
      <c r="AI63" s="218">
        <f t="shared" si="68"/>
        <v>0.14999999999999997</v>
      </c>
      <c r="AJ63" s="224">
        <f t="shared" ref="AJ63:AR63" si="93">(AJ44+$C$57)/-$C$57/(AJ$38-1)</f>
        <v>8.4970691707744864E-2</v>
      </c>
      <c r="AK63" s="225">
        <f t="shared" si="93"/>
        <v>0.12141104965248042</v>
      </c>
      <c r="AL63" s="225">
        <f t="shared" si="93"/>
        <v>0.1386594643710827</v>
      </c>
      <c r="AM63" s="225">
        <f t="shared" si="93"/>
        <v>0.15193353833177164</v>
      </c>
      <c r="AN63" s="225">
        <f t="shared" si="93"/>
        <v>0.1638151026112985</v>
      </c>
      <c r="AO63" s="225">
        <f t="shared" si="93"/>
        <v>0.17595015831050584</v>
      </c>
      <c r="AP63" s="225">
        <f t="shared" si="93"/>
        <v>0.18889119461758744</v>
      </c>
      <c r="AQ63" s="225">
        <f t="shared" si="93"/>
        <v>0.20254493716653318</v>
      </c>
      <c r="AR63" s="225">
        <f t="shared" si="93"/>
        <v>0.21813512028260679</v>
      </c>
      <c r="AU63" s="218">
        <f t="shared" si="70"/>
        <v>0.14999999999999997</v>
      </c>
      <c r="AV63" s="224">
        <f t="shared" ref="AV63:BD63" si="94">(AV44+$AV$57)/-$AV$57/(AV$56-1)</f>
        <v>0.11398254272727389</v>
      </c>
      <c r="AW63" s="224">
        <f t="shared" si="94"/>
        <v>0.14054019901011328</v>
      </c>
      <c r="AX63" s="224">
        <f t="shared" si="94"/>
        <v>0.15793555405917523</v>
      </c>
      <c r="AY63" s="224">
        <f t="shared" si="94"/>
        <v>0.17371962616903222</v>
      </c>
      <c r="AZ63" s="224">
        <f t="shared" si="94"/>
        <v>0.18982142604619728</v>
      </c>
      <c r="BA63" s="224">
        <f t="shared" si="94"/>
        <v>0.20691302692658198</v>
      </c>
      <c r="BB63" s="224">
        <f t="shared" si="94"/>
        <v>0.22552685387655882</v>
      </c>
      <c r="BC63" s="224">
        <f t="shared" si="94"/>
        <v>0.24568603681889356</v>
      </c>
      <c r="BD63" s="224">
        <f t="shared" si="94"/>
        <v>0.26781329250962221</v>
      </c>
      <c r="BF63" s="218">
        <f t="shared" si="72"/>
        <v>0.14999999999999997</v>
      </c>
      <c r="BG63" s="225" t="e">
        <f t="shared" ref="BG63:BO63" si="95">(BG44+BG$57)/-BG$57/(BG$38-1)</f>
        <v>#DIV/0!</v>
      </c>
      <c r="BH63" s="225" t="e">
        <f t="shared" si="95"/>
        <v>#DIV/0!</v>
      </c>
      <c r="BI63" s="225" t="e">
        <f t="shared" si="95"/>
        <v>#DIV/0!</v>
      </c>
      <c r="BJ63" s="225" t="e">
        <f t="shared" si="95"/>
        <v>#DIV/0!</v>
      </c>
      <c r="BK63" s="225" t="e">
        <f t="shared" si="95"/>
        <v>#DIV/0!</v>
      </c>
      <c r="BL63" s="225" t="e">
        <f t="shared" si="95"/>
        <v>#DIV/0!</v>
      </c>
      <c r="BM63" s="225" t="e">
        <f t="shared" si="95"/>
        <v>#DIV/0!</v>
      </c>
      <c r="BN63" s="225" t="e">
        <f t="shared" si="95"/>
        <v>#DIV/0!</v>
      </c>
      <c r="BO63" s="225" t="e">
        <f t="shared" si="95"/>
        <v>#DIV/0!</v>
      </c>
      <c r="BQ63" s="218">
        <f t="shared" si="74"/>
        <v>0.14999999999999997</v>
      </c>
      <c r="BR63" s="225" t="e">
        <f t="shared" ref="BR63:BZ63" si="96">(BR44+BR$57)/-BR$57/(BR$38-1)</f>
        <v>#DIV/0!</v>
      </c>
      <c r="BS63" s="225" t="e">
        <f t="shared" si="96"/>
        <v>#DIV/0!</v>
      </c>
      <c r="BT63" s="225" t="e">
        <f t="shared" si="96"/>
        <v>#DIV/0!</v>
      </c>
      <c r="BU63" s="225" t="e">
        <f t="shared" si="96"/>
        <v>#DIV/0!</v>
      </c>
      <c r="BV63" s="225" t="e">
        <f t="shared" si="96"/>
        <v>#DIV/0!</v>
      </c>
      <c r="BW63" s="225" t="e">
        <f t="shared" si="96"/>
        <v>#DIV/0!</v>
      </c>
      <c r="BX63" s="225" t="e">
        <f t="shared" si="96"/>
        <v>#DIV/0!</v>
      </c>
      <c r="BY63" s="225" t="e">
        <f t="shared" si="96"/>
        <v>#DIV/0!</v>
      </c>
      <c r="BZ63" s="225" t="e">
        <f t="shared" si="96"/>
        <v>#DIV/0!</v>
      </c>
    </row>
    <row r="64" spans="2:78">
      <c r="B64" s="218">
        <f t="shared" si="62"/>
        <v>0.13999999999999996</v>
      </c>
      <c r="C64" s="225">
        <f t="shared" ref="C64:K64" si="97">(C45+C$57)/-C$57/(C$38-1)</f>
        <v>9.5745904790341937E-2</v>
      </c>
      <c r="D64" s="225">
        <f t="shared" si="97"/>
        <v>0.12076183026579071</v>
      </c>
      <c r="E64" s="225">
        <f t="shared" si="97"/>
        <v>0.13309760040638347</v>
      </c>
      <c r="F64" s="225">
        <f t="shared" si="97"/>
        <v>0.14295533902595195</v>
      </c>
      <c r="G64" s="225">
        <f t="shared" si="97"/>
        <v>0.15186432508097289</v>
      </c>
      <c r="H64" s="225">
        <f t="shared" si="97"/>
        <v>0.16111075796536253</v>
      </c>
      <c r="I64" s="225">
        <f t="shared" si="97"/>
        <v>0.17104936450824182</v>
      </c>
      <c r="J64" s="225">
        <f t="shared" si="97"/>
        <v>0.18150102246279831</v>
      </c>
      <c r="K64" s="225">
        <f t="shared" si="97"/>
        <v>0.19359420340668099</v>
      </c>
      <c r="M64" s="218">
        <f t="shared" si="64"/>
        <v>0.13999999999999996</v>
      </c>
      <c r="N64" s="225">
        <f t="shared" ref="N64:V64" si="98">(N45+N$57)/-N$57/(N$38-1)</f>
        <v>6.1349991951393491E-2</v>
      </c>
      <c r="O64" s="225">
        <f t="shared" si="98"/>
        <v>8.3919657804872649E-2</v>
      </c>
      <c r="P64" s="225">
        <f t="shared" si="98"/>
        <v>9.3807404506483463E-2</v>
      </c>
      <c r="Q64" s="225">
        <f t="shared" si="98"/>
        <v>0.10106910674320603</v>
      </c>
      <c r="R64" s="225">
        <f t="shared" si="98"/>
        <v>0.10717952839779883</v>
      </c>
      <c r="S64" s="225">
        <f t="shared" si="98"/>
        <v>0.11334432200130728</v>
      </c>
      <c r="T64" s="225">
        <f t="shared" si="98"/>
        <v>0.11986369428648289</v>
      </c>
      <c r="U64" s="225">
        <f t="shared" si="98"/>
        <v>0.12660181081055324</v>
      </c>
      <c r="V64" s="225">
        <f t="shared" si="98"/>
        <v>0.13454707831096002</v>
      </c>
      <c r="X64" s="218">
        <f t="shared" si="66"/>
        <v>0.13999999999999996</v>
      </c>
      <c r="Y64" s="224">
        <f t="shared" ref="Y64:AG64" si="99">(Y45+$C$57)/-$C$57/(Y$38-1)</f>
        <v>9.4670937961236379E-2</v>
      </c>
      <c r="Z64" s="225">
        <f t="shared" si="99"/>
        <v>0.12014843009624786</v>
      </c>
      <c r="AA64" s="225">
        <f t="shared" si="99"/>
        <v>0.1326312197946671</v>
      </c>
      <c r="AB64" s="225">
        <f t="shared" si="99"/>
        <v>0.14255590724105952</v>
      </c>
      <c r="AC64" s="225">
        <f t="shared" si="99"/>
        <v>0.15150014909709564</v>
      </c>
      <c r="AD64" s="225">
        <f t="shared" si="99"/>
        <v>0.16076614635233322</v>
      </c>
      <c r="AE64" s="225">
        <f t="shared" si="99"/>
        <v>0.1707105039436039</v>
      </c>
      <c r="AF64" s="225">
        <f t="shared" si="99"/>
        <v>0.18116544187568381</v>
      </c>
      <c r="AG64" s="225">
        <f t="shared" si="99"/>
        <v>0.19325236724027872</v>
      </c>
      <c r="AI64" s="218">
        <f t="shared" si="68"/>
        <v>0.13999999999999996</v>
      </c>
      <c r="AJ64" s="224">
        <f t="shared" ref="AJ64:AR64" si="100">(AJ45+$C$57)/-$C$57/(AJ$38-1)</f>
        <v>7.284151227130177E-2</v>
      </c>
      <c r="AK64" s="225">
        <f t="shared" si="100"/>
        <v>0.107705901573679</v>
      </c>
      <c r="AL64" s="225">
        <f t="shared" si="100"/>
        <v>0.12317206334692567</v>
      </c>
      <c r="AM64" s="225">
        <f t="shared" si="100"/>
        <v>0.13446816678286122</v>
      </c>
      <c r="AN64" s="225">
        <f t="shared" si="100"/>
        <v>0.14412363034564801</v>
      </c>
      <c r="AO64" s="225">
        <f t="shared" si="100"/>
        <v>0.15375813440117211</v>
      </c>
      <c r="AP64" s="225">
        <f t="shared" si="100"/>
        <v>0.16386142626539532</v>
      </c>
      <c r="AQ64" s="225">
        <f t="shared" si="100"/>
        <v>0.17433263926258841</v>
      </c>
      <c r="AR64" s="225">
        <f t="shared" si="100"/>
        <v>0.18632961045572591</v>
      </c>
      <c r="AU64" s="218">
        <f t="shared" si="70"/>
        <v>0.13999999999999996</v>
      </c>
      <c r="AV64" s="224">
        <f t="shared" ref="AV64:BD64" si="101">(AV45+$AV$57)/-$AV$57/(AV$56-1)</f>
        <v>0.10429578447027836</v>
      </c>
      <c r="AW64" s="224">
        <f t="shared" si="101"/>
        <v>0.12944908980282238</v>
      </c>
      <c r="AX64" s="224">
        <f t="shared" si="101"/>
        <v>0.14521917378387508</v>
      </c>
      <c r="AY64" s="224">
        <f t="shared" si="101"/>
        <v>0.15916266646260255</v>
      </c>
      <c r="AZ64" s="224">
        <f t="shared" si="101"/>
        <v>0.173155488427645</v>
      </c>
      <c r="BA64" s="224">
        <f t="shared" si="101"/>
        <v>0.18783204636898912</v>
      </c>
      <c r="BB64" s="224">
        <f t="shared" si="101"/>
        <v>0.20366325923580395</v>
      </c>
      <c r="BC64" s="224">
        <f t="shared" si="101"/>
        <v>0.22065444944980842</v>
      </c>
      <c r="BD64" s="224">
        <f t="shared" si="101"/>
        <v>0.23915100546495185</v>
      </c>
      <c r="BF64" s="218">
        <f t="shared" si="72"/>
        <v>0.13999999999999996</v>
      </c>
      <c r="BG64" s="225" t="e">
        <f t="shared" ref="BG64:BO64" si="102">(BG45+BG$57)/-BG$57/(BG$38-1)</f>
        <v>#DIV/0!</v>
      </c>
      <c r="BH64" s="225" t="e">
        <f t="shared" si="102"/>
        <v>#DIV/0!</v>
      </c>
      <c r="BI64" s="225" t="e">
        <f t="shared" si="102"/>
        <v>#DIV/0!</v>
      </c>
      <c r="BJ64" s="225" t="e">
        <f t="shared" si="102"/>
        <v>#DIV/0!</v>
      </c>
      <c r="BK64" s="225" t="e">
        <f t="shared" si="102"/>
        <v>#DIV/0!</v>
      </c>
      <c r="BL64" s="225" t="e">
        <f t="shared" si="102"/>
        <v>#DIV/0!</v>
      </c>
      <c r="BM64" s="225" t="e">
        <f t="shared" si="102"/>
        <v>#DIV/0!</v>
      </c>
      <c r="BN64" s="225" t="e">
        <f t="shared" si="102"/>
        <v>#DIV/0!</v>
      </c>
      <c r="BO64" s="225" t="e">
        <f t="shared" si="102"/>
        <v>#DIV/0!</v>
      </c>
      <c r="BQ64" s="218">
        <f t="shared" si="74"/>
        <v>0.13999999999999996</v>
      </c>
      <c r="BR64" s="225" t="e">
        <f t="shared" ref="BR64:BZ64" si="103">(BR45+BR$57)/-BR$57/(BR$38-1)</f>
        <v>#DIV/0!</v>
      </c>
      <c r="BS64" s="225" t="e">
        <f t="shared" si="103"/>
        <v>#DIV/0!</v>
      </c>
      <c r="BT64" s="225" t="e">
        <f t="shared" si="103"/>
        <v>#DIV/0!</v>
      </c>
      <c r="BU64" s="225" t="e">
        <f t="shared" si="103"/>
        <v>#DIV/0!</v>
      </c>
      <c r="BV64" s="225" t="e">
        <f t="shared" si="103"/>
        <v>#DIV/0!</v>
      </c>
      <c r="BW64" s="225" t="e">
        <f t="shared" si="103"/>
        <v>#DIV/0!</v>
      </c>
      <c r="BX64" s="225" t="e">
        <f t="shared" si="103"/>
        <v>#DIV/0!</v>
      </c>
      <c r="BY64" s="225" t="e">
        <f t="shared" si="103"/>
        <v>#DIV/0!</v>
      </c>
      <c r="BZ64" s="225" t="e">
        <f t="shared" si="103"/>
        <v>#DIV/0!</v>
      </c>
    </row>
    <row r="65" spans="1:78">
      <c r="B65" s="218">
        <f t="shared" si="62"/>
        <v>0.12999999999999995</v>
      </c>
      <c r="C65" s="225">
        <f t="shared" ref="C65:K65" si="104">(C46+C$57)/-C$57/(C$38-1)</f>
        <v>8.3536696064650251E-2</v>
      </c>
      <c r="D65" s="225">
        <f t="shared" si="104"/>
        <v>0.10701879246312559</v>
      </c>
      <c r="E65" s="225">
        <f t="shared" si="104"/>
        <v>0.11767561274526415</v>
      </c>
      <c r="F65" s="225">
        <f t="shared" si="104"/>
        <v>0.12570501082712418</v>
      </c>
      <c r="G65" s="225">
        <f t="shared" si="104"/>
        <v>0.13257903142196556</v>
      </c>
      <c r="H65" s="225">
        <f t="shared" si="104"/>
        <v>0.13956235936685416</v>
      </c>
      <c r="I65" s="225">
        <f t="shared" si="104"/>
        <v>0.14696179805581719</v>
      </c>
      <c r="J65" s="225">
        <f t="shared" si="104"/>
        <v>0.15459700696269502</v>
      </c>
      <c r="K65" s="225">
        <f t="shared" si="104"/>
        <v>0.16354364251639572</v>
      </c>
      <c r="M65" s="218">
        <f t="shared" si="64"/>
        <v>0.12999999999999995</v>
      </c>
      <c r="N65" s="225">
        <f t="shared" ref="N65:V65" si="105">(N46+N$57)/-N$57/(N$38-1)</f>
        <v>5.1855614162069269E-2</v>
      </c>
      <c r="O65" s="225">
        <f t="shared" si="105"/>
        <v>7.3248705411013859E-2</v>
      </c>
      <c r="P65" s="225">
        <f t="shared" si="105"/>
        <v>8.1860958541805126E-2</v>
      </c>
      <c r="Q65" s="225">
        <f t="shared" si="105"/>
        <v>8.7740560775659782E-2</v>
      </c>
      <c r="R65" s="225">
        <f t="shared" si="105"/>
        <v>9.2322579792452786E-2</v>
      </c>
      <c r="S65" s="225">
        <f t="shared" si="105"/>
        <v>9.6794575440628958E-2</v>
      </c>
      <c r="T65" s="225">
        <f t="shared" si="105"/>
        <v>0.10142019898195662</v>
      </c>
      <c r="U65" s="225">
        <f t="shared" si="105"/>
        <v>0.10606739227985579</v>
      </c>
      <c r="V65" s="225">
        <f t="shared" si="105"/>
        <v>0.11168541844449122</v>
      </c>
      <c r="X65" s="218">
        <f t="shared" si="66"/>
        <v>0.12999999999999995</v>
      </c>
      <c r="Y65" s="224">
        <f t="shared" ref="Y65:AG65" si="106">(Y46+$C$57)/-$C$57/(Y$38-1)</f>
        <v>8.2460750028464383E-2</v>
      </c>
      <c r="Z65" s="225">
        <f t="shared" si="106"/>
        <v>0.10641010072732117</v>
      </c>
      <c r="AA65" s="225">
        <f t="shared" si="106"/>
        <v>0.11721828305759846</v>
      </c>
      <c r="AB65" s="225">
        <f t="shared" si="106"/>
        <v>0.12531591509870796</v>
      </c>
      <c r="AC65" s="225">
        <f t="shared" si="106"/>
        <v>0.13222819395899538</v>
      </c>
      <c r="AD65" s="225">
        <f t="shared" si="106"/>
        <v>0.13923214705635667</v>
      </c>
      <c r="AE65" s="225">
        <f t="shared" si="106"/>
        <v>0.14664104673248729</v>
      </c>
      <c r="AF65" s="225">
        <f t="shared" si="106"/>
        <v>0.15428076284444531</v>
      </c>
      <c r="AG65" s="225">
        <f t="shared" si="106"/>
        <v>0.16322544921958032</v>
      </c>
      <c r="AI65" s="218">
        <f t="shared" si="68"/>
        <v>0.12999999999999995</v>
      </c>
      <c r="AJ65" s="224">
        <f t="shared" ref="AJ65:AR65" si="107">(AJ46+$C$57)/-$C$57/(AJ$38-1)</f>
        <v>6.0712647266173723E-2</v>
      </c>
      <c r="AK65" s="228">
        <f t="shared" si="107"/>
        <v>9.4122238929549226E-2</v>
      </c>
      <c r="AL65" s="225">
        <f t="shared" si="107"/>
        <v>0.10795827005663494</v>
      </c>
      <c r="AM65" s="225">
        <f t="shared" si="107"/>
        <v>0.11746773139687103</v>
      </c>
      <c r="AN65" s="225">
        <f t="shared" si="107"/>
        <v>0.12513367541169157</v>
      </c>
      <c r="AO65" s="225">
        <f t="shared" si="107"/>
        <v>0.13255224308705543</v>
      </c>
      <c r="AP65" s="225">
        <f t="shared" si="107"/>
        <v>0.1401672536633887</v>
      </c>
      <c r="AQ65" s="225">
        <f t="shared" si="107"/>
        <v>0.14788062147825751</v>
      </c>
      <c r="AR65" s="225">
        <f t="shared" si="107"/>
        <v>0.15679486682832849</v>
      </c>
      <c r="AU65" s="218">
        <f t="shared" si="70"/>
        <v>0.12999999999999995</v>
      </c>
      <c r="AV65" s="224">
        <f t="shared" ref="AV65:BD65" si="108">(AV46+$AV$57)/-$AV$57/(AV$56-1)</f>
        <v>9.4608701061777198E-2</v>
      </c>
      <c r="AW65" s="224">
        <f t="shared" si="108"/>
        <v>0.11845382639415719</v>
      </c>
      <c r="AX65" s="224">
        <f t="shared" si="108"/>
        <v>0.13272461773131536</v>
      </c>
      <c r="AY65" s="224">
        <f t="shared" si="108"/>
        <v>0.14498405680090282</v>
      </c>
      <c r="AZ65" s="224">
        <f t="shared" si="108"/>
        <v>0.15706575093985492</v>
      </c>
      <c r="BA65" s="224">
        <f t="shared" si="108"/>
        <v>0.16957019135453458</v>
      </c>
      <c r="BB65" s="224">
        <f t="shared" si="108"/>
        <v>0.18292168000010398</v>
      </c>
      <c r="BC65" s="224">
        <f t="shared" si="108"/>
        <v>0.19711459043377194</v>
      </c>
      <c r="BD65" s="224">
        <f t="shared" si="108"/>
        <v>0.21243323174990791</v>
      </c>
      <c r="BF65" s="218">
        <f t="shared" si="72"/>
        <v>0.12999999999999995</v>
      </c>
      <c r="BG65" s="225" t="e">
        <f t="shared" ref="BG65:BO65" si="109">(BG46+BG$57)/-BG$57/(BG$38-1)</f>
        <v>#DIV/0!</v>
      </c>
      <c r="BH65" s="225" t="e">
        <f t="shared" si="109"/>
        <v>#DIV/0!</v>
      </c>
      <c r="BI65" s="225" t="e">
        <f t="shared" si="109"/>
        <v>#DIV/0!</v>
      </c>
      <c r="BJ65" s="225" t="e">
        <f t="shared" si="109"/>
        <v>#DIV/0!</v>
      </c>
      <c r="BK65" s="225" t="e">
        <f t="shared" si="109"/>
        <v>#DIV/0!</v>
      </c>
      <c r="BL65" s="225" t="e">
        <f t="shared" si="109"/>
        <v>#DIV/0!</v>
      </c>
      <c r="BM65" s="225" t="e">
        <f t="shared" si="109"/>
        <v>#DIV/0!</v>
      </c>
      <c r="BN65" s="225" t="e">
        <f t="shared" si="109"/>
        <v>#DIV/0!</v>
      </c>
      <c r="BO65" s="225" t="e">
        <f t="shared" si="109"/>
        <v>#DIV/0!</v>
      </c>
      <c r="BQ65" s="218">
        <f t="shared" si="74"/>
        <v>0.12999999999999995</v>
      </c>
      <c r="BR65" s="225" t="e">
        <f t="shared" ref="BR65:BZ65" si="110">(BR46+BR$57)/-BR$57/(BR$38-1)</f>
        <v>#DIV/0!</v>
      </c>
      <c r="BS65" s="225" t="e">
        <f t="shared" si="110"/>
        <v>#DIV/0!</v>
      </c>
      <c r="BT65" s="225" t="e">
        <f t="shared" si="110"/>
        <v>#DIV/0!</v>
      </c>
      <c r="BU65" s="225" t="e">
        <f t="shared" si="110"/>
        <v>#DIV/0!</v>
      </c>
      <c r="BV65" s="225" t="e">
        <f t="shared" si="110"/>
        <v>#DIV/0!</v>
      </c>
      <c r="BW65" s="225" t="e">
        <f t="shared" si="110"/>
        <v>#DIV/0!</v>
      </c>
      <c r="BX65" s="225" t="e">
        <f t="shared" si="110"/>
        <v>#DIV/0!</v>
      </c>
      <c r="BY65" s="225" t="e">
        <f t="shared" si="110"/>
        <v>#DIV/0!</v>
      </c>
      <c r="BZ65" s="225" t="e">
        <f t="shared" si="110"/>
        <v>#DIV/0!</v>
      </c>
    </row>
    <row r="66" spans="1:78">
      <c r="B66" s="218">
        <f t="shared" si="62"/>
        <v>0.11999999999999995</v>
      </c>
      <c r="C66" s="225">
        <f t="shared" ref="C66:K66" si="111">(C47+C$57)/-C$57/(C$38-1)</f>
        <v>7.132736474424145E-2</v>
      </c>
      <c r="D66" s="225">
        <f t="shared" si="111"/>
        <v>9.3397081163530266E-2</v>
      </c>
      <c r="E66" s="225">
        <f t="shared" si="111"/>
        <v>0.10253014914140983</v>
      </c>
      <c r="F66" s="225">
        <f t="shared" si="111"/>
        <v>0.10891651380579834</v>
      </c>
      <c r="G66" s="225">
        <f t="shared" si="111"/>
        <v>0.11398412865321246</v>
      </c>
      <c r="H66" s="225">
        <f t="shared" si="111"/>
        <v>0.11898125005259443</v>
      </c>
      <c r="I66" s="225">
        <f t="shared" si="111"/>
        <v>0.12417214981682589</v>
      </c>
      <c r="J66" s="225">
        <f t="shared" si="111"/>
        <v>0.12938636204794601</v>
      </c>
      <c r="K66" s="225">
        <f t="shared" si="111"/>
        <v>0.13565611285548781</v>
      </c>
      <c r="M66" s="218">
        <f t="shared" si="64"/>
        <v>0.11999999999999995</v>
      </c>
      <c r="N66" s="225">
        <f t="shared" ref="N66:V66" si="112">(N47+N$57)/-N$57/(N$38-1)</f>
        <v>4.2360235980565882E-2</v>
      </c>
      <c r="O66" s="225">
        <f t="shared" si="112"/>
        <v>6.2672272765218404E-2</v>
      </c>
      <c r="P66" s="225">
        <f t="shared" si="112"/>
        <v>7.0127700024157552E-2</v>
      </c>
      <c r="Q66" s="225">
        <f t="shared" si="112"/>
        <v>7.4771337723268369E-2</v>
      </c>
      <c r="R66" s="225">
        <f t="shared" si="112"/>
        <v>7.8000012883178566E-2</v>
      </c>
      <c r="S66" s="225">
        <f t="shared" si="112"/>
        <v>8.0991025521155169E-2</v>
      </c>
      <c r="T66" s="225">
        <f t="shared" si="112"/>
        <v>8.3979365910267958E-2</v>
      </c>
      <c r="U66" s="225">
        <f t="shared" si="112"/>
        <v>8.6837919045990322E-2</v>
      </c>
      <c r="V66" s="225">
        <f t="shared" si="112"/>
        <v>9.0486634644557321E-2</v>
      </c>
      <c r="X66" s="218">
        <f t="shared" si="66"/>
        <v>0.11999999999999995</v>
      </c>
      <c r="Y66" s="224">
        <f t="shared" ref="Y66:AG66" si="113">(Y47+$C$57)/-$C$57/(Y$38-1)</f>
        <v>7.0251384365419653E-2</v>
      </c>
      <c r="Z66" s="228">
        <f t="shared" si="113"/>
        <v>9.2794770090398285E-2</v>
      </c>
      <c r="AA66" s="225">
        <f t="shared" si="113"/>
        <v>0.10207914084595876</v>
      </c>
      <c r="AB66" s="225">
        <f t="shared" si="113"/>
        <v>0.10853789554383796</v>
      </c>
      <c r="AC66" s="225">
        <f t="shared" si="113"/>
        <v>0.11364613805548891</v>
      </c>
      <c r="AD66" s="225">
        <f t="shared" si="113"/>
        <v>0.1186646993091041</v>
      </c>
      <c r="AE66" s="225">
        <f t="shared" si="113"/>
        <v>0.1238683590376463</v>
      </c>
      <c r="AF66" s="225">
        <f t="shared" si="113"/>
        <v>0.12909063648420457</v>
      </c>
      <c r="AG66" s="225">
        <f t="shared" si="113"/>
        <v>0.13535957889039124</v>
      </c>
      <c r="AI66" s="218">
        <f t="shared" si="68"/>
        <v>0.11999999999999995</v>
      </c>
      <c r="AJ66" s="224">
        <f t="shared" ref="AJ66:AR66" si="114">(AJ47+$C$57)/-$C$57/(AJ$38-1)</f>
        <v>4.8583911401272939E-2</v>
      </c>
      <c r="AK66" s="225">
        <f t="shared" si="114"/>
        <v>8.0660271937107259E-2</v>
      </c>
      <c r="AL66" s="225">
        <f t="shared" si="114"/>
        <v>9.3017177675589702E-2</v>
      </c>
      <c r="AM66" s="225">
        <f t="shared" si="114"/>
        <v>0.10092496232804289</v>
      </c>
      <c r="AN66" s="225">
        <f t="shared" si="114"/>
        <v>0.1068241155600242</v>
      </c>
      <c r="AO66" s="225">
        <f t="shared" si="114"/>
        <v>0.11229965955530315</v>
      </c>
      <c r="AP66" s="225">
        <f t="shared" si="114"/>
        <v>0.11775525486021761</v>
      </c>
      <c r="AQ66" s="225">
        <f t="shared" si="114"/>
        <v>0.12309755344134592</v>
      </c>
      <c r="AR66" s="225">
        <f t="shared" si="114"/>
        <v>0.12939544978277004</v>
      </c>
      <c r="AU66" s="218">
        <f t="shared" si="70"/>
        <v>0.11999999999999995</v>
      </c>
      <c r="AV66" s="224">
        <f t="shared" ref="AV66:BD66" si="115">(AV47+$AV$57)/-$AV$57/(AV$56-1)</f>
        <v>8.4922520877779892E-2</v>
      </c>
      <c r="AW66" s="224">
        <f t="shared" si="115"/>
        <v>0.10755691130450033</v>
      </c>
      <c r="AX66" s="224">
        <f t="shared" si="115"/>
        <v>0.12044988497555675</v>
      </c>
      <c r="AY66" s="224">
        <f t="shared" si="115"/>
        <v>0.13117759220603289</v>
      </c>
      <c r="AZ66" s="224">
        <f t="shared" si="115"/>
        <v>0.14153557243817189</v>
      </c>
      <c r="BA66" s="224">
        <f t="shared" si="115"/>
        <v>0.15209980021362215</v>
      </c>
      <c r="BB66" s="224">
        <f t="shared" si="115"/>
        <v>0.16325280455811425</v>
      </c>
      <c r="BC66" s="224">
        <f t="shared" si="115"/>
        <v>0.17498759109154147</v>
      </c>
      <c r="BD66" s="224">
        <f t="shared" si="115"/>
        <v>0.18754422422036546</v>
      </c>
      <c r="BF66" s="218">
        <f t="shared" si="72"/>
        <v>0.11999999999999995</v>
      </c>
      <c r="BG66" s="225" t="e">
        <f t="shared" ref="BG66:BO66" si="116">(BG47+BG$57)/-BG$57/(BG$38-1)</f>
        <v>#DIV/0!</v>
      </c>
      <c r="BH66" s="225" t="e">
        <f t="shared" si="116"/>
        <v>#DIV/0!</v>
      </c>
      <c r="BI66" s="225" t="e">
        <f t="shared" si="116"/>
        <v>#DIV/0!</v>
      </c>
      <c r="BJ66" s="225" t="e">
        <f t="shared" si="116"/>
        <v>#DIV/0!</v>
      </c>
      <c r="BK66" s="225" t="e">
        <f t="shared" si="116"/>
        <v>#DIV/0!</v>
      </c>
      <c r="BL66" s="225" t="e">
        <f t="shared" si="116"/>
        <v>#DIV/0!</v>
      </c>
      <c r="BM66" s="225" t="e">
        <f t="shared" si="116"/>
        <v>#DIV/0!</v>
      </c>
      <c r="BN66" s="225" t="e">
        <f t="shared" si="116"/>
        <v>#DIV/0!</v>
      </c>
      <c r="BO66" s="225" t="e">
        <f t="shared" si="116"/>
        <v>#DIV/0!</v>
      </c>
      <c r="BQ66" s="218">
        <f t="shared" si="74"/>
        <v>0.11999999999999995</v>
      </c>
      <c r="BR66" s="225" t="e">
        <f t="shared" ref="BR66:BZ66" si="117">(BR47+BR$57)/-BR$57/(BR$38-1)</f>
        <v>#DIV/0!</v>
      </c>
      <c r="BS66" s="225" t="e">
        <f t="shared" si="117"/>
        <v>#DIV/0!</v>
      </c>
      <c r="BT66" s="225" t="e">
        <f t="shared" si="117"/>
        <v>#DIV/0!</v>
      </c>
      <c r="BU66" s="225" t="e">
        <f t="shared" si="117"/>
        <v>#DIV/0!</v>
      </c>
      <c r="BV66" s="225" t="e">
        <f t="shared" si="117"/>
        <v>#DIV/0!</v>
      </c>
      <c r="BW66" s="225" t="e">
        <f t="shared" si="117"/>
        <v>#DIV/0!</v>
      </c>
      <c r="BX66" s="225" t="e">
        <f t="shared" si="117"/>
        <v>#DIV/0!</v>
      </c>
      <c r="BY66" s="225" t="e">
        <f t="shared" si="117"/>
        <v>#DIV/0!</v>
      </c>
      <c r="BZ66" s="225" t="e">
        <f t="shared" si="117"/>
        <v>#DIV/0!</v>
      </c>
    </row>
    <row r="67" spans="1:78">
      <c r="B67" s="218">
        <f t="shared" si="62"/>
        <v>0.10999999999999996</v>
      </c>
      <c r="C67" s="225">
        <f t="shared" ref="C67:K67" si="118">(C48+C$57)/-C$57/(C$38-1)</f>
        <v>5.9117174806824796E-2</v>
      </c>
      <c r="D67" s="225">
        <f t="shared" si="118"/>
        <v>7.9898387891472286E-2</v>
      </c>
      <c r="E67" s="225">
        <f t="shared" si="118"/>
        <v>8.7655987080004369E-2</v>
      </c>
      <c r="F67" s="225">
        <f t="shared" si="118"/>
        <v>9.2581166137907706E-2</v>
      </c>
      <c r="G67" s="225">
        <f t="shared" si="118"/>
        <v>9.6061932655495744E-2</v>
      </c>
      <c r="H67" s="225">
        <f t="shared" si="118"/>
        <v>9.9331208994766204E-2</v>
      </c>
      <c r="I67" s="225">
        <f t="shared" si="118"/>
        <v>0.10262304723853452</v>
      </c>
      <c r="J67" s="225">
        <f t="shared" si="118"/>
        <v>0.1057797596088358</v>
      </c>
      <c r="K67" s="225">
        <f t="shared" si="118"/>
        <v>0.10979797142930978</v>
      </c>
      <c r="M67" s="218">
        <f t="shared" si="64"/>
        <v>0.10999999999999996</v>
      </c>
      <c r="N67" s="225">
        <f t="shared" ref="N67:V67" si="119">(N48+N$57)/-N$57/(N$38-1)</f>
        <v>3.286526869291239E-2</v>
      </c>
      <c r="O67" s="225">
        <f t="shared" si="119"/>
        <v>5.2190970974478786E-2</v>
      </c>
      <c r="P67" s="225">
        <f t="shared" si="119"/>
        <v>5.8607357636768879E-2</v>
      </c>
      <c r="Q67" s="225">
        <f t="shared" si="119"/>
        <v>6.2153902041155153E-2</v>
      </c>
      <c r="R67" s="225">
        <f t="shared" si="119"/>
        <v>6.4197503726753286E-2</v>
      </c>
      <c r="S67" s="225">
        <f t="shared" si="119"/>
        <v>6.590718479246209E-2</v>
      </c>
      <c r="T67" s="225">
        <f t="shared" si="119"/>
        <v>6.7495065851359934E-2</v>
      </c>
      <c r="U67" s="225">
        <f t="shared" si="119"/>
        <v>6.8842103797442031E-2</v>
      </c>
      <c r="V67" s="225">
        <f t="shared" si="119"/>
        <v>7.0847616557512524E-2</v>
      </c>
      <c r="X67" s="218">
        <f t="shared" si="66"/>
        <v>0.10999999999999996</v>
      </c>
      <c r="Y67" s="224">
        <f t="shared" ref="Y67:AG67" si="120">(Y48+$C$57)/-$C$57/(Y$38-1)</f>
        <v>-1</v>
      </c>
      <c r="Z67" s="225">
        <f t="shared" si="120"/>
        <v>-0.5</v>
      </c>
      <c r="AA67" s="225">
        <f t="shared" si="120"/>
        <v>-0.33333333333333331</v>
      </c>
      <c r="AB67" s="225">
        <f t="shared" si="120"/>
        <v>-0.25</v>
      </c>
      <c r="AC67" s="225">
        <f t="shared" si="120"/>
        <v>-0.2</v>
      </c>
      <c r="AD67" s="225">
        <f t="shared" si="120"/>
        <v>-0.16666666666666666</v>
      </c>
      <c r="AE67" s="225">
        <f t="shared" si="120"/>
        <v>-0.14285714285714285</v>
      </c>
      <c r="AF67" s="225">
        <f t="shared" si="120"/>
        <v>-0.125</v>
      </c>
      <c r="AG67" s="225">
        <f t="shared" si="120"/>
        <v>-0.1111111111111111</v>
      </c>
      <c r="AI67" s="218">
        <f t="shared" si="68"/>
        <v>0.10999999999999996</v>
      </c>
      <c r="AJ67" s="224">
        <f t="shared" ref="AJ67:AR67" si="121">(AJ48+$C$57)/-$C$57/(AJ$38-1)</f>
        <v>-1</v>
      </c>
      <c r="AK67" s="225">
        <f t="shared" si="121"/>
        <v>-0.5</v>
      </c>
      <c r="AL67" s="225">
        <f t="shared" si="121"/>
        <v>-0.33333333333333331</v>
      </c>
      <c r="AM67" s="225">
        <f t="shared" si="121"/>
        <v>-0.25</v>
      </c>
      <c r="AN67" s="225">
        <f t="shared" si="121"/>
        <v>-0.2</v>
      </c>
      <c r="AO67" s="225">
        <f t="shared" si="121"/>
        <v>-0.16666666666666666</v>
      </c>
      <c r="AP67" s="225">
        <f t="shared" si="121"/>
        <v>-0.14285714285714285</v>
      </c>
      <c r="AQ67" s="225">
        <f t="shared" si="121"/>
        <v>-0.125</v>
      </c>
      <c r="AR67" s="225">
        <f t="shared" si="121"/>
        <v>-0.1111111111111111</v>
      </c>
      <c r="AU67" s="218">
        <f t="shared" si="70"/>
        <v>0.10999999999999996</v>
      </c>
      <c r="AV67" s="224">
        <f t="shared" ref="AV67:BD67" si="122">(AV48+$AV$57)/-$AV$57/(AV$56-1)</f>
        <v>7.5235200135584018E-2</v>
      </c>
      <c r="AW67" s="224">
        <f t="shared" si="122"/>
        <v>9.6755129022080402E-2</v>
      </c>
      <c r="AX67" s="224">
        <f t="shared" si="122"/>
        <v>0.10839237363216464</v>
      </c>
      <c r="AY67" s="224">
        <f t="shared" si="122"/>
        <v>0.11773595349361569</v>
      </c>
      <c r="AZ67" s="224">
        <f t="shared" si="122"/>
        <v>0.12654976325995523</v>
      </c>
      <c r="BA67" s="224">
        <f t="shared" si="122"/>
        <v>0.13539253531708118</v>
      </c>
      <c r="BB67" s="224">
        <f t="shared" si="122"/>
        <v>0.14461238360600476</v>
      </c>
      <c r="BC67" s="224">
        <f t="shared" si="122"/>
        <v>0.15420441217616648</v>
      </c>
      <c r="BD67" s="224">
        <f t="shared" si="122"/>
        <v>0.16437104041109057</v>
      </c>
      <c r="BF67" s="218">
        <f t="shared" si="72"/>
        <v>0.10999999999999996</v>
      </c>
      <c r="BG67" s="225" t="e">
        <f t="shared" ref="BG67:BO67" si="123">(BG48+BG$57)/-BG$57/(BG$38-1)</f>
        <v>#DIV/0!</v>
      </c>
      <c r="BH67" s="225" t="e">
        <f t="shared" si="123"/>
        <v>#DIV/0!</v>
      </c>
      <c r="BI67" s="225" t="e">
        <f t="shared" si="123"/>
        <v>#DIV/0!</v>
      </c>
      <c r="BJ67" s="225" t="e">
        <f t="shared" si="123"/>
        <v>#DIV/0!</v>
      </c>
      <c r="BK67" s="225" t="e">
        <f t="shared" si="123"/>
        <v>#DIV/0!</v>
      </c>
      <c r="BL67" s="225" t="e">
        <f t="shared" si="123"/>
        <v>#DIV/0!</v>
      </c>
      <c r="BM67" s="225" t="e">
        <f t="shared" si="123"/>
        <v>#DIV/0!</v>
      </c>
      <c r="BN67" s="225" t="e">
        <f t="shared" si="123"/>
        <v>#DIV/0!</v>
      </c>
      <c r="BO67" s="225" t="e">
        <f t="shared" si="123"/>
        <v>#DIV/0!</v>
      </c>
      <c r="BQ67" s="218">
        <f t="shared" si="74"/>
        <v>0.10999999999999996</v>
      </c>
      <c r="BR67" s="225" t="e">
        <f t="shared" ref="BR67:BZ67" si="124">(BR48+BR$57)/-BR$57/(BR$38-1)</f>
        <v>#DIV/0!</v>
      </c>
      <c r="BS67" s="225" t="e">
        <f t="shared" si="124"/>
        <v>#DIV/0!</v>
      </c>
      <c r="BT67" s="225" t="e">
        <f t="shared" si="124"/>
        <v>#DIV/0!</v>
      </c>
      <c r="BU67" s="225" t="e">
        <f t="shared" si="124"/>
        <v>#DIV/0!</v>
      </c>
      <c r="BV67" s="225" t="e">
        <f t="shared" si="124"/>
        <v>#DIV/0!</v>
      </c>
      <c r="BW67" s="225" t="e">
        <f t="shared" si="124"/>
        <v>#DIV/0!</v>
      </c>
      <c r="BX67" s="225" t="e">
        <f t="shared" si="124"/>
        <v>#DIV/0!</v>
      </c>
      <c r="BY67" s="225" t="e">
        <f t="shared" si="124"/>
        <v>#DIV/0!</v>
      </c>
      <c r="BZ67" s="225" t="e">
        <f t="shared" si="124"/>
        <v>#DIV/0!</v>
      </c>
    </row>
    <row r="68" spans="1:78">
      <c r="B68" s="218">
        <f t="shared" si="62"/>
        <v>9.9999999999999964E-2</v>
      </c>
      <c r="C68" s="225">
        <f t="shared" ref="C68:K68" si="125">(C49+C$57)/-C$57/(C$38-1)</f>
        <v>4.690693969920371E-2</v>
      </c>
      <c r="D68" s="225">
        <f t="shared" si="125"/>
        <v>6.6521237595447993E-2</v>
      </c>
      <c r="E68" s="225">
        <f t="shared" si="125"/>
        <v>7.3052519649224254E-2</v>
      </c>
      <c r="F68" s="225">
        <f t="shared" si="125"/>
        <v>7.6693806103206669E-2</v>
      </c>
      <c r="G68" s="225">
        <f t="shared" si="125"/>
        <v>7.8793349389215159E-2</v>
      </c>
      <c r="H68" s="225">
        <f t="shared" si="125"/>
        <v>8.0578562195785783E-2</v>
      </c>
      <c r="I68" s="225">
        <f t="shared" si="125"/>
        <v>8.2260510865925854E-2</v>
      </c>
      <c r="J68" s="225">
        <f t="shared" si="125"/>
        <v>8.3690918273697068E-2</v>
      </c>
      <c r="K68" s="225">
        <f t="shared" si="125"/>
        <v>8.584350570170067E-2</v>
      </c>
      <c r="M68" s="218">
        <f t="shared" si="64"/>
        <v>9.9999999999999964E-2</v>
      </c>
      <c r="N68" s="225">
        <f t="shared" ref="N68:V68" si="126">(N49+N$57)/-N$57/(N$38-1)</f>
        <v>2.3371362218905192E-2</v>
      </c>
      <c r="O68" s="225">
        <f t="shared" si="126"/>
        <v>4.1804480292605806E-2</v>
      </c>
      <c r="P68" s="225">
        <f t="shared" si="126"/>
        <v>4.729581447238624E-2</v>
      </c>
      <c r="Q68" s="225">
        <f t="shared" si="126"/>
        <v>4.9882558966987726E-2</v>
      </c>
      <c r="R68" s="225">
        <f t="shared" si="126"/>
        <v>5.0901174401087303E-2</v>
      </c>
      <c r="S68" s="225">
        <f t="shared" si="126"/>
        <v>5.1516887220105272E-2</v>
      </c>
      <c r="T68" s="225">
        <f t="shared" si="126"/>
        <v>5.1923525839441105E-2</v>
      </c>
      <c r="U68" s="225">
        <f t="shared" si="126"/>
        <v>5.2016590767324448E-2</v>
      </c>
      <c r="V68" s="225">
        <f t="shared" si="126"/>
        <v>5.2671563381056413E-2</v>
      </c>
      <c r="X68" s="218">
        <f t="shared" si="66"/>
        <v>9.9999999999999964E-2</v>
      </c>
      <c r="Y68" s="224">
        <f t="shared" ref="Y68:AG68" si="127">(Y49+$C$57)/-$C$57/(Y$38-1)</f>
        <v>-1</v>
      </c>
      <c r="Z68" s="225">
        <f t="shared" si="127"/>
        <v>-0.5</v>
      </c>
      <c r="AA68" s="225">
        <f t="shared" si="127"/>
        <v>-0.33333333333333331</v>
      </c>
      <c r="AB68" s="225">
        <f t="shared" si="127"/>
        <v>-0.25</v>
      </c>
      <c r="AC68" s="225">
        <f t="shared" si="127"/>
        <v>-0.2</v>
      </c>
      <c r="AD68" s="225">
        <f t="shared" si="127"/>
        <v>-0.16666666666666666</v>
      </c>
      <c r="AE68" s="225">
        <f t="shared" si="127"/>
        <v>-0.14285714285714285</v>
      </c>
      <c r="AF68" s="225">
        <f t="shared" si="127"/>
        <v>-0.125</v>
      </c>
      <c r="AG68" s="225">
        <f t="shared" si="127"/>
        <v>-0.1111111111111111</v>
      </c>
      <c r="AI68" s="218">
        <f t="shared" si="68"/>
        <v>9.9999999999999964E-2</v>
      </c>
      <c r="AJ68" s="224">
        <f t="shared" ref="AJ68:AR68" si="128">(AJ49+$C$57)/-$C$57/(AJ$38-1)</f>
        <v>-1</v>
      </c>
      <c r="AK68" s="225">
        <f t="shared" si="128"/>
        <v>-0.5</v>
      </c>
      <c r="AL68" s="225">
        <f t="shared" si="128"/>
        <v>-0.33333333333333331</v>
      </c>
      <c r="AM68" s="225">
        <f t="shared" si="128"/>
        <v>-0.25</v>
      </c>
      <c r="AN68" s="225">
        <f t="shared" si="128"/>
        <v>-0.2</v>
      </c>
      <c r="AO68" s="225">
        <f t="shared" si="128"/>
        <v>-0.16666666666666666</v>
      </c>
      <c r="AP68" s="225">
        <f t="shared" si="128"/>
        <v>-0.14285714285714285</v>
      </c>
      <c r="AQ68" s="225">
        <f t="shared" si="128"/>
        <v>-0.125</v>
      </c>
      <c r="AR68" s="225">
        <f t="shared" si="128"/>
        <v>-0.1111111111111111</v>
      </c>
      <c r="AU68" s="218">
        <f t="shared" si="70"/>
        <v>9.9999999999999964E-2</v>
      </c>
      <c r="AV68" s="224">
        <f t="shared" ref="AV68:BD68" si="129">(AV49+$AV$57)/-$AV$57/(AV$56-1)</f>
        <v>6.5548279246115518E-2</v>
      </c>
      <c r="AW68" s="224">
        <f t="shared" si="129"/>
        <v>8.6052134220630058E-2</v>
      </c>
      <c r="AX68" s="224">
        <f t="shared" si="129"/>
        <v>9.6550235469618897E-2</v>
      </c>
      <c r="AY68" s="224">
        <f t="shared" si="129"/>
        <v>0.10465446691075948</v>
      </c>
      <c r="AZ68" s="224">
        <f t="shared" si="129"/>
        <v>0.11209537125405555</v>
      </c>
      <c r="BA68" s="224">
        <f t="shared" si="129"/>
        <v>0.1194201408550164</v>
      </c>
      <c r="BB68" s="224">
        <f t="shared" si="129"/>
        <v>0.12695240974294736</v>
      </c>
      <c r="BC68" s="224">
        <f t="shared" si="129"/>
        <v>0.13469273355792943</v>
      </c>
      <c r="BD68" s="224">
        <f t="shared" si="129"/>
        <v>0.14280987520173363</v>
      </c>
      <c r="BF68" s="218">
        <f t="shared" si="72"/>
        <v>9.9999999999999964E-2</v>
      </c>
      <c r="BG68" s="225" t="e">
        <f t="shared" ref="BG68:BO68" si="130">(BG49+BG$57)/-BG$57/(BG$38-1)</f>
        <v>#DIV/0!</v>
      </c>
      <c r="BH68" s="225" t="e">
        <f t="shared" si="130"/>
        <v>#DIV/0!</v>
      </c>
      <c r="BI68" s="225" t="e">
        <f t="shared" si="130"/>
        <v>#DIV/0!</v>
      </c>
      <c r="BJ68" s="225" t="e">
        <f t="shared" si="130"/>
        <v>#DIV/0!</v>
      </c>
      <c r="BK68" s="225" t="e">
        <f t="shared" si="130"/>
        <v>#DIV/0!</v>
      </c>
      <c r="BL68" s="225" t="e">
        <f t="shared" si="130"/>
        <v>#DIV/0!</v>
      </c>
      <c r="BM68" s="225" t="e">
        <f t="shared" si="130"/>
        <v>#DIV/0!</v>
      </c>
      <c r="BN68" s="225" t="e">
        <f t="shared" si="130"/>
        <v>#DIV/0!</v>
      </c>
      <c r="BO68" s="225" t="e">
        <f t="shared" si="130"/>
        <v>#DIV/0!</v>
      </c>
      <c r="BQ68" s="218">
        <f t="shared" si="74"/>
        <v>9.9999999999999964E-2</v>
      </c>
      <c r="BR68" s="225" t="e">
        <f t="shared" ref="BR68:BZ68" si="131">(BR49+BR$57)/-BR$57/(BR$38-1)</f>
        <v>#DIV/0!</v>
      </c>
      <c r="BS68" s="225" t="e">
        <f t="shared" si="131"/>
        <v>#DIV/0!</v>
      </c>
      <c r="BT68" s="225" t="e">
        <f t="shared" si="131"/>
        <v>#DIV/0!</v>
      </c>
      <c r="BU68" s="225" t="e">
        <f t="shared" si="131"/>
        <v>#DIV/0!</v>
      </c>
      <c r="BV68" s="225" t="e">
        <f t="shared" si="131"/>
        <v>#DIV/0!</v>
      </c>
      <c r="BW68" s="225" t="e">
        <f t="shared" si="131"/>
        <v>#DIV/0!</v>
      </c>
      <c r="BX68" s="225" t="e">
        <f t="shared" si="131"/>
        <v>#DIV/0!</v>
      </c>
      <c r="BY68" s="225" t="e">
        <f t="shared" si="131"/>
        <v>#DIV/0!</v>
      </c>
      <c r="BZ68" s="225" t="e">
        <f t="shared" si="131"/>
        <v>#DIV/0!</v>
      </c>
    </row>
    <row r="69" spans="1:78">
      <c r="B69" s="218">
        <f t="shared" si="62"/>
        <v>8.9999999999999969E-2</v>
      </c>
      <c r="C69" s="225">
        <f t="shared" ref="C69:K69" si="132">(C50+C$57)/-C$57/(C$38-1)</f>
        <v>3.4697434823740346E-2</v>
      </c>
      <c r="D69" s="225">
        <f t="shared" si="132"/>
        <v>5.3265747529257487E-2</v>
      </c>
      <c r="E69" s="225">
        <f t="shared" si="132"/>
        <v>5.8716885049157869E-2</v>
      </c>
      <c r="F69" s="225">
        <f t="shared" si="132"/>
        <v>6.1242814107496213E-2</v>
      </c>
      <c r="G69" s="225">
        <f t="shared" si="132"/>
        <v>6.2160364856366682E-2</v>
      </c>
      <c r="H69" s="225">
        <f t="shared" si="132"/>
        <v>6.269152069624527E-2</v>
      </c>
      <c r="I69" s="225">
        <f t="shared" si="132"/>
        <v>6.3027988543091523E-2</v>
      </c>
      <c r="J69" s="225">
        <f t="shared" si="132"/>
        <v>6.3036410654613129E-2</v>
      </c>
      <c r="K69" s="225">
        <f t="shared" si="132"/>
        <v>6.3673450810959209E-2</v>
      </c>
      <c r="M69" s="218">
        <f t="shared" si="64"/>
        <v>8.9999999999999969E-2</v>
      </c>
      <c r="N69" s="225">
        <f t="shared" ref="N69:V69" si="133">(N50+N$57)/-N$57/(N$38-1)</f>
        <v>1.3876428913270343E-2</v>
      </c>
      <c r="O69" s="225">
        <f t="shared" si="133"/>
        <v>3.151289201047297E-2</v>
      </c>
      <c r="P69" s="225">
        <f t="shared" si="133"/>
        <v>3.6193452881820944E-2</v>
      </c>
      <c r="Q69" s="225">
        <f t="shared" si="133"/>
        <v>3.7950661235130259E-2</v>
      </c>
      <c r="R69" s="225">
        <f t="shared" si="133"/>
        <v>3.8098233691204936E-2</v>
      </c>
      <c r="S69" s="225">
        <f t="shared" si="133"/>
        <v>3.7797509358434629E-2</v>
      </c>
      <c r="T69" s="225">
        <f t="shared" si="133"/>
        <v>3.7226120323591738E-2</v>
      </c>
      <c r="U69" s="225">
        <f t="shared" si="133"/>
        <v>3.6294186907045299E-2</v>
      </c>
      <c r="V69" s="225">
        <f t="shared" si="133"/>
        <v>3.5865906488127881E-2</v>
      </c>
      <c r="X69" s="218">
        <f t="shared" si="66"/>
        <v>8.9999999999999969E-2</v>
      </c>
      <c r="Y69" s="224">
        <f t="shared" ref="Y69:AG69" si="134">(Y50+$C$57)/-$C$57/(Y$38-1)</f>
        <v>1.3876428913270343E-2</v>
      </c>
      <c r="Z69" s="225">
        <f t="shared" si="134"/>
        <v>3.151289201047297E-2</v>
      </c>
      <c r="AA69" s="225">
        <f t="shared" si="134"/>
        <v>3.6193452881820944E-2</v>
      </c>
      <c r="AB69" s="225">
        <f t="shared" si="134"/>
        <v>3.7950661235130259E-2</v>
      </c>
      <c r="AC69" s="225">
        <f t="shared" si="134"/>
        <v>3.8098233691204936E-2</v>
      </c>
      <c r="AD69" s="225">
        <f t="shared" si="134"/>
        <v>3.7797509358434629E-2</v>
      </c>
      <c r="AE69" s="225">
        <f t="shared" si="134"/>
        <v>3.7226120323591738E-2</v>
      </c>
      <c r="AF69" s="225">
        <f t="shared" si="134"/>
        <v>3.6294186907045299E-2</v>
      </c>
      <c r="AG69" s="225">
        <f t="shared" si="134"/>
        <v>3.5865906488127881E-2</v>
      </c>
      <c r="AI69" s="218">
        <f t="shared" si="68"/>
        <v>8.9999999999999969E-2</v>
      </c>
      <c r="AJ69" s="224">
        <f t="shared" ref="AJ69:AR69" si="135">(AJ50+$C$57)/-$C$57/(AJ$38-1)</f>
        <v>1.3876428913270343E-2</v>
      </c>
      <c r="AK69" s="225">
        <f t="shared" si="135"/>
        <v>3.151289201047297E-2</v>
      </c>
      <c r="AL69" s="225">
        <f t="shared" si="135"/>
        <v>3.6193452881820944E-2</v>
      </c>
      <c r="AM69" s="225">
        <f t="shared" si="135"/>
        <v>3.7950661235130259E-2</v>
      </c>
      <c r="AN69" s="225">
        <f t="shared" si="135"/>
        <v>3.8098233691204936E-2</v>
      </c>
      <c r="AO69" s="225">
        <f t="shared" si="135"/>
        <v>3.7797509358434629E-2</v>
      </c>
      <c r="AP69" s="225">
        <f t="shared" si="135"/>
        <v>3.7226120323591738E-2</v>
      </c>
      <c r="AQ69" s="225">
        <f t="shared" si="135"/>
        <v>3.6294186907045299E-2</v>
      </c>
      <c r="AR69" s="225">
        <f t="shared" si="135"/>
        <v>3.5865906488127881E-2</v>
      </c>
      <c r="AU69" s="218">
        <f t="shared" si="70"/>
        <v>8.9999999999999969E-2</v>
      </c>
      <c r="AV69" s="224">
        <f t="shared" ref="AV69:BD69" si="136">(AV50+$AV$57)/-$AV$57/(AV$56-1)</f>
        <v>5.5861620593346359E-2</v>
      </c>
      <c r="AW69" s="224">
        <f t="shared" si="136"/>
        <v>7.54447317757245E-2</v>
      </c>
      <c r="AX69" s="224">
        <f t="shared" si="136"/>
        <v>8.4922374129763833E-2</v>
      </c>
      <c r="AY69" s="224">
        <f t="shared" si="136"/>
        <v>9.1923582199401499E-2</v>
      </c>
      <c r="AZ69" s="224">
        <f t="shared" si="136"/>
        <v>9.8156958278878173E-2</v>
      </c>
      <c r="BA69" s="224">
        <f t="shared" si="136"/>
        <v>0.10415948862039233</v>
      </c>
      <c r="BB69" s="224">
        <f t="shared" si="136"/>
        <v>0.11023125035426826</v>
      </c>
      <c r="BC69" s="224">
        <f t="shared" si="136"/>
        <v>0.11638436739645611</v>
      </c>
      <c r="BD69" s="224">
        <f t="shared" si="136"/>
        <v>0.12276335034635839</v>
      </c>
      <c r="BF69" s="218">
        <f t="shared" si="72"/>
        <v>8.9999999999999969E-2</v>
      </c>
      <c r="BG69" s="225" t="e">
        <f t="shared" ref="BG69:BO69" si="137">(BG50+BG$57)/-BG$57/(BG$38-1)</f>
        <v>#DIV/0!</v>
      </c>
      <c r="BH69" s="225" t="e">
        <f t="shared" si="137"/>
        <v>#DIV/0!</v>
      </c>
      <c r="BI69" s="225" t="e">
        <f t="shared" si="137"/>
        <v>#DIV/0!</v>
      </c>
      <c r="BJ69" s="225" t="e">
        <f t="shared" si="137"/>
        <v>#DIV/0!</v>
      </c>
      <c r="BK69" s="225" t="e">
        <f t="shared" si="137"/>
        <v>#DIV/0!</v>
      </c>
      <c r="BL69" s="225" t="e">
        <f t="shared" si="137"/>
        <v>#DIV/0!</v>
      </c>
      <c r="BM69" s="225" t="e">
        <f t="shared" si="137"/>
        <v>#DIV/0!</v>
      </c>
      <c r="BN69" s="225" t="e">
        <f t="shared" si="137"/>
        <v>#DIV/0!</v>
      </c>
      <c r="BO69" s="225" t="e">
        <f t="shared" si="137"/>
        <v>#DIV/0!</v>
      </c>
      <c r="BQ69" s="218">
        <f t="shared" si="74"/>
        <v>8.9999999999999969E-2</v>
      </c>
      <c r="BR69" s="225" t="e">
        <f t="shared" ref="BR69:BZ69" si="138">(BR50+BR$57)/-BR$57/(BR$38-1)</f>
        <v>#DIV/0!</v>
      </c>
      <c r="BS69" s="225" t="e">
        <f t="shared" si="138"/>
        <v>#DIV/0!</v>
      </c>
      <c r="BT69" s="225" t="e">
        <f t="shared" si="138"/>
        <v>#DIV/0!</v>
      </c>
      <c r="BU69" s="225" t="e">
        <f t="shared" si="138"/>
        <v>#DIV/0!</v>
      </c>
      <c r="BV69" s="225" t="e">
        <f t="shared" si="138"/>
        <v>#DIV/0!</v>
      </c>
      <c r="BW69" s="225" t="e">
        <f t="shared" si="138"/>
        <v>#DIV/0!</v>
      </c>
      <c r="BX69" s="225" t="e">
        <f t="shared" si="138"/>
        <v>#DIV/0!</v>
      </c>
      <c r="BY69" s="225" t="e">
        <f t="shared" si="138"/>
        <v>#DIV/0!</v>
      </c>
      <c r="BZ69" s="225" t="e">
        <f t="shared" si="138"/>
        <v>#DIV/0!</v>
      </c>
    </row>
    <row r="70" spans="1:78">
      <c r="B70" s="218">
        <f t="shared" si="62"/>
        <v>7.9999999999999974E-2</v>
      </c>
      <c r="C70" s="225">
        <f t="shared" ref="C70:K70" si="139">(C51+C$57)/-C$57/(C$38-1)</f>
        <v>2.2488222080168659E-2</v>
      </c>
      <c r="D70" s="225">
        <f t="shared" si="139"/>
        <v>4.0133338386074878E-2</v>
      </c>
      <c r="E70" s="225">
        <f t="shared" si="139"/>
        <v>4.4646220428452711E-2</v>
      </c>
      <c r="F70" s="225">
        <f t="shared" si="139"/>
        <v>4.622196723858258E-2</v>
      </c>
      <c r="G70" s="225">
        <f t="shared" si="139"/>
        <v>4.6146254345023639E-2</v>
      </c>
      <c r="H70" s="225">
        <f t="shared" si="139"/>
        <v>4.5639936272930982E-2</v>
      </c>
      <c r="I70" s="225">
        <f t="shared" si="139"/>
        <v>4.4874512142638205E-2</v>
      </c>
      <c r="J70" s="225">
        <f t="shared" si="139"/>
        <v>4.3738978361821806E-2</v>
      </c>
      <c r="K70" s="225">
        <f t="shared" si="139"/>
        <v>4.3173018892246812E-2</v>
      </c>
      <c r="M70" s="218">
        <f t="shared" si="64"/>
        <v>7.9999999999999974E-2</v>
      </c>
      <c r="N70" s="225">
        <f t="shared" ref="N70:V70" si="140">(N51+N$57)/-N$57/(N$38-1)</f>
        <v>4.381298422218652E-3</v>
      </c>
      <c r="O70" s="225">
        <f t="shared" si="140"/>
        <v>2.1316203648116292E-2</v>
      </c>
      <c r="P70" s="225">
        <f t="shared" si="140"/>
        <v>2.5296035238774911E-2</v>
      </c>
      <c r="Q70" s="225">
        <f t="shared" si="140"/>
        <v>2.635256936841349E-2</v>
      </c>
      <c r="R70" s="225">
        <f t="shared" si="140"/>
        <v>2.5773924895865864E-2</v>
      </c>
      <c r="S70" s="225">
        <f t="shared" si="140"/>
        <v>2.4720288894501424E-2</v>
      </c>
      <c r="T70" s="225">
        <f t="shared" si="140"/>
        <v>2.3361839505793448E-2</v>
      </c>
      <c r="U70" s="225">
        <f t="shared" si="140"/>
        <v>2.1615894936645945E-2</v>
      </c>
      <c r="V70" s="225">
        <f t="shared" si="140"/>
        <v>2.0340328521460355E-2</v>
      </c>
      <c r="X70" s="218">
        <f t="shared" si="66"/>
        <v>7.9999999999999974E-2</v>
      </c>
      <c r="Y70" s="224">
        <f t="shared" ref="Y70:AG70" si="141">(Y51+$C$57)/-$C$57/(Y$38-1)</f>
        <v>4.381298422218652E-3</v>
      </c>
      <c r="Z70" s="225">
        <f t="shared" si="141"/>
        <v>2.1316203648116292E-2</v>
      </c>
      <c r="AA70" s="225">
        <f t="shared" si="141"/>
        <v>2.5296035238774911E-2</v>
      </c>
      <c r="AB70" s="225">
        <f t="shared" si="141"/>
        <v>2.635256936841349E-2</v>
      </c>
      <c r="AC70" s="225">
        <f t="shared" si="141"/>
        <v>2.5773924895865864E-2</v>
      </c>
      <c r="AD70" s="225">
        <f t="shared" si="141"/>
        <v>2.4720288894501424E-2</v>
      </c>
      <c r="AE70" s="225">
        <f t="shared" si="141"/>
        <v>2.3361839505793448E-2</v>
      </c>
      <c r="AF70" s="225">
        <f t="shared" si="141"/>
        <v>2.1615894936645945E-2</v>
      </c>
      <c r="AG70" s="225">
        <f t="shared" si="141"/>
        <v>2.0340328521460355E-2</v>
      </c>
      <c r="AI70" s="218">
        <f t="shared" si="68"/>
        <v>7.9999999999999974E-2</v>
      </c>
      <c r="AJ70" s="224">
        <f t="shared" ref="AJ70:AR70" si="142">(AJ51+$C$57)/-$C$57/(AJ$38-1)</f>
        <v>4.381298422218652E-3</v>
      </c>
      <c r="AK70" s="225">
        <f t="shared" si="142"/>
        <v>2.1316203648116292E-2</v>
      </c>
      <c r="AL70" s="225">
        <f t="shared" si="142"/>
        <v>2.5296035238774911E-2</v>
      </c>
      <c r="AM70" s="225">
        <f t="shared" si="142"/>
        <v>2.635256936841349E-2</v>
      </c>
      <c r="AN70" s="225">
        <f t="shared" si="142"/>
        <v>2.5773924895865864E-2</v>
      </c>
      <c r="AO70" s="225">
        <f t="shared" si="142"/>
        <v>2.4720288894501424E-2</v>
      </c>
      <c r="AP70" s="225">
        <f t="shared" si="142"/>
        <v>2.3361839505793448E-2</v>
      </c>
      <c r="AQ70" s="225">
        <f t="shared" si="142"/>
        <v>2.1615894936645945E-2</v>
      </c>
      <c r="AR70" s="225">
        <f t="shared" si="142"/>
        <v>2.0340328521460355E-2</v>
      </c>
      <c r="AU70" s="218">
        <f t="shared" si="70"/>
        <v>7.9999999999999974E-2</v>
      </c>
      <c r="AV70" s="224">
        <f t="shared" ref="AV70:BD70" si="143">(AV51+$AV$57)/-$AV$57/(AV$56-1)</f>
        <v>4.617522076654311E-2</v>
      </c>
      <c r="AW70" s="224">
        <f t="shared" si="143"/>
        <v>6.4934915527576534E-2</v>
      </c>
      <c r="AX70" s="224">
        <f t="shared" si="143"/>
        <v>7.350498527766007E-2</v>
      </c>
      <c r="AY70" s="224">
        <f t="shared" si="143"/>
        <v>7.9539162710371494E-2</v>
      </c>
      <c r="AZ70" s="224">
        <f t="shared" si="143"/>
        <v>8.472138453192421E-2</v>
      </c>
      <c r="BA70" s="224">
        <f t="shared" si="143"/>
        <v>8.9583184797876816E-2</v>
      </c>
      <c r="BB70" s="224">
        <f t="shared" si="143"/>
        <v>9.440648716072271E-2</v>
      </c>
      <c r="BC70" s="224">
        <f t="shared" si="143"/>
        <v>9.9214263551515955E-2</v>
      </c>
      <c r="BD70" s="224">
        <f t="shared" si="143"/>
        <v>0.10413547816399671</v>
      </c>
      <c r="BF70" s="218">
        <f t="shared" si="72"/>
        <v>7.9999999999999974E-2</v>
      </c>
      <c r="BG70" s="225" t="e">
        <f t="shared" ref="BG70:BO70" si="144">(BG51+BG$57)/-BG$57/(BG$38-1)</f>
        <v>#DIV/0!</v>
      </c>
      <c r="BH70" s="225" t="e">
        <f t="shared" si="144"/>
        <v>#DIV/0!</v>
      </c>
      <c r="BI70" s="225" t="e">
        <f t="shared" si="144"/>
        <v>#DIV/0!</v>
      </c>
      <c r="BJ70" s="225" t="e">
        <f t="shared" si="144"/>
        <v>#DIV/0!</v>
      </c>
      <c r="BK70" s="225" t="e">
        <f t="shared" si="144"/>
        <v>#DIV/0!</v>
      </c>
      <c r="BL70" s="225" t="e">
        <f t="shared" si="144"/>
        <v>#DIV/0!</v>
      </c>
      <c r="BM70" s="225" t="e">
        <f t="shared" si="144"/>
        <v>#DIV/0!</v>
      </c>
      <c r="BN70" s="225" t="e">
        <f t="shared" si="144"/>
        <v>#DIV/0!</v>
      </c>
      <c r="BO70" s="225" t="e">
        <f t="shared" si="144"/>
        <v>#DIV/0!</v>
      </c>
      <c r="BQ70" s="218">
        <f t="shared" si="74"/>
        <v>7.9999999999999974E-2</v>
      </c>
      <c r="BR70" s="225" t="e">
        <f t="shared" ref="BR70:BZ70" si="145">(BR51+BR$57)/-BR$57/(BR$38-1)</f>
        <v>#DIV/0!</v>
      </c>
      <c r="BS70" s="225" t="e">
        <f t="shared" si="145"/>
        <v>#DIV/0!</v>
      </c>
      <c r="BT70" s="225" t="e">
        <f t="shared" si="145"/>
        <v>#DIV/0!</v>
      </c>
      <c r="BU70" s="225" t="e">
        <f t="shared" si="145"/>
        <v>#DIV/0!</v>
      </c>
      <c r="BV70" s="225" t="e">
        <f t="shared" si="145"/>
        <v>#DIV/0!</v>
      </c>
      <c r="BW70" s="225" t="e">
        <f t="shared" si="145"/>
        <v>#DIV/0!</v>
      </c>
      <c r="BX70" s="225" t="e">
        <f t="shared" si="145"/>
        <v>#DIV/0!</v>
      </c>
      <c r="BY70" s="225" t="e">
        <f t="shared" si="145"/>
        <v>#DIV/0!</v>
      </c>
      <c r="BZ70" s="225" t="e">
        <f t="shared" si="145"/>
        <v>#DIV/0!</v>
      </c>
    </row>
    <row r="72" spans="1:78">
      <c r="B72" s="99"/>
      <c r="C72" s="203"/>
      <c r="D72" s="203"/>
      <c r="E72" s="203"/>
      <c r="F72" s="203"/>
      <c r="G72" s="203"/>
      <c r="H72" s="203"/>
      <c r="I72" s="203"/>
      <c r="J72" s="203"/>
      <c r="K72" s="203"/>
      <c r="M72" s="99"/>
      <c r="N72" s="203"/>
      <c r="O72" s="203"/>
      <c r="P72" s="203"/>
      <c r="Q72" s="203"/>
      <c r="R72" s="203"/>
      <c r="S72" s="203"/>
      <c r="T72" s="203"/>
      <c r="U72" s="203"/>
      <c r="V72" s="203"/>
      <c r="X72" s="99"/>
      <c r="Y72" s="203"/>
      <c r="Z72" s="203"/>
      <c r="AA72" s="203"/>
      <c r="AB72" s="203"/>
      <c r="AC72" s="203"/>
      <c r="AD72" s="203"/>
      <c r="AE72" s="203"/>
      <c r="AF72" s="203"/>
      <c r="AG72" s="203"/>
      <c r="AI72" s="99"/>
      <c r="AJ72" s="203"/>
      <c r="AK72" s="203"/>
      <c r="AL72" s="203"/>
      <c r="AM72" s="203"/>
      <c r="AN72" s="203"/>
      <c r="AO72" s="203"/>
      <c r="AP72" s="203"/>
      <c r="AQ72" s="203"/>
      <c r="AR72" s="203"/>
      <c r="BF72" s="99"/>
      <c r="BG72" s="203"/>
      <c r="BH72" s="203"/>
      <c r="BI72" s="203"/>
      <c r="BJ72" s="203"/>
      <c r="BK72" s="203"/>
      <c r="BL72" s="203"/>
      <c r="BM72" s="203"/>
      <c r="BN72" s="203"/>
      <c r="BO72" s="203"/>
      <c r="BQ72" s="99"/>
      <c r="BR72" s="203"/>
      <c r="BS72" s="203"/>
      <c r="BT72" s="203"/>
      <c r="BU72" s="203"/>
      <c r="BV72" s="203"/>
      <c r="BW72" s="203"/>
      <c r="BX72" s="203"/>
      <c r="BY72" s="203"/>
      <c r="BZ72" s="203"/>
    </row>
    <row r="73" spans="1:78" ht="44.25" customHeight="1"/>
    <row r="74" spans="1:78" s="17" customFormat="1">
      <c r="A74"/>
    </row>
    <row r="89" spans="1:78">
      <c r="B89" s="99"/>
      <c r="C89" s="203"/>
      <c r="D89" s="203"/>
      <c r="E89" s="203"/>
      <c r="F89" s="203"/>
      <c r="G89" s="203"/>
      <c r="H89" s="203"/>
      <c r="I89" s="203"/>
      <c r="J89" s="203"/>
      <c r="K89" s="203"/>
      <c r="M89" s="99"/>
      <c r="N89" s="203"/>
      <c r="O89" s="203"/>
      <c r="P89" s="203"/>
      <c r="Q89" s="203"/>
      <c r="R89" s="203"/>
      <c r="S89" s="203"/>
      <c r="T89" s="203"/>
      <c r="U89" s="203"/>
      <c r="V89" s="203"/>
      <c r="X89" s="99"/>
      <c r="Y89" s="203"/>
      <c r="Z89" s="203"/>
      <c r="AA89" s="203"/>
      <c r="AB89" s="203"/>
      <c r="AC89" s="203"/>
      <c r="AD89" s="203"/>
      <c r="AE89" s="203"/>
      <c r="AF89" s="203"/>
      <c r="AG89" s="203"/>
      <c r="AI89" s="99"/>
      <c r="AJ89" s="203"/>
      <c r="AK89" s="203"/>
      <c r="AL89" s="203"/>
      <c r="AM89" s="203"/>
      <c r="AN89" s="203"/>
      <c r="AO89" s="203"/>
      <c r="AP89" s="203"/>
      <c r="AQ89" s="203"/>
      <c r="AR89" s="203"/>
      <c r="BF89" s="99"/>
      <c r="BG89" s="203"/>
      <c r="BH89" s="203"/>
      <c r="BI89" s="203"/>
      <c r="BJ89" s="203"/>
      <c r="BK89" s="203"/>
      <c r="BL89" s="203"/>
      <c r="BM89" s="203"/>
      <c r="BN89" s="203"/>
      <c r="BO89" s="203"/>
      <c r="BQ89" s="99"/>
      <c r="BR89" s="203"/>
      <c r="BS89" s="203"/>
      <c r="BT89" s="203"/>
      <c r="BU89" s="203"/>
      <c r="BV89" s="203"/>
      <c r="BW89" s="203"/>
      <c r="BX89" s="203"/>
      <c r="BY89" s="203"/>
      <c r="BZ89" s="203"/>
    </row>
    <row r="91" spans="1:78" ht="46.5" customHeight="1"/>
    <row r="95" spans="1:78">
      <c r="A95" s="407"/>
    </row>
  </sheetData>
  <mergeCells count="33">
    <mergeCell ref="AI1:AR1"/>
    <mergeCell ref="AI19:AR19"/>
    <mergeCell ref="AI36:AR36"/>
    <mergeCell ref="AI54:AR54"/>
    <mergeCell ref="AI55:AR55"/>
    <mergeCell ref="X1:AG1"/>
    <mergeCell ref="X19:AG19"/>
    <mergeCell ref="X36:AG36"/>
    <mergeCell ref="X54:AG54"/>
    <mergeCell ref="X55:AG55"/>
    <mergeCell ref="B1:K1"/>
    <mergeCell ref="B19:K19"/>
    <mergeCell ref="B54:K54"/>
    <mergeCell ref="B55:K55"/>
    <mergeCell ref="M1:V1"/>
    <mergeCell ref="M19:V19"/>
    <mergeCell ref="M36:V36"/>
    <mergeCell ref="M54:V54"/>
    <mergeCell ref="M55:V55"/>
    <mergeCell ref="BF1:BO1"/>
    <mergeCell ref="BQ1:BZ1"/>
    <mergeCell ref="BF19:BO19"/>
    <mergeCell ref="BQ19:BZ19"/>
    <mergeCell ref="BF36:BO36"/>
    <mergeCell ref="BQ36:BZ36"/>
    <mergeCell ref="BF54:BO54"/>
    <mergeCell ref="BQ54:BZ54"/>
    <mergeCell ref="BF55:BO55"/>
    <mergeCell ref="BQ55:BZ55"/>
    <mergeCell ref="B36:D36"/>
    <mergeCell ref="AU36:BD36"/>
    <mergeCell ref="AU54:BD54"/>
    <mergeCell ref="AU55:BD5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592CA-0ECB-4146-8465-38C1F4B1A1D3}">
  <sheetPr codeName="Sheet13">
    <tabColor theme="5" tint="0.79998168889431442"/>
  </sheetPr>
  <dimension ref="B1:V98"/>
  <sheetViews>
    <sheetView showGridLines="0" zoomScale="70" zoomScaleNormal="70" workbookViewId="0">
      <pane xSplit="9" ySplit="14" topLeftCell="J41" activePane="bottomRight" state="frozen"/>
      <selection pane="topRight" activeCell="B54" sqref="B54:K54"/>
      <selection pane="bottomLeft" activeCell="B54" sqref="B54:K54"/>
      <selection pane="bottomRight" activeCell="L60" sqref="L60"/>
    </sheetView>
  </sheetViews>
  <sheetFormatPr defaultColWidth="0" defaultRowHeight="15"/>
  <cols>
    <col min="1" max="1" width="3" customWidth="1"/>
    <col min="2" max="3" width="9.140625" customWidth="1"/>
    <col min="4" max="4" width="16.85546875" bestFit="1" customWidth="1"/>
    <col min="5" max="5" width="15.28515625" customWidth="1"/>
    <col min="6" max="6" width="17.28515625" customWidth="1"/>
    <col min="7" max="7" width="15.28515625" customWidth="1"/>
    <col min="8" max="8" width="35.42578125" customWidth="1"/>
    <col min="9" max="22" width="14.7109375" customWidth="1"/>
    <col min="23" max="23" width="10.5703125" customWidth="1"/>
  </cols>
  <sheetData>
    <row r="1" spans="2:22" s="3" customFormat="1" ht="23.25">
      <c r="B1" s="4" t="s">
        <v>80</v>
      </c>
    </row>
    <row r="2" spans="2:22" ht="15.75">
      <c r="B2" s="5"/>
    </row>
    <row r="4" spans="2:22">
      <c r="B4" t="s">
        <v>29</v>
      </c>
      <c r="D4" s="6">
        <v>1</v>
      </c>
    </row>
    <row r="6" spans="2:22">
      <c r="B6" t="s">
        <v>30</v>
      </c>
      <c r="J6" s="7">
        <f>I7+1</f>
        <v>45292</v>
      </c>
      <c r="K6" s="7">
        <f t="shared" ref="K6:V6" si="0">J7+1</f>
        <v>45658</v>
      </c>
      <c r="L6" s="7">
        <f t="shared" si="0"/>
        <v>46023</v>
      </c>
      <c r="M6" s="7">
        <f t="shared" si="0"/>
        <v>46388</v>
      </c>
      <c r="N6" s="7">
        <f t="shared" si="0"/>
        <v>46753</v>
      </c>
      <c r="O6" s="7">
        <f t="shared" si="0"/>
        <v>47119</v>
      </c>
      <c r="P6" s="7">
        <f t="shared" si="0"/>
        <v>47484</v>
      </c>
      <c r="Q6" s="7">
        <f t="shared" si="0"/>
        <v>47849</v>
      </c>
      <c r="R6" s="7">
        <f t="shared" si="0"/>
        <v>48214</v>
      </c>
      <c r="S6" s="7">
        <f t="shared" si="0"/>
        <v>48580</v>
      </c>
      <c r="T6" s="7">
        <f t="shared" si="0"/>
        <v>48945</v>
      </c>
      <c r="U6" s="7">
        <f t="shared" si="0"/>
        <v>49310</v>
      </c>
      <c r="V6" s="7">
        <f t="shared" si="0"/>
        <v>49675</v>
      </c>
    </row>
    <row r="7" spans="2:22">
      <c r="B7" t="s">
        <v>31</v>
      </c>
      <c r="I7" s="8">
        <f>'Output_Standalone (IDR)'!I7</f>
        <v>45291</v>
      </c>
      <c r="J7" s="7">
        <f>EOMONTH(J6,12-1)</f>
        <v>45657</v>
      </c>
      <c r="K7" s="7">
        <f t="shared" ref="K7:V7" si="1">EOMONTH(K6,12-1)</f>
        <v>46022</v>
      </c>
      <c r="L7" s="7">
        <f t="shared" si="1"/>
        <v>46387</v>
      </c>
      <c r="M7" s="7">
        <f t="shared" si="1"/>
        <v>46752</v>
      </c>
      <c r="N7" s="7">
        <f t="shared" si="1"/>
        <v>47118</v>
      </c>
      <c r="O7" s="7">
        <f t="shared" si="1"/>
        <v>47483</v>
      </c>
      <c r="P7" s="7">
        <f t="shared" si="1"/>
        <v>47848</v>
      </c>
      <c r="Q7" s="7">
        <f t="shared" si="1"/>
        <v>48213</v>
      </c>
      <c r="R7" s="7">
        <f t="shared" si="1"/>
        <v>48579</v>
      </c>
      <c r="S7" s="7">
        <f t="shared" si="1"/>
        <v>48944</v>
      </c>
      <c r="T7" s="7">
        <f t="shared" si="1"/>
        <v>49309</v>
      </c>
      <c r="U7" s="7">
        <f t="shared" si="1"/>
        <v>49674</v>
      </c>
      <c r="V7" s="7">
        <f t="shared" si="1"/>
        <v>50040</v>
      </c>
    </row>
    <row r="8" spans="2:22">
      <c r="B8" t="s">
        <v>32</v>
      </c>
      <c r="J8" s="9">
        <f>YEAR(J7)</f>
        <v>2024</v>
      </c>
      <c r="K8" s="9">
        <f t="shared" ref="K8:V8" si="2">YEAR(K7)</f>
        <v>2025</v>
      </c>
      <c r="L8" s="9">
        <f t="shared" si="2"/>
        <v>2026</v>
      </c>
      <c r="M8" s="9">
        <f t="shared" si="2"/>
        <v>2027</v>
      </c>
      <c r="N8" s="9">
        <f t="shared" si="2"/>
        <v>2028</v>
      </c>
      <c r="O8" s="9">
        <f t="shared" si="2"/>
        <v>2029</v>
      </c>
      <c r="P8" s="9">
        <f t="shared" si="2"/>
        <v>2030</v>
      </c>
      <c r="Q8" s="9">
        <f t="shared" si="2"/>
        <v>2031</v>
      </c>
      <c r="R8" s="9">
        <f t="shared" si="2"/>
        <v>2032</v>
      </c>
      <c r="S8" s="9">
        <f t="shared" si="2"/>
        <v>2033</v>
      </c>
      <c r="T8" s="9">
        <f t="shared" si="2"/>
        <v>2034</v>
      </c>
      <c r="U8" s="9">
        <f t="shared" si="2"/>
        <v>2035</v>
      </c>
      <c r="V8" s="9">
        <f t="shared" si="2"/>
        <v>2036</v>
      </c>
    </row>
    <row r="9" spans="2:22">
      <c r="B9" t="s">
        <v>33</v>
      </c>
      <c r="J9" s="10">
        <f>J7-J6+1</f>
        <v>366</v>
      </c>
      <c r="K9" s="10">
        <f t="shared" ref="K9:V9" si="3">K7-K6+1</f>
        <v>365</v>
      </c>
      <c r="L9" s="10">
        <f t="shared" si="3"/>
        <v>365</v>
      </c>
      <c r="M9" s="10">
        <f t="shared" si="3"/>
        <v>365</v>
      </c>
      <c r="N9" s="10">
        <f t="shared" si="3"/>
        <v>366</v>
      </c>
      <c r="O9" s="10">
        <f t="shared" si="3"/>
        <v>365</v>
      </c>
      <c r="P9" s="10">
        <f t="shared" si="3"/>
        <v>365</v>
      </c>
      <c r="Q9" s="10">
        <f t="shared" si="3"/>
        <v>365</v>
      </c>
      <c r="R9" s="10">
        <f t="shared" si="3"/>
        <v>366</v>
      </c>
      <c r="S9" s="10">
        <f t="shared" si="3"/>
        <v>365</v>
      </c>
      <c r="T9" s="10">
        <f t="shared" si="3"/>
        <v>365</v>
      </c>
      <c r="U9" s="10">
        <f t="shared" si="3"/>
        <v>365</v>
      </c>
      <c r="V9" s="10">
        <f t="shared" si="3"/>
        <v>366</v>
      </c>
    </row>
    <row r="10" spans="2:22">
      <c r="E10" s="11" t="s">
        <v>34</v>
      </c>
      <c r="F10" s="11" t="s">
        <v>35</v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</row>
    <row r="11" spans="2:22">
      <c r="B11" s="407" t="s">
        <v>36</v>
      </c>
      <c r="E11" s="12">
        <f>'Output_Standalone (IDR)'!E11</f>
        <v>45291</v>
      </c>
      <c r="F11" s="12">
        <f>'Output_Standalone (IDR)'!F11</f>
        <v>45291</v>
      </c>
      <c r="J11" s="13">
        <f t="shared" ref="J11:V11" si="4">IF(J7=$F$11,1,0)</f>
        <v>0</v>
      </c>
      <c r="K11" s="13">
        <f t="shared" si="4"/>
        <v>0</v>
      </c>
      <c r="L11" s="13">
        <f t="shared" si="4"/>
        <v>0</v>
      </c>
      <c r="M11" s="13">
        <f t="shared" si="4"/>
        <v>0</v>
      </c>
      <c r="N11" s="13">
        <f t="shared" si="4"/>
        <v>0</v>
      </c>
      <c r="O11" s="13">
        <f t="shared" si="4"/>
        <v>0</v>
      </c>
      <c r="P11" s="13">
        <f t="shared" si="4"/>
        <v>0</v>
      </c>
      <c r="Q11" s="13">
        <f t="shared" si="4"/>
        <v>0</v>
      </c>
      <c r="R11" s="13">
        <f t="shared" si="4"/>
        <v>0</v>
      </c>
      <c r="S11" s="13">
        <f t="shared" si="4"/>
        <v>0</v>
      </c>
      <c r="T11" s="13">
        <f t="shared" si="4"/>
        <v>0</v>
      </c>
      <c r="U11" s="13">
        <f t="shared" si="4"/>
        <v>0</v>
      </c>
      <c r="V11" s="13">
        <f t="shared" si="4"/>
        <v>0</v>
      </c>
    </row>
    <row r="12" spans="2:22">
      <c r="B12" t="s">
        <v>37</v>
      </c>
      <c r="E12" s="12">
        <f>'Output_Standalone (IDR)'!E12</f>
        <v>45292</v>
      </c>
      <c r="F12" s="12">
        <f>'Output_Standalone (IDR)'!F12+1</f>
        <v>50041</v>
      </c>
      <c r="J12" s="71">
        <f>IF(J11=1,0,IF(J7&gt;$F$12,0,1))</f>
        <v>1</v>
      </c>
      <c r="K12" s="71">
        <f>IF(K11=1,0,IF(K7&gt;$F$12,0,1))</f>
        <v>1</v>
      </c>
      <c r="L12" s="13">
        <f t="shared" ref="L12:V12" si="5">IF(L11=1,0,IF(L7&gt;$F$12,0,1))</f>
        <v>1</v>
      </c>
      <c r="M12" s="13">
        <f t="shared" si="5"/>
        <v>1</v>
      </c>
      <c r="N12" s="13">
        <f t="shared" si="5"/>
        <v>1</v>
      </c>
      <c r="O12" s="13">
        <f t="shared" si="5"/>
        <v>1</v>
      </c>
      <c r="P12" s="13">
        <f t="shared" si="5"/>
        <v>1</v>
      </c>
      <c r="Q12" s="13">
        <f t="shared" si="5"/>
        <v>1</v>
      </c>
      <c r="R12" s="71">
        <f t="shared" si="5"/>
        <v>1</v>
      </c>
      <c r="S12" s="13">
        <f t="shared" si="5"/>
        <v>1</v>
      </c>
      <c r="T12" s="13">
        <v>1</v>
      </c>
      <c r="U12" s="13">
        <f t="shared" si="5"/>
        <v>1</v>
      </c>
      <c r="V12" s="13">
        <f t="shared" si="5"/>
        <v>1</v>
      </c>
    </row>
    <row r="13" spans="2:22">
      <c r="F13" s="7"/>
    </row>
    <row r="14" spans="2:22">
      <c r="B14" t="s">
        <v>38</v>
      </c>
      <c r="J14">
        <f>SUM($J$12:J12)</f>
        <v>1</v>
      </c>
      <c r="K14">
        <f>SUM($J$12:K12)</f>
        <v>2</v>
      </c>
      <c r="L14">
        <f>SUM($J$12:L12)</f>
        <v>3</v>
      </c>
      <c r="M14">
        <f>SUM($J$12:M12)</f>
        <v>4</v>
      </c>
      <c r="N14">
        <f>SUM($J$12:N12)</f>
        <v>5</v>
      </c>
      <c r="O14">
        <f>SUM($J$12:O12)</f>
        <v>6</v>
      </c>
      <c r="P14">
        <f>SUM($J$12:P12)</f>
        <v>7</v>
      </c>
      <c r="Q14">
        <f>SUM($J$12:Q12)</f>
        <v>8</v>
      </c>
      <c r="R14">
        <f>SUM($J$12:R12)</f>
        <v>9</v>
      </c>
      <c r="S14">
        <f>SUM($J$12:S12)</f>
        <v>10</v>
      </c>
      <c r="T14">
        <f>SUM($J$12:T12)</f>
        <v>11</v>
      </c>
      <c r="U14">
        <f>SUM($J$12:U12)</f>
        <v>12</v>
      </c>
      <c r="V14">
        <f>SUM($J$12:V12)</f>
        <v>13</v>
      </c>
    </row>
    <row r="15" spans="2:22">
      <c r="I15">
        <f>USD_IDR</f>
        <v>16265</v>
      </c>
    </row>
    <row r="16" spans="2:22" ht="24" thickBot="1">
      <c r="B16" s="14" t="s">
        <v>81</v>
      </c>
      <c r="C16" s="14"/>
      <c r="D16" s="14"/>
      <c r="E16" s="14"/>
      <c r="F16" s="14"/>
      <c r="G16" s="14"/>
      <c r="H16" s="14"/>
      <c r="I16" s="14"/>
      <c r="J16" s="14"/>
      <c r="K16" s="14">
        <v>1</v>
      </c>
      <c r="L16" s="14">
        <f>K16+1</f>
        <v>2</v>
      </c>
      <c r="M16" s="14">
        <f t="shared" ref="M16:T16" si="6">L16+1</f>
        <v>3</v>
      </c>
      <c r="N16" s="14">
        <f t="shared" si="6"/>
        <v>4</v>
      </c>
      <c r="O16" s="14">
        <f t="shared" si="6"/>
        <v>5</v>
      </c>
      <c r="P16" s="14">
        <f t="shared" si="6"/>
        <v>6</v>
      </c>
      <c r="Q16" s="14">
        <f t="shared" si="6"/>
        <v>7</v>
      </c>
      <c r="R16" s="14">
        <f t="shared" si="6"/>
        <v>8</v>
      </c>
      <c r="S16" s="14">
        <f t="shared" si="6"/>
        <v>9</v>
      </c>
      <c r="T16" s="14">
        <f t="shared" si="6"/>
        <v>10</v>
      </c>
      <c r="U16" s="14"/>
      <c r="V16" s="14"/>
    </row>
    <row r="17" spans="2:22">
      <c r="K17" s="230">
        <v>2.4779998363453051</v>
      </c>
      <c r="L17" s="230">
        <v>2.7168668772523845</v>
      </c>
    </row>
    <row r="18" spans="2:22" ht="15.75">
      <c r="B18" s="15" t="s">
        <v>44</v>
      </c>
      <c r="I18" s="407" t="s">
        <v>82</v>
      </c>
      <c r="J18" s="1">
        <v>1.2264431457270302</v>
      </c>
      <c r="K18" s="1">
        <v>3.4324756696055574</v>
      </c>
      <c r="L18" s="1">
        <v>5.128397884401048</v>
      </c>
      <c r="M18" s="1">
        <v>6.7549815774718098</v>
      </c>
      <c r="N18" s="1">
        <v>8.5230468336215317</v>
      </c>
      <c r="O18" s="1">
        <v>10.867120644410072</v>
      </c>
      <c r="P18" s="1">
        <v>13.271690359495123</v>
      </c>
      <c r="Q18" s="1">
        <v>14.461879977371455</v>
      </c>
      <c r="R18" s="1">
        <v>15.54006348853463</v>
      </c>
      <c r="S18" s="1">
        <v>16.759558148484178</v>
      </c>
      <c r="T18" s="1">
        <v>16.759558148484178</v>
      </c>
      <c r="U18" s="1">
        <v>0</v>
      </c>
      <c r="V18" s="1">
        <v>0</v>
      </c>
    </row>
    <row r="19" spans="2:22">
      <c r="B19" s="407" t="s">
        <v>83</v>
      </c>
      <c r="J19" s="458">
        <f>-Output_FSL!J83/USD_IDR*Billion/Million</f>
        <v>0.38934537527342256</v>
      </c>
      <c r="K19" s="495">
        <v>2.4779998363453051</v>
      </c>
      <c r="L19" s="458">
        <f>-Output_FSL!L83/USD_IDR*Billion/Million</f>
        <v>2.8895350901728047</v>
      </c>
      <c r="M19" s="23">
        <f>-Output_FSL!M83/USD_IDR*Billion/Million</f>
        <v>4.0763356107096413</v>
      </c>
      <c r="N19" s="23">
        <f>-Output_FSL!N83/USD_IDR*Billion/Million</f>
        <v>4.6635470240344592</v>
      </c>
      <c r="O19" s="23">
        <f>-Output_FSL!O83/USD_IDR*Billion/Million</f>
        <v>5.4098778298277921</v>
      </c>
      <c r="P19" s="23">
        <f>-Output_FSL!P83/USD_IDR*Billion/Million</f>
        <v>5.7045368734551412</v>
      </c>
      <c r="Q19" s="23">
        <f>-Output_FSL!Q83/USD_IDR*Billion/Million</f>
        <v>6.306347115621624</v>
      </c>
      <c r="R19" s="23">
        <f>-Output_FSL!R83/USD_IDR*Billion/Million</f>
        <v>6.6469708738063851</v>
      </c>
      <c r="S19" s="89">
        <f>-Output_FSL!S83/USD_IDR*Billion/Million</f>
        <v>7.3073507200286043</v>
      </c>
      <c r="T19" s="89">
        <f>-Output_FSL!T83/USD_IDR*Billion/Million</f>
        <v>7.6786932988145322</v>
      </c>
      <c r="U19" s="23">
        <f>-Output_FSL!U83/USD_IDR*Billion/Million</f>
        <v>7.5933626449067724</v>
      </c>
      <c r="V19" s="23">
        <f>-Output_FSL!V83/USD_IDR*Billion/Million</f>
        <v>7.9032203878978118</v>
      </c>
    </row>
    <row r="20" spans="2:22">
      <c r="B20" s="407" t="s">
        <v>84</v>
      </c>
      <c r="J20">
        <f>MAX(Output_FSL!J88,0)*Billion/USD_IDR/Million*J12</f>
        <v>1.9284698767256743</v>
      </c>
      <c r="K20">
        <f>MAX(Output_FSL!K88,0)*Billion/USD_IDR/Million*K12</f>
        <v>0.18444512757454659</v>
      </c>
      <c r="L20">
        <f>MAX(Output_FSL!L88,0)*Billion/USD_IDR/Million*L12</f>
        <v>15.007546424613231</v>
      </c>
      <c r="M20">
        <f>MAX(Output_FSL!M88,0)*Billion/USD_IDR/Million*M12</f>
        <v>33.324804711337087</v>
      </c>
      <c r="N20">
        <f>MAX(Output_FSL!N88,0)*Billion/USD_IDR/Million*N12</f>
        <v>53.920552569854976</v>
      </c>
      <c r="O20">
        <f>MAX(Output_FSL!O88,0)*Billion/USD_IDR/Million*O12</f>
        <v>76.498033333277078</v>
      </c>
      <c r="P20">
        <f>MAX(Output_FSL!P88,0)*Billion/USD_IDR/Million*P12</f>
        <v>100.11592164717172</v>
      </c>
      <c r="Q20">
        <f>MAX(Output_FSL!Q88,0)*Billion/USD_IDR/Million*Q12</f>
        <v>125.01248275373146</v>
      </c>
      <c r="R20">
        <f>MAX(Output_FSL!R88,0)*Billion/USD_IDR/Million*R12</f>
        <v>151.12017334347377</v>
      </c>
      <c r="S20">
        <f>MAX(Output_FSL!S88,0)*Billion/USD_IDR/Million*S12</f>
        <v>178.62948827265731</v>
      </c>
      <c r="T20">
        <f>MAX(Output_FSL!T88,0)*Billion/USD_IDR/Million*T12</f>
        <v>207.03192132139307</v>
      </c>
      <c r="U20">
        <f>MAX(Output_FSL!U88,0)*Billion/USD_IDR/Million*U12</f>
        <v>235.46194554128621</v>
      </c>
      <c r="V20">
        <f>MAX(Output_FSL!V88,0)*Billion/USD_IDR/Million*V12</f>
        <v>264.46589822236507</v>
      </c>
    </row>
    <row r="21" spans="2:22">
      <c r="B21" s="28" t="s">
        <v>85</v>
      </c>
      <c r="C21" s="28"/>
      <c r="D21" s="28"/>
      <c r="E21" s="28"/>
      <c r="F21" s="28"/>
      <c r="G21" s="28"/>
      <c r="H21" s="28"/>
      <c r="I21" s="28"/>
      <c r="J21" s="47">
        <f t="shared" ref="J21:V21" si="7">SUM(J19:J20)</f>
        <v>2.3178152519990967</v>
      </c>
      <c r="K21" s="28">
        <f t="shared" si="7"/>
        <v>2.6624449639198517</v>
      </c>
      <c r="L21" s="28">
        <f t="shared" si="7"/>
        <v>17.897081514786038</v>
      </c>
      <c r="M21" s="28">
        <f t="shared" si="7"/>
        <v>37.401140322046729</v>
      </c>
      <c r="N21" s="28">
        <f t="shared" si="7"/>
        <v>58.584099593889434</v>
      </c>
      <c r="O21" s="28">
        <f t="shared" si="7"/>
        <v>81.90791116310487</v>
      </c>
      <c r="P21" s="28">
        <f t="shared" si="7"/>
        <v>105.82045852062686</v>
      </c>
      <c r="Q21" s="28">
        <f t="shared" si="7"/>
        <v>131.3188298693531</v>
      </c>
      <c r="R21" s="28">
        <f t="shared" si="7"/>
        <v>157.76714421728016</v>
      </c>
      <c r="S21" s="28">
        <f t="shared" si="7"/>
        <v>185.93683899268592</v>
      </c>
      <c r="T21" s="28">
        <f t="shared" si="7"/>
        <v>214.71061462020759</v>
      </c>
      <c r="U21" s="28">
        <f t="shared" si="7"/>
        <v>243.05530818619297</v>
      </c>
      <c r="V21" s="28">
        <f t="shared" si="7"/>
        <v>272.36911861026289</v>
      </c>
    </row>
    <row r="23" spans="2:22" ht="15.75">
      <c r="B23" s="15" t="s">
        <v>40</v>
      </c>
      <c r="K23" s="9">
        <v>0</v>
      </c>
      <c r="L23" s="9">
        <f t="shared" ref="L23:T23" si="8">K23+1</f>
        <v>1</v>
      </c>
      <c r="M23" s="9">
        <f t="shared" si="8"/>
        <v>2</v>
      </c>
      <c r="N23" s="9">
        <f t="shared" si="8"/>
        <v>3</v>
      </c>
      <c r="O23" s="9">
        <f t="shared" si="8"/>
        <v>4</v>
      </c>
      <c r="P23" s="9">
        <f t="shared" si="8"/>
        <v>5</v>
      </c>
      <c r="Q23" s="9">
        <f t="shared" si="8"/>
        <v>6</v>
      </c>
      <c r="R23" s="9">
        <f t="shared" si="8"/>
        <v>7</v>
      </c>
      <c r="S23" s="9">
        <f t="shared" si="8"/>
        <v>8</v>
      </c>
      <c r="T23" s="9">
        <f t="shared" si="8"/>
        <v>9</v>
      </c>
      <c r="U23" s="9">
        <f>T23+1</f>
        <v>10</v>
      </c>
      <c r="V23" s="9">
        <f>U23+1</f>
        <v>11</v>
      </c>
    </row>
    <row r="24" spans="2:22">
      <c r="H24">
        <f>224*49%</f>
        <v>109.75999999999999</v>
      </c>
    </row>
    <row r="25" spans="2:22">
      <c r="B25" t="s">
        <v>41</v>
      </c>
      <c r="F25" s="57">
        <v>1</v>
      </c>
      <c r="H25">
        <f>198*49%</f>
        <v>97.02</v>
      </c>
      <c r="J25" s="13">
        <f>IF($F$25=J23,1,0)</f>
        <v>0</v>
      </c>
      <c r="K25" s="13">
        <f t="shared" ref="K25:V25" si="9">IF($F$25=K23,1,0)</f>
        <v>0</v>
      </c>
      <c r="L25" s="13">
        <f t="shared" si="9"/>
        <v>1</v>
      </c>
      <c r="M25" s="13">
        <f t="shared" si="9"/>
        <v>0</v>
      </c>
      <c r="N25" s="13">
        <f t="shared" si="9"/>
        <v>0</v>
      </c>
      <c r="O25" s="13">
        <f t="shared" si="9"/>
        <v>0</v>
      </c>
      <c r="P25" s="13">
        <f t="shared" si="9"/>
        <v>0</v>
      </c>
      <c r="Q25" s="13">
        <f t="shared" si="9"/>
        <v>0</v>
      </c>
      <c r="R25" s="13">
        <f t="shared" si="9"/>
        <v>0</v>
      </c>
      <c r="S25" s="13">
        <f t="shared" si="9"/>
        <v>0</v>
      </c>
      <c r="T25" s="13">
        <f t="shared" si="9"/>
        <v>0</v>
      </c>
      <c r="U25" s="13">
        <f t="shared" si="9"/>
        <v>0</v>
      </c>
      <c r="V25" s="13">
        <f t="shared" si="9"/>
        <v>0</v>
      </c>
    </row>
    <row r="26" spans="2:22">
      <c r="B26" t="s">
        <v>42</v>
      </c>
      <c r="F26" s="98">
        <f>F27</f>
        <v>11</v>
      </c>
      <c r="J26" s="13">
        <f t="shared" ref="J26:V27" si="10">IF($F$26=J23,1,0)*J12</f>
        <v>0</v>
      </c>
      <c r="K26" s="13">
        <f t="shared" si="10"/>
        <v>0</v>
      </c>
      <c r="L26" s="13">
        <f t="shared" si="10"/>
        <v>0</v>
      </c>
      <c r="M26" s="13">
        <f t="shared" si="10"/>
        <v>0</v>
      </c>
      <c r="N26" s="13">
        <f t="shared" si="10"/>
        <v>0</v>
      </c>
      <c r="O26" s="13">
        <f t="shared" si="10"/>
        <v>0</v>
      </c>
      <c r="P26" s="13">
        <f t="shared" si="10"/>
        <v>0</v>
      </c>
      <c r="Q26" s="13">
        <f t="shared" si="10"/>
        <v>0</v>
      </c>
      <c r="R26" s="13">
        <f t="shared" si="10"/>
        <v>0</v>
      </c>
      <c r="S26" s="13">
        <f t="shared" si="10"/>
        <v>0</v>
      </c>
      <c r="T26" s="13">
        <f t="shared" si="10"/>
        <v>0</v>
      </c>
      <c r="U26" s="13">
        <f t="shared" si="10"/>
        <v>0</v>
      </c>
      <c r="V26" s="13">
        <f t="shared" si="10"/>
        <v>1</v>
      </c>
    </row>
    <row r="27" spans="2:22">
      <c r="B27" t="s">
        <v>43</v>
      </c>
      <c r="E27">
        <f>Simulation!I19</f>
        <v>11</v>
      </c>
      <c r="F27" s="57">
        <f>Simulation!I19</f>
        <v>11</v>
      </c>
      <c r="G27" s="17" t="s">
        <v>32</v>
      </c>
      <c r="J27" s="13">
        <f t="shared" si="10"/>
        <v>0</v>
      </c>
      <c r="K27" s="13">
        <f t="shared" si="10"/>
        <v>0</v>
      </c>
      <c r="L27" s="71">
        <f t="shared" ref="L27:V27" si="11">IF(L23=0,0,IF(L23&lt;=$F$27,1,0)*L12)</f>
        <v>1</v>
      </c>
      <c r="M27" s="71">
        <f t="shared" si="11"/>
        <v>1</v>
      </c>
      <c r="N27" s="71">
        <f t="shared" si="11"/>
        <v>1</v>
      </c>
      <c r="O27" s="71">
        <f t="shared" si="11"/>
        <v>1</v>
      </c>
      <c r="P27" s="13">
        <f t="shared" si="11"/>
        <v>1</v>
      </c>
      <c r="Q27" s="13">
        <f t="shared" si="11"/>
        <v>1</v>
      </c>
      <c r="R27" s="13">
        <f t="shared" si="11"/>
        <v>1</v>
      </c>
      <c r="S27" s="71">
        <f t="shared" si="11"/>
        <v>1</v>
      </c>
      <c r="T27" s="13">
        <f t="shared" si="11"/>
        <v>1</v>
      </c>
      <c r="U27" s="13">
        <f t="shared" si="11"/>
        <v>1</v>
      </c>
      <c r="V27" s="13">
        <f t="shared" si="11"/>
        <v>1</v>
      </c>
    </row>
    <row r="29" spans="2:22">
      <c r="B29" s="407" t="s">
        <v>86</v>
      </c>
      <c r="F29" s="57">
        <f>E59</f>
        <v>4</v>
      </c>
      <c r="J29" s="233">
        <f>INDEX(J30:J33,$F$29,0)</f>
        <v>1</v>
      </c>
      <c r="K29" s="233">
        <f t="shared" ref="K29:V29" si="12">INDEX(K30:K33,$F$29,0)</f>
        <v>1</v>
      </c>
      <c r="L29" s="233">
        <f t="shared" si="12"/>
        <v>0.81670038000455869</v>
      </c>
      <c r="M29" s="233">
        <f t="shared" si="12"/>
        <v>0.76</v>
      </c>
      <c r="N29" s="233">
        <f t="shared" si="12"/>
        <v>0.76</v>
      </c>
      <c r="O29" s="233">
        <f t="shared" si="12"/>
        <v>0.76</v>
      </c>
      <c r="P29" s="233">
        <f t="shared" si="12"/>
        <v>0.76</v>
      </c>
      <c r="Q29" s="233">
        <f t="shared" si="12"/>
        <v>0.76</v>
      </c>
      <c r="R29" s="233">
        <f t="shared" si="12"/>
        <v>0.76</v>
      </c>
      <c r="S29" s="233">
        <f t="shared" si="12"/>
        <v>0.76</v>
      </c>
      <c r="T29" s="233">
        <f t="shared" si="12"/>
        <v>0.76</v>
      </c>
      <c r="U29" s="233">
        <f t="shared" si="12"/>
        <v>0.76</v>
      </c>
      <c r="V29" s="233">
        <f t="shared" si="12"/>
        <v>0.76</v>
      </c>
    </row>
    <row r="30" spans="2:22">
      <c r="B30" s="407" t="s">
        <v>87</v>
      </c>
      <c r="J30" s="35">
        <v>1</v>
      </c>
      <c r="K30" s="35">
        <v>0.8</v>
      </c>
      <c r="L30" s="35">
        <v>0.8</v>
      </c>
      <c r="M30" s="35">
        <v>0.8</v>
      </c>
      <c r="N30" s="35">
        <v>0.8</v>
      </c>
      <c r="O30" s="35">
        <v>0.8</v>
      </c>
      <c r="P30" s="35">
        <v>0.8</v>
      </c>
      <c r="Q30" s="35">
        <v>0.8</v>
      </c>
      <c r="R30" s="35">
        <v>0.8</v>
      </c>
      <c r="S30" s="35">
        <v>0.8</v>
      </c>
      <c r="T30" s="35">
        <v>0.8</v>
      </c>
      <c r="U30" s="35">
        <v>0.8</v>
      </c>
      <c r="V30" s="35">
        <v>0.8</v>
      </c>
    </row>
    <row r="31" spans="2:22">
      <c r="B31" s="407" t="s">
        <v>88</v>
      </c>
      <c r="J31" s="35">
        <f>J30</f>
        <v>1</v>
      </c>
      <c r="K31" s="35">
        <f>K30</f>
        <v>0.8</v>
      </c>
      <c r="L31" s="35">
        <f>L30</f>
        <v>0.8</v>
      </c>
      <c r="M31" s="35">
        <f>M30</f>
        <v>0.8</v>
      </c>
      <c r="N31" s="35">
        <v>0.51</v>
      </c>
      <c r="O31" s="35">
        <v>0.51</v>
      </c>
      <c r="P31" s="35">
        <v>0.51</v>
      </c>
      <c r="Q31" s="35">
        <v>0.51</v>
      </c>
      <c r="R31" s="35">
        <v>0.51</v>
      </c>
      <c r="S31" s="35">
        <v>0.51</v>
      </c>
      <c r="T31" s="35">
        <v>0.51</v>
      </c>
      <c r="U31" s="35">
        <v>0.51</v>
      </c>
      <c r="V31" s="35">
        <v>0.51</v>
      </c>
    </row>
    <row r="32" spans="2:22">
      <c r="B32" s="407" t="s">
        <v>89</v>
      </c>
      <c r="J32" s="35">
        <f>J31</f>
        <v>1</v>
      </c>
      <c r="K32" s="35">
        <f>J32</f>
        <v>1</v>
      </c>
      <c r="L32" s="35">
        <f>100%-'Calculation FKS PoV'!F160</f>
        <v>0.67468374676925214</v>
      </c>
      <c r="M32" s="35">
        <f>100%-'Calculation FKS PoV'!F162</f>
        <v>0.51</v>
      </c>
      <c r="N32" s="35">
        <f t="shared" ref="N32:V33" si="13">M32</f>
        <v>0.51</v>
      </c>
      <c r="O32" s="35">
        <f t="shared" si="13"/>
        <v>0.51</v>
      </c>
      <c r="P32" s="35">
        <f t="shared" si="13"/>
        <v>0.51</v>
      </c>
      <c r="Q32" s="35">
        <f t="shared" si="13"/>
        <v>0.51</v>
      </c>
      <c r="R32" s="35">
        <f t="shared" si="13"/>
        <v>0.51</v>
      </c>
      <c r="S32" s="35">
        <f t="shared" si="13"/>
        <v>0.51</v>
      </c>
      <c r="T32" s="35">
        <f t="shared" si="13"/>
        <v>0.51</v>
      </c>
      <c r="U32" s="35">
        <f t="shared" si="13"/>
        <v>0.51</v>
      </c>
      <c r="V32" s="35">
        <f t="shared" si="13"/>
        <v>0.51</v>
      </c>
    </row>
    <row r="33" spans="2:22">
      <c r="B33" s="407" t="s">
        <v>89</v>
      </c>
      <c r="J33" s="35">
        <f>1-IFERROR(SUM($J$44:J44)/$F$41,1)</f>
        <v>1</v>
      </c>
      <c r="K33" s="35">
        <f>1-IFERROR(SUM($J$44:K44)/$F$41,1)</f>
        <v>1</v>
      </c>
      <c r="L33" s="35">
        <v>0.81670038000455869</v>
      </c>
      <c r="M33" s="35">
        <v>0.76</v>
      </c>
      <c r="N33" s="35">
        <f>M33</f>
        <v>0.76</v>
      </c>
      <c r="O33" s="35">
        <f t="shared" si="13"/>
        <v>0.76</v>
      </c>
      <c r="P33" s="35">
        <f t="shared" si="13"/>
        <v>0.76</v>
      </c>
      <c r="Q33" s="35">
        <f t="shared" si="13"/>
        <v>0.76</v>
      </c>
      <c r="R33" s="35">
        <f t="shared" si="13"/>
        <v>0.76</v>
      </c>
      <c r="S33" s="35">
        <f t="shared" si="13"/>
        <v>0.76</v>
      </c>
      <c r="T33" s="35">
        <f t="shared" si="13"/>
        <v>0.76</v>
      </c>
      <c r="U33" s="35">
        <f t="shared" si="13"/>
        <v>0.76</v>
      </c>
      <c r="V33" s="35">
        <f t="shared" si="13"/>
        <v>0.76</v>
      </c>
    </row>
    <row r="34" spans="2:22">
      <c r="G34">
        <f>Output_FSL!S49/USD_IDR*Thousands</f>
        <v>42.686251835727525</v>
      </c>
      <c r="L34" s="21"/>
    </row>
    <row r="35" spans="2:22" ht="15.75">
      <c r="B35" s="15" t="s">
        <v>90</v>
      </c>
      <c r="F35" s="31">
        <f>SUM(F36:F37)</f>
        <v>1</v>
      </c>
      <c r="G35" s="203">
        <f>G34*7</f>
        <v>298.80376285009265</v>
      </c>
    </row>
    <row r="36" spans="2:22">
      <c r="B36" s="407" t="s">
        <v>91</v>
      </c>
      <c r="F36" s="35">
        <v>1</v>
      </c>
      <c r="I36" s="97">
        <f>SUM(J36:V36)</f>
        <v>2.5832996199954419</v>
      </c>
      <c r="J36" s="232">
        <f t="shared" ref="J36:V37" si="14">($F$35-J$29)*$F36</f>
        <v>0</v>
      </c>
      <c r="K36" s="232">
        <f t="shared" si="14"/>
        <v>0</v>
      </c>
      <c r="L36" s="232">
        <f t="shared" si="14"/>
        <v>0.18329961999544131</v>
      </c>
      <c r="M36" s="232">
        <f t="shared" si="14"/>
        <v>0.24</v>
      </c>
      <c r="N36" s="232">
        <f t="shared" si="14"/>
        <v>0.24</v>
      </c>
      <c r="O36" s="232">
        <f t="shared" si="14"/>
        <v>0.24</v>
      </c>
      <c r="P36" s="232">
        <f t="shared" si="14"/>
        <v>0.24</v>
      </c>
      <c r="Q36" s="232">
        <f t="shared" si="14"/>
        <v>0.24</v>
      </c>
      <c r="R36" s="232">
        <f t="shared" si="14"/>
        <v>0.24</v>
      </c>
      <c r="S36" s="232">
        <f t="shared" si="14"/>
        <v>0.24</v>
      </c>
      <c r="T36" s="232">
        <f t="shared" si="14"/>
        <v>0.24</v>
      </c>
      <c r="U36" s="232">
        <f t="shared" si="14"/>
        <v>0.24</v>
      </c>
      <c r="V36" s="232">
        <f t="shared" si="14"/>
        <v>0.24</v>
      </c>
    </row>
    <row r="37" spans="2:22">
      <c r="B37" s="407" t="s">
        <v>92</v>
      </c>
      <c r="F37" s="232">
        <f>100%-F36</f>
        <v>0</v>
      </c>
      <c r="I37" s="97">
        <f>SUM(J37:V37)</f>
        <v>0</v>
      </c>
      <c r="J37" s="232">
        <f t="shared" si="14"/>
        <v>0</v>
      </c>
      <c r="K37" s="232">
        <f t="shared" si="14"/>
        <v>0</v>
      </c>
      <c r="L37" s="232">
        <f t="shared" si="14"/>
        <v>0</v>
      </c>
      <c r="M37" s="232">
        <f t="shared" si="14"/>
        <v>0</v>
      </c>
      <c r="N37" s="232">
        <f t="shared" si="14"/>
        <v>0</v>
      </c>
      <c r="O37" s="232">
        <f t="shared" si="14"/>
        <v>0</v>
      </c>
      <c r="P37" s="232">
        <f t="shared" si="14"/>
        <v>0</v>
      </c>
      <c r="Q37" s="232">
        <f t="shared" si="14"/>
        <v>0</v>
      </c>
      <c r="R37" s="232">
        <f t="shared" si="14"/>
        <v>0</v>
      </c>
      <c r="S37" s="232">
        <f t="shared" si="14"/>
        <v>0</v>
      </c>
      <c r="T37" s="232">
        <f t="shared" si="14"/>
        <v>0</v>
      </c>
      <c r="U37" s="232">
        <f t="shared" si="14"/>
        <v>0</v>
      </c>
      <c r="V37" s="232">
        <f t="shared" si="14"/>
        <v>0</v>
      </c>
    </row>
    <row r="38" spans="2:22">
      <c r="B38" s="28" t="s">
        <v>53</v>
      </c>
      <c r="C38" s="28"/>
      <c r="D38" s="28"/>
      <c r="E38" s="28"/>
      <c r="F38" s="28"/>
      <c r="G38" s="28"/>
      <c r="H38" s="28"/>
      <c r="I38" s="97">
        <f>SUM(J38:V38)</f>
        <v>2.5832996199954419</v>
      </c>
      <c r="J38" s="275">
        <f t="shared" ref="J38:V38" si="15">SUM(J36:J37)</f>
        <v>0</v>
      </c>
      <c r="K38" s="274">
        <f t="shared" si="15"/>
        <v>0</v>
      </c>
      <c r="L38" s="274">
        <f t="shared" si="15"/>
        <v>0.18329961999544131</v>
      </c>
      <c r="M38" s="274">
        <f t="shared" si="15"/>
        <v>0.24</v>
      </c>
      <c r="N38" s="274">
        <f t="shared" si="15"/>
        <v>0.24</v>
      </c>
      <c r="O38" s="274">
        <f t="shared" si="15"/>
        <v>0.24</v>
      </c>
      <c r="P38" s="274">
        <f t="shared" si="15"/>
        <v>0.24</v>
      </c>
      <c r="Q38" s="274">
        <f t="shared" si="15"/>
        <v>0.24</v>
      </c>
      <c r="R38" s="274">
        <f t="shared" si="15"/>
        <v>0.24</v>
      </c>
      <c r="S38" s="274">
        <f t="shared" si="15"/>
        <v>0.24</v>
      </c>
      <c r="T38" s="274">
        <f t="shared" si="15"/>
        <v>0.24</v>
      </c>
      <c r="U38" s="274">
        <f t="shared" si="15"/>
        <v>0.24</v>
      </c>
      <c r="V38" s="274">
        <f t="shared" si="15"/>
        <v>0.24</v>
      </c>
    </row>
    <row r="40" spans="2:22">
      <c r="F40" s="9" t="s">
        <v>93</v>
      </c>
      <c r="G40" s="9" t="s">
        <v>94</v>
      </c>
      <c r="N40" s="203"/>
    </row>
    <row r="41" spans="2:22">
      <c r="B41" s="407" t="s">
        <v>95</v>
      </c>
      <c r="F41" s="57">
        <v>114</v>
      </c>
      <c r="G41" s="57">
        <f>F41+I44</f>
        <v>149.64559820239194</v>
      </c>
      <c r="I41" s="98">
        <f>SUM(J41:V41)</f>
        <v>181.78718191862748</v>
      </c>
      <c r="J41">
        <f>IFERROR(SUM(J44)/J38,0)</f>
        <v>0</v>
      </c>
      <c r="K41">
        <f t="shared" ref="K41:V41" si="16">IFERROR(SUM(K44)/K38,0)</f>
        <v>0</v>
      </c>
      <c r="L41">
        <f t="shared" si="16"/>
        <v>140.79844716096787</v>
      </c>
      <c r="M41">
        <f t="shared" si="16"/>
        <v>40.9887347576596</v>
      </c>
      <c r="N41">
        <f t="shared" si="16"/>
        <v>0</v>
      </c>
      <c r="O41">
        <f t="shared" si="16"/>
        <v>0</v>
      </c>
      <c r="P41">
        <f t="shared" si="16"/>
        <v>0</v>
      </c>
      <c r="Q41">
        <f t="shared" si="16"/>
        <v>0</v>
      </c>
      <c r="R41">
        <f t="shared" si="16"/>
        <v>0</v>
      </c>
      <c r="S41">
        <f t="shared" si="16"/>
        <v>0</v>
      </c>
      <c r="T41">
        <f t="shared" si="16"/>
        <v>0</v>
      </c>
      <c r="U41">
        <f t="shared" si="16"/>
        <v>0</v>
      </c>
      <c r="V41">
        <f t="shared" si="16"/>
        <v>0</v>
      </c>
    </row>
    <row r="42" spans="2:22">
      <c r="B42" s="407" t="s">
        <v>96</v>
      </c>
      <c r="F42">
        <v>110</v>
      </c>
      <c r="I42" s="276">
        <f>F41</f>
        <v>114</v>
      </c>
      <c r="J42" s="98">
        <f>IF(J14=1,$F$41,IF(J41&lt;1,I42,SUM($J$44:J44)/J38))</f>
        <v>114</v>
      </c>
      <c r="K42" s="98">
        <f>IF(K14=1,$F$41,IF(K41&lt;1,J42,SUM($J$44:K44)/K38))</f>
        <v>114</v>
      </c>
      <c r="L42" s="98">
        <f>IF(L14=1,$F$41,IF(L41&lt;1,K42,SUM($J$44:L44)/L38))</f>
        <v>140.79844716096787</v>
      </c>
      <c r="M42" s="98">
        <f>IF(M14=1,$F$41,IF(M41&lt;1,L42,SUM($J$44:M44)/M38))</f>
        <v>148.52332584329974</v>
      </c>
      <c r="N42" s="98">
        <f>IF(N14=1,$F$41,IF(N41&lt;1,M42,SUM($J$44:N44)/N38))</f>
        <v>148.52332584329974</v>
      </c>
      <c r="O42" s="98">
        <f>IF(O14=1,$F$41,IF(O41&lt;1,N42,SUM($J$44:O44)/O38))</f>
        <v>148.52332584329974</v>
      </c>
      <c r="P42" s="98">
        <f>IF(P14=1,$F$41,IF(P41&lt;1,O42,SUM($J$44:P44)/P38))</f>
        <v>148.52332584329974</v>
      </c>
      <c r="Q42" s="98">
        <f>IF(Q14=1,$F$41,IF(Q41&lt;1,P42,SUM($J$44:Q44)/Q38))</f>
        <v>148.52332584329974</v>
      </c>
      <c r="R42" s="98">
        <f>IF(R14=1,$F$41,IF(R41&lt;1,Q42,SUM($J$44:R44)/R38))</f>
        <v>148.52332584329974</v>
      </c>
      <c r="S42" s="98">
        <f>IF(S14=1,$F$41,IF(S41&lt;1,R42,SUM($J$44:S44)/S38))</f>
        <v>148.52332584329974</v>
      </c>
      <c r="T42" s="98">
        <f>IF(T14=1,$F$41,IF(T41&lt;1,S42,SUM($J$44:T44)/T38))</f>
        <v>148.52332584329974</v>
      </c>
      <c r="U42" s="98">
        <f>IF(U14=1,$F$41,IF(U41&lt;1,T42,SUM($J$44:U44)/U38))</f>
        <v>148.52332584329974</v>
      </c>
      <c r="V42" s="98">
        <f>IF(V14=1,$F$41,IF(V41&lt;1,U42,SUM($J$44:V44)/V38))</f>
        <v>148.52332584329974</v>
      </c>
    </row>
    <row r="43" spans="2:22">
      <c r="F43">
        <f>F41+F42</f>
        <v>224</v>
      </c>
      <c r="L43" s="203"/>
      <c r="M43" s="99"/>
    </row>
    <row r="44" spans="2:22" ht="15.75">
      <c r="B44" s="15" t="s">
        <v>97</v>
      </c>
      <c r="I44" s="98">
        <f>SUM(J44:V44)</f>
        <v>35.645598202391938</v>
      </c>
      <c r="J44" s="231">
        <f>Calculation_FSL!J1494</f>
        <v>0</v>
      </c>
      <c r="K44" s="231">
        <f>Calculation_FSL!K1494</f>
        <v>0</v>
      </c>
      <c r="L44" s="231">
        <f>Calculation_FSL!L1494</f>
        <v>25.80830186055363</v>
      </c>
      <c r="M44" s="231">
        <f>Calculation_FSL!M1494</f>
        <v>9.8372963418383037</v>
      </c>
      <c r="N44" s="29">
        <f>Calculation_FSL!N1494</f>
        <v>0</v>
      </c>
      <c r="O44" s="29">
        <f>Calculation_FSL!O1494</f>
        <v>0</v>
      </c>
      <c r="P44" s="29">
        <f>Calculation_FSL!P1494</f>
        <v>0</v>
      </c>
      <c r="Q44" s="29">
        <f>Calculation_FSL!Q1494</f>
        <v>0</v>
      </c>
      <c r="R44" s="29">
        <f>Calculation_FSL!R1494</f>
        <v>0</v>
      </c>
      <c r="S44" s="29">
        <f>Calculation_FSL!S1494</f>
        <v>0</v>
      </c>
      <c r="T44" s="29">
        <f>Calculation_FSL!T1494</f>
        <v>0</v>
      </c>
      <c r="U44" s="29">
        <f>Calculation_FSL!U1494</f>
        <v>0</v>
      </c>
      <c r="V44" s="29">
        <f>Calculation_FSL!V1494</f>
        <v>0</v>
      </c>
    </row>
    <row r="45" spans="2:22">
      <c r="B45" s="407" t="s">
        <v>98</v>
      </c>
      <c r="I45" s="98">
        <f>SUM(J45:V45)</f>
        <v>35.645598202391938</v>
      </c>
      <c r="J45">
        <f t="shared" ref="J45:V45" si="17">J$44*$F36</f>
        <v>0</v>
      </c>
      <c r="K45">
        <f t="shared" si="17"/>
        <v>0</v>
      </c>
      <c r="L45" s="462">
        <f t="shared" si="17"/>
        <v>25.80830186055363</v>
      </c>
      <c r="M45">
        <f t="shared" si="17"/>
        <v>9.8372963418383037</v>
      </c>
      <c r="N45">
        <f t="shared" si="17"/>
        <v>0</v>
      </c>
      <c r="O45">
        <f t="shared" si="17"/>
        <v>0</v>
      </c>
      <c r="P45">
        <f t="shared" si="17"/>
        <v>0</v>
      </c>
      <c r="Q45">
        <f t="shared" si="17"/>
        <v>0</v>
      </c>
      <c r="R45">
        <f t="shared" si="17"/>
        <v>0</v>
      </c>
      <c r="S45">
        <f t="shared" si="17"/>
        <v>0</v>
      </c>
      <c r="T45">
        <f t="shared" si="17"/>
        <v>0</v>
      </c>
      <c r="U45">
        <f t="shared" si="17"/>
        <v>0</v>
      </c>
      <c r="V45">
        <f t="shared" si="17"/>
        <v>0</v>
      </c>
    </row>
    <row r="46" spans="2:22">
      <c r="B46" s="407" t="s">
        <v>99</v>
      </c>
      <c r="F46" s="9" t="s">
        <v>100</v>
      </c>
      <c r="I46" s="98">
        <f>SUM(J46:V46)</f>
        <v>0</v>
      </c>
      <c r="J46">
        <f t="shared" ref="J46:V46" si="18">J$44*$F37</f>
        <v>0</v>
      </c>
      <c r="K46">
        <f t="shared" si="18"/>
        <v>0</v>
      </c>
      <c r="L46">
        <f t="shared" si="18"/>
        <v>0</v>
      </c>
      <c r="M46">
        <f t="shared" si="18"/>
        <v>0</v>
      </c>
      <c r="N46">
        <f t="shared" si="18"/>
        <v>0</v>
      </c>
      <c r="O46">
        <f t="shared" si="18"/>
        <v>0</v>
      </c>
      <c r="P46">
        <f t="shared" si="18"/>
        <v>0</v>
      </c>
      <c r="Q46">
        <f t="shared" si="18"/>
        <v>0</v>
      </c>
      <c r="R46">
        <f t="shared" si="18"/>
        <v>0</v>
      </c>
      <c r="S46">
        <f t="shared" si="18"/>
        <v>0</v>
      </c>
      <c r="T46">
        <f t="shared" si="18"/>
        <v>0</v>
      </c>
      <c r="U46">
        <f t="shared" si="18"/>
        <v>0</v>
      </c>
      <c r="V46">
        <f t="shared" si="18"/>
        <v>0</v>
      </c>
    </row>
    <row r="47" spans="2:22">
      <c r="B47" s="407" t="s">
        <v>100</v>
      </c>
      <c r="F47" s="35">
        <v>0.22</v>
      </c>
      <c r="I47" s="236">
        <f>SUM(J47:V47)</f>
        <v>0</v>
      </c>
      <c r="J47" s="23">
        <f>-IF($F$29=3,SUM(J42,-I42)*J38*$F$47,SUM(J42,-I42)*J37*$F$47)</f>
        <v>0</v>
      </c>
      <c r="K47" s="23">
        <f>-IF($F$29=3,SUM(K42,-J42)*K38*$F$47,SUM(K42,-J42)*K37*$F$47)</f>
        <v>0</v>
      </c>
      <c r="L47" s="23">
        <f t="shared" ref="L47:V47" si="19">-IF($F$29=3,SUM(L42,-K42)*L38*$F$47,SUM(L42,-K42)*L37*$F$47)</f>
        <v>0</v>
      </c>
      <c r="M47" s="23">
        <f t="shared" si="19"/>
        <v>0</v>
      </c>
      <c r="N47" s="23">
        <f t="shared" si="19"/>
        <v>0</v>
      </c>
      <c r="O47" s="23">
        <f t="shared" si="19"/>
        <v>0</v>
      </c>
      <c r="P47" s="23">
        <f t="shared" si="19"/>
        <v>0</v>
      </c>
      <c r="Q47" s="23">
        <f t="shared" si="19"/>
        <v>0</v>
      </c>
      <c r="R47" s="23">
        <f t="shared" si="19"/>
        <v>0</v>
      </c>
      <c r="S47" s="23">
        <f t="shared" si="19"/>
        <v>0</v>
      </c>
      <c r="T47" s="23">
        <f t="shared" si="19"/>
        <v>0</v>
      </c>
      <c r="U47" s="23">
        <f t="shared" si="19"/>
        <v>0</v>
      </c>
      <c r="V47" s="23">
        <f t="shared" si="19"/>
        <v>0</v>
      </c>
    </row>
    <row r="48" spans="2:22">
      <c r="B48" s="28" t="s">
        <v>53</v>
      </c>
      <c r="C48" s="28"/>
      <c r="D48" s="28"/>
      <c r="E48" s="28"/>
      <c r="F48" s="28"/>
      <c r="G48" s="28"/>
      <c r="H48" s="28"/>
      <c r="I48" s="28"/>
      <c r="J48" s="28">
        <f>SUM(J45:J47)</f>
        <v>0</v>
      </c>
      <c r="K48" s="28">
        <f t="shared" ref="K48:V48" si="20">SUM(K45:K47)</f>
        <v>0</v>
      </c>
      <c r="L48" s="28">
        <f t="shared" si="20"/>
        <v>25.80830186055363</v>
      </c>
      <c r="M48" s="28">
        <f t="shared" si="20"/>
        <v>9.8372963418383037</v>
      </c>
      <c r="N48" s="28">
        <f t="shared" si="20"/>
        <v>0</v>
      </c>
      <c r="O48" s="28">
        <f t="shared" si="20"/>
        <v>0</v>
      </c>
      <c r="P48" s="28">
        <f t="shared" si="20"/>
        <v>0</v>
      </c>
      <c r="Q48" s="28">
        <f t="shared" si="20"/>
        <v>0</v>
      </c>
      <c r="R48" s="28">
        <f t="shared" si="20"/>
        <v>0</v>
      </c>
      <c r="S48" s="28">
        <f t="shared" si="20"/>
        <v>0</v>
      </c>
      <c r="T48" s="28">
        <f t="shared" si="20"/>
        <v>0</v>
      </c>
      <c r="U48" s="28">
        <f t="shared" si="20"/>
        <v>0</v>
      </c>
      <c r="V48" s="28">
        <f t="shared" si="20"/>
        <v>0</v>
      </c>
    </row>
    <row r="49" spans="2:22">
      <c r="B49" s="407" t="s">
        <v>101</v>
      </c>
      <c r="J49">
        <f>SUM($J$48:J48)</f>
        <v>0</v>
      </c>
      <c r="K49">
        <f>SUM($J$48:K48)</f>
        <v>0</v>
      </c>
      <c r="L49">
        <f>SUM($J$48:L48)</f>
        <v>25.80830186055363</v>
      </c>
      <c r="M49">
        <f>SUM($J$48:M48)</f>
        <v>35.645598202391938</v>
      </c>
      <c r="N49">
        <f>SUM($J$48:N48)</f>
        <v>35.645598202391938</v>
      </c>
      <c r="O49">
        <f>SUM($J$48:O48)</f>
        <v>35.645598202391938</v>
      </c>
      <c r="P49">
        <f>SUM($J$48:P48)</f>
        <v>35.645598202391938</v>
      </c>
      <c r="Q49">
        <f>SUM($J$48:Q48)</f>
        <v>35.645598202391938</v>
      </c>
      <c r="R49">
        <f>SUM($J$48:R48)</f>
        <v>35.645598202391938</v>
      </c>
      <c r="S49">
        <f>SUM($J$48:S48)</f>
        <v>35.645598202391938</v>
      </c>
      <c r="T49">
        <f>SUM($J$48:T48)</f>
        <v>35.645598202391938</v>
      </c>
      <c r="U49">
        <f>SUM($J$48:U48)</f>
        <v>35.645598202391938</v>
      </c>
      <c r="V49">
        <f>SUM($J$48:V48)</f>
        <v>35.645598202391938</v>
      </c>
    </row>
    <row r="50" spans="2:22">
      <c r="B50" s="407"/>
      <c r="K50" s="424"/>
    </row>
    <row r="51" spans="2:22" ht="15.75">
      <c r="B51" s="15" t="s">
        <v>102</v>
      </c>
      <c r="F51" s="35"/>
    </row>
    <row r="52" spans="2:22">
      <c r="B52" s="407" t="s">
        <v>103</v>
      </c>
      <c r="F52" s="35">
        <v>0.8</v>
      </c>
      <c r="I52" s="97">
        <f>SUM(J52:V52)</f>
        <v>170.84497025164782</v>
      </c>
      <c r="J52">
        <f t="shared" ref="J52:V52" si="21">J20*J29*J26*85%</f>
        <v>0</v>
      </c>
      <c r="K52">
        <f t="shared" si="21"/>
        <v>0</v>
      </c>
      <c r="L52">
        <f t="shared" si="21"/>
        <v>0</v>
      </c>
      <c r="M52">
        <f t="shared" si="21"/>
        <v>0</v>
      </c>
      <c r="N52">
        <f t="shared" si="21"/>
        <v>0</v>
      </c>
      <c r="O52">
        <f t="shared" si="21"/>
        <v>0</v>
      </c>
      <c r="P52">
        <f t="shared" si="21"/>
        <v>0</v>
      </c>
      <c r="Q52">
        <f t="shared" si="21"/>
        <v>0</v>
      </c>
      <c r="R52">
        <f t="shared" si="21"/>
        <v>0</v>
      </c>
      <c r="S52">
        <f t="shared" si="21"/>
        <v>0</v>
      </c>
      <c r="T52">
        <f t="shared" si="21"/>
        <v>0</v>
      </c>
      <c r="U52">
        <f t="shared" si="21"/>
        <v>0</v>
      </c>
      <c r="V52">
        <f t="shared" si="21"/>
        <v>170.84497025164782</v>
      </c>
    </row>
    <row r="53" spans="2:22">
      <c r="B53" s="407" t="s">
        <v>104</v>
      </c>
      <c r="I53" s="97">
        <f>SUM(J53:V53)</f>
        <v>42.891398322153925</v>
      </c>
      <c r="J53">
        <f>J29*J19*(85%)*J27</f>
        <v>0</v>
      </c>
      <c r="K53">
        <f t="shared" ref="K53:V53" si="22">K29*K19*(85%)*K27</f>
        <v>0</v>
      </c>
      <c r="L53" s="88">
        <f t="shared" si="22"/>
        <v>2.0059017452535408</v>
      </c>
      <c r="M53" s="88">
        <f t="shared" si="22"/>
        <v>2.633312804518428</v>
      </c>
      <c r="N53" s="22">
        <f t="shared" si="22"/>
        <v>3.0126513775262604</v>
      </c>
      <c r="O53" s="88">
        <f t="shared" si="22"/>
        <v>3.4947810780687538</v>
      </c>
      <c r="P53" s="22">
        <f t="shared" si="22"/>
        <v>3.685130820252021</v>
      </c>
      <c r="Q53" s="22">
        <f t="shared" si="22"/>
        <v>4.0739002366915686</v>
      </c>
      <c r="R53" s="22">
        <f t="shared" si="22"/>
        <v>4.2939431844789251</v>
      </c>
      <c r="S53" s="22">
        <f t="shared" si="22"/>
        <v>4.7205485651384782</v>
      </c>
      <c r="T53" s="22">
        <f t="shared" si="22"/>
        <v>4.9604358710341874</v>
      </c>
      <c r="U53" s="22">
        <f t="shared" si="22"/>
        <v>4.9053122686097748</v>
      </c>
      <c r="V53" s="22">
        <f t="shared" si="22"/>
        <v>5.1054803705819864</v>
      </c>
    </row>
    <row r="54" spans="2:22">
      <c r="B54" s="407" t="s">
        <v>105</v>
      </c>
      <c r="I54" s="97">
        <f>SUM(J54:V54)</f>
        <v>0</v>
      </c>
      <c r="J54">
        <f>Calculation_FSL!J$1502*(78%)*J27*0</f>
        <v>0</v>
      </c>
      <c r="K54">
        <f>Calculation_FSL!K$1502*(78%)*K27*0</f>
        <v>0</v>
      </c>
      <c r="L54">
        <f>Calculation_FSL!L$1502*(78%)*L27*0</f>
        <v>0</v>
      </c>
      <c r="M54">
        <f>Calculation_FSL!M$1502*(78%)*M27*0</f>
        <v>0</v>
      </c>
      <c r="N54">
        <f>Calculation_FSL!N$1502*(78%)*N27*0</f>
        <v>0</v>
      </c>
      <c r="O54">
        <f>Calculation_FSL!O$1502*(78%)*O27*0</f>
        <v>0</v>
      </c>
      <c r="P54">
        <f>Calculation_FSL!P$1502*(78%)*P27*0</f>
        <v>0</v>
      </c>
      <c r="Q54">
        <f>Calculation_FSL!Q$1502*(78%)*Q27*0</f>
        <v>0</v>
      </c>
      <c r="R54">
        <f>Calculation_FSL!R$1502*(78%)*R27*0</f>
        <v>0</v>
      </c>
      <c r="S54">
        <f>Calculation_FSL!S$1502*(78%)*S27*0</f>
        <v>0</v>
      </c>
      <c r="T54">
        <f>Calculation_FSL!T$1502*(78%)*T27*0</f>
        <v>0</v>
      </c>
      <c r="U54">
        <f>Calculation_FSL!U$1502*(78%)*U27*0</f>
        <v>0</v>
      </c>
      <c r="V54">
        <f>Calculation_FSL!V$1502*(78%)*V27*0</f>
        <v>0</v>
      </c>
    </row>
    <row r="55" spans="2:22">
      <c r="B55" s="28" t="s">
        <v>53</v>
      </c>
      <c r="C55" s="28"/>
      <c r="D55" s="28"/>
      <c r="E55" s="28"/>
      <c r="F55" s="28"/>
      <c r="G55" s="28"/>
      <c r="H55" s="28"/>
      <c r="I55" s="307">
        <f>SUM(J55:V55)</f>
        <v>213.73636857380177</v>
      </c>
      <c r="J55" s="28">
        <f>SUM(J52:J54)</f>
        <v>0</v>
      </c>
      <c r="K55" s="28">
        <f t="shared" ref="K55:V55" si="23">SUM(K52:K54)</f>
        <v>0</v>
      </c>
      <c r="L55" s="28">
        <f t="shared" si="23"/>
        <v>2.0059017452535408</v>
      </c>
      <c r="M55" s="28">
        <f t="shared" si="23"/>
        <v>2.633312804518428</v>
      </c>
      <c r="N55" s="28">
        <f t="shared" si="23"/>
        <v>3.0126513775262604</v>
      </c>
      <c r="O55" s="28">
        <f t="shared" si="23"/>
        <v>3.4947810780687538</v>
      </c>
      <c r="P55" s="28">
        <f t="shared" si="23"/>
        <v>3.685130820252021</v>
      </c>
      <c r="Q55" s="28">
        <f t="shared" si="23"/>
        <v>4.0739002366915686</v>
      </c>
      <c r="R55" s="28">
        <f t="shared" si="23"/>
        <v>4.2939431844789251</v>
      </c>
      <c r="S55" s="28">
        <f t="shared" si="23"/>
        <v>4.7205485651384782</v>
      </c>
      <c r="T55" s="28">
        <f t="shared" si="23"/>
        <v>4.9604358710341874</v>
      </c>
      <c r="U55" s="28">
        <f t="shared" si="23"/>
        <v>4.9053122686097748</v>
      </c>
      <c r="V55" s="28">
        <f t="shared" si="23"/>
        <v>175.95045062222982</v>
      </c>
    </row>
    <row r="57" spans="2:22" ht="15.75">
      <c r="B57" s="15" t="s">
        <v>106</v>
      </c>
    </row>
    <row r="58" spans="2:22">
      <c r="B58" s="407" t="s">
        <v>107</v>
      </c>
      <c r="D58" s="407" t="s">
        <v>108</v>
      </c>
      <c r="E58" s="407" t="s">
        <v>109</v>
      </c>
      <c r="F58" s="407" t="s">
        <v>110</v>
      </c>
      <c r="J58" s="233">
        <f t="shared" ref="J58:V58" si="24">100%-J29</f>
        <v>0</v>
      </c>
      <c r="K58" s="233">
        <f t="shared" si="24"/>
        <v>0</v>
      </c>
      <c r="L58" s="233">
        <f t="shared" si="24"/>
        <v>0.18329961999544131</v>
      </c>
      <c r="M58" s="233">
        <f t="shared" si="24"/>
        <v>0.24</v>
      </c>
      <c r="N58" s="232">
        <f t="shared" si="24"/>
        <v>0.24</v>
      </c>
      <c r="O58" s="232">
        <f t="shared" si="24"/>
        <v>0.24</v>
      </c>
      <c r="P58" s="233">
        <f t="shared" si="24"/>
        <v>0.24</v>
      </c>
      <c r="Q58" s="232">
        <f t="shared" si="24"/>
        <v>0.24</v>
      </c>
      <c r="R58" s="232">
        <f t="shared" si="24"/>
        <v>0.24</v>
      </c>
      <c r="S58" s="232">
        <f t="shared" si="24"/>
        <v>0.24</v>
      </c>
      <c r="T58" s="233">
        <f t="shared" si="24"/>
        <v>0.24</v>
      </c>
      <c r="U58" s="232">
        <f t="shared" si="24"/>
        <v>0.24</v>
      </c>
      <c r="V58" s="232">
        <f t="shared" si="24"/>
        <v>0.24</v>
      </c>
    </row>
    <row r="59" spans="2:22">
      <c r="B59" t="s">
        <v>111</v>
      </c>
      <c r="D59" s="407" t="s">
        <v>112</v>
      </c>
      <c r="E59" s="231">
        <v>4</v>
      </c>
      <c r="F59" s="231">
        <v>1</v>
      </c>
      <c r="G59" s="407" t="s">
        <v>113</v>
      </c>
      <c r="I59">
        <f>SUM(J59:V59)</f>
        <v>-35.645598202391938</v>
      </c>
      <c r="J59">
        <f>-Calculation_FSL!J1494*J27</f>
        <v>0</v>
      </c>
      <c r="K59">
        <f>-Calculation_FSL!K1494*K27</f>
        <v>0</v>
      </c>
      <c r="L59">
        <f>-Calculation_FSL!L1494*L27</f>
        <v>-25.80830186055363</v>
      </c>
      <c r="M59">
        <f>-Calculation_FSL!M1494*M27</f>
        <v>-9.8372963418383037</v>
      </c>
      <c r="N59">
        <f>-Calculation_FSL!N1494*N27</f>
        <v>0</v>
      </c>
      <c r="O59">
        <f>-Calculation_FSL!O1494*O27</f>
        <v>0</v>
      </c>
      <c r="P59">
        <f>-Calculation_FSL!P1494*P27</f>
        <v>0</v>
      </c>
      <c r="Q59">
        <f>-Calculation_FSL!Q1494*Q27</f>
        <v>0</v>
      </c>
      <c r="R59">
        <f>-Calculation_FSL!R1494*R27</f>
        <v>0</v>
      </c>
      <c r="S59">
        <f>-Calculation_FSL!S1494*S27</f>
        <v>0</v>
      </c>
      <c r="T59">
        <f>-Calculation_FSL!T1494*T27</f>
        <v>0</v>
      </c>
      <c r="U59">
        <f>-Calculation_FSL!U1494*U27</f>
        <v>0</v>
      </c>
      <c r="V59">
        <f>-Calculation_FSL!V1494*V27</f>
        <v>0</v>
      </c>
    </row>
    <row r="60" spans="2:22">
      <c r="B60" t="s">
        <v>114</v>
      </c>
      <c r="D60" s="407" t="s">
        <v>115</v>
      </c>
      <c r="F60" s="35"/>
      <c r="G60" s="407" t="s">
        <v>116</v>
      </c>
      <c r="I60">
        <f>SUM(J60:V60)</f>
        <v>13.361412526730305</v>
      </c>
      <c r="J60" s="1">
        <f>IF($F$59=1,J58*J19*85%*J27,J58*J19*J27)</f>
        <v>0</v>
      </c>
      <c r="K60" s="1">
        <f t="shared" ref="K60:V60" si="25">IF($F$59=1,K58*K19*85%*K27,K58*K19*K27)</f>
        <v>0</v>
      </c>
      <c r="L60" s="480">
        <f t="shared" si="25"/>
        <v>0.45020308139334303</v>
      </c>
      <c r="M60" s="1">
        <f t="shared" si="25"/>
        <v>0.83157246458476675</v>
      </c>
      <c r="N60" s="1">
        <f t="shared" si="25"/>
        <v>0.95136359290302963</v>
      </c>
      <c r="O60" s="1">
        <f t="shared" si="25"/>
        <v>1.1036150772848694</v>
      </c>
      <c r="P60" s="1">
        <f t="shared" si="25"/>
        <v>1.1637255221848486</v>
      </c>
      <c r="Q60" s="1">
        <f t="shared" si="25"/>
        <v>1.2864948115868111</v>
      </c>
      <c r="R60" s="1">
        <f t="shared" si="25"/>
        <v>1.3559820582565025</v>
      </c>
      <c r="S60" s="1">
        <f t="shared" si="25"/>
        <v>1.4906995468858351</v>
      </c>
      <c r="T60" s="1">
        <f t="shared" si="25"/>
        <v>1.5664534329581645</v>
      </c>
      <c r="U60" s="1">
        <f t="shared" si="25"/>
        <v>1.5490459795609814</v>
      </c>
      <c r="V60" s="1">
        <f t="shared" si="25"/>
        <v>1.6122569591311535</v>
      </c>
    </row>
    <row r="61" spans="2:22">
      <c r="B61" t="s">
        <v>117</v>
      </c>
      <c r="D61" s="407" t="s">
        <v>118</v>
      </c>
      <c r="F61" s="35"/>
      <c r="I61">
        <f>SUM(J61:V61)</f>
        <v>0</v>
      </c>
    </row>
    <row r="62" spans="2:22">
      <c r="B62" t="s">
        <v>119</v>
      </c>
      <c r="I62">
        <f>SUM(J62:V62)</f>
        <v>79.131756989884195</v>
      </c>
      <c r="J62">
        <f t="shared" ref="J62:V62" si="26">Exit_Value*J26</f>
        <v>0</v>
      </c>
      <c r="K62">
        <f t="shared" si="26"/>
        <v>0</v>
      </c>
      <c r="L62">
        <f t="shared" si="26"/>
        <v>0</v>
      </c>
      <c r="M62">
        <f t="shared" si="26"/>
        <v>0</v>
      </c>
      <c r="N62">
        <f t="shared" si="26"/>
        <v>0</v>
      </c>
      <c r="O62">
        <f t="shared" si="26"/>
        <v>0</v>
      </c>
      <c r="P62">
        <f t="shared" si="26"/>
        <v>0</v>
      </c>
      <c r="Q62">
        <f t="shared" si="26"/>
        <v>0</v>
      </c>
      <c r="R62">
        <f t="shared" si="26"/>
        <v>0</v>
      </c>
      <c r="S62">
        <f t="shared" si="26"/>
        <v>0</v>
      </c>
      <c r="T62">
        <f t="shared" si="26"/>
        <v>0</v>
      </c>
      <c r="U62">
        <f t="shared" si="26"/>
        <v>0</v>
      </c>
      <c r="V62">
        <f t="shared" si="26"/>
        <v>79.131756989884195</v>
      </c>
    </row>
    <row r="63" spans="2:22">
      <c r="B63" t="s">
        <v>120</v>
      </c>
      <c r="I63">
        <f>SUM(J63:V63)</f>
        <v>-9.5669549332482973</v>
      </c>
      <c r="J63">
        <f>IF($F$59=1,IF(-$I$59&lt;J62,SUM($I62,$I59)*-22%,0),0)</f>
        <v>0</v>
      </c>
      <c r="K63">
        <f t="shared" ref="K63:V63" si="27">IF($F$59=1,IF(-$I$59&lt;K62,SUM($I62,$I59)*-22%,0),0)</f>
        <v>0</v>
      </c>
      <c r="L63">
        <f t="shared" si="27"/>
        <v>0</v>
      </c>
      <c r="M63">
        <f t="shared" si="27"/>
        <v>0</v>
      </c>
      <c r="N63">
        <f t="shared" si="27"/>
        <v>0</v>
      </c>
      <c r="O63">
        <f t="shared" si="27"/>
        <v>0</v>
      </c>
      <c r="P63">
        <f t="shared" si="27"/>
        <v>0</v>
      </c>
      <c r="Q63">
        <f t="shared" si="27"/>
        <v>0</v>
      </c>
      <c r="R63">
        <f t="shared" si="27"/>
        <v>0</v>
      </c>
      <c r="S63">
        <f t="shared" si="27"/>
        <v>0</v>
      </c>
      <c r="T63">
        <f t="shared" si="27"/>
        <v>0</v>
      </c>
      <c r="U63">
        <f t="shared" si="27"/>
        <v>0</v>
      </c>
      <c r="V63">
        <f t="shared" si="27"/>
        <v>-9.5669549332482973</v>
      </c>
    </row>
    <row r="64" spans="2:22">
      <c r="B64" s="28" t="s">
        <v>121</v>
      </c>
      <c r="C64" s="28"/>
      <c r="D64" s="28"/>
      <c r="E64" s="28"/>
      <c r="F64" s="28"/>
      <c r="G64" s="28"/>
      <c r="H64" s="28"/>
      <c r="I64" s="28">
        <f>SUM(I60:I62)</f>
        <v>92.4931695166145</v>
      </c>
      <c r="J64" s="28">
        <f>SUM(J59:J63)</f>
        <v>0</v>
      </c>
      <c r="K64" s="28">
        <f t="shared" ref="K64:V64" si="28">SUM(K59:K63)</f>
        <v>0</v>
      </c>
      <c r="L64" s="28">
        <f t="shared" si="28"/>
        <v>-25.358098779160287</v>
      </c>
      <c r="M64" s="28">
        <f t="shared" si="28"/>
        <v>-9.0057238772535371</v>
      </c>
      <c r="N64" s="28">
        <f t="shared" si="28"/>
        <v>0.95136359290302963</v>
      </c>
      <c r="O64" s="28">
        <f t="shared" si="28"/>
        <v>1.1036150772848694</v>
      </c>
      <c r="P64" s="28">
        <f t="shared" si="28"/>
        <v>1.1637255221848486</v>
      </c>
      <c r="Q64" s="28">
        <f t="shared" si="28"/>
        <v>1.2864948115868111</v>
      </c>
      <c r="R64" s="28">
        <f t="shared" si="28"/>
        <v>1.3559820582565025</v>
      </c>
      <c r="S64" s="28">
        <f t="shared" si="28"/>
        <v>1.4906995468858351</v>
      </c>
      <c r="T64" s="28">
        <f t="shared" si="28"/>
        <v>1.5664534329581645</v>
      </c>
      <c r="U64" s="28">
        <f t="shared" si="28"/>
        <v>1.5490459795609814</v>
      </c>
      <c r="V64" s="28">
        <f t="shared" si="28"/>
        <v>71.177059015767057</v>
      </c>
    </row>
    <row r="66" spans="2:22">
      <c r="B66" s="407" t="s">
        <v>54</v>
      </c>
      <c r="F66" s="31">
        <f>(XIRR(L64:V64,L7:V7))</f>
        <v>0.10000007748603823</v>
      </c>
      <c r="G66" s="103"/>
      <c r="H66" s="121"/>
    </row>
    <row r="67" spans="2:22">
      <c r="B67" s="407" t="s">
        <v>122</v>
      </c>
      <c r="E67">
        <f>Simulation!I18</f>
        <v>0.1</v>
      </c>
      <c r="F67" s="123">
        <f>Simulation!I18</f>
        <v>0.1</v>
      </c>
      <c r="G67" s="120"/>
      <c r="H67" s="99"/>
    </row>
    <row r="68" spans="2:22">
      <c r="B68" s="407" t="s">
        <v>123</v>
      </c>
      <c r="F68" s="110">
        <f>ROUND((F66-F67)*1000000, 0)</f>
        <v>0</v>
      </c>
      <c r="G68" s="425"/>
      <c r="H68" t="s">
        <v>124</v>
      </c>
    </row>
    <row r="69" spans="2:22">
      <c r="B69" s="407" t="s">
        <v>125</v>
      </c>
      <c r="F69">
        <v>0</v>
      </c>
      <c r="G69" s="99">
        <f>ROUND(F69-Delta_IRR,Rounding_Tolerance)</f>
        <v>0</v>
      </c>
      <c r="H69" t="s">
        <v>126</v>
      </c>
    </row>
    <row r="70" spans="2:22">
      <c r="B70" s="407" t="s">
        <v>52</v>
      </c>
      <c r="F70" s="57">
        <v>79.131756989884195</v>
      </c>
      <c r="G70">
        <v>110.99222935105176</v>
      </c>
      <c r="H70" t="s">
        <v>127</v>
      </c>
    </row>
    <row r="71" spans="2:22">
      <c r="H71" t="s">
        <v>128</v>
      </c>
    </row>
    <row r="72" spans="2:22">
      <c r="B72" s="407" t="s">
        <v>129</v>
      </c>
      <c r="F72">
        <f>Exit_Value-I55</f>
        <v>-134.60461158391757</v>
      </c>
      <c r="H72" s="242">
        <v>0.12</v>
      </c>
    </row>
    <row r="74" spans="2:22" ht="15.75">
      <c r="B74" s="15" t="s">
        <v>130</v>
      </c>
      <c r="K74" s="23"/>
      <c r="L74" s="23"/>
      <c r="M74" s="23"/>
      <c r="N74" s="23"/>
      <c r="O74" s="23"/>
      <c r="P74" s="23"/>
      <c r="Q74" s="23"/>
    </row>
    <row r="75" spans="2:22">
      <c r="B75" t="s">
        <v>131</v>
      </c>
      <c r="G75" t="s">
        <v>132</v>
      </c>
      <c r="H75" s="203">
        <f>I75/60</f>
        <v>5.4952609020752909</v>
      </c>
      <c r="I75" s="97">
        <f>SUM(J75:V75)</f>
        <v>329.71565412451747</v>
      </c>
      <c r="J75">
        <f>IFERROR(J62/J58,0)</f>
        <v>0</v>
      </c>
      <c r="K75">
        <f t="shared" ref="K75:V75" si="29">IFERROR(K62/K58,0)</f>
        <v>0</v>
      </c>
      <c r="L75">
        <f t="shared" si="29"/>
        <v>0</v>
      </c>
      <c r="M75">
        <f t="shared" si="29"/>
        <v>0</v>
      </c>
      <c r="N75">
        <f t="shared" si="29"/>
        <v>0</v>
      </c>
      <c r="O75">
        <f t="shared" si="29"/>
        <v>0</v>
      </c>
      <c r="P75">
        <f t="shared" si="29"/>
        <v>0</v>
      </c>
      <c r="Q75">
        <f t="shared" si="29"/>
        <v>0</v>
      </c>
      <c r="R75">
        <f t="shared" si="29"/>
        <v>0</v>
      </c>
      <c r="S75">
        <f t="shared" si="29"/>
        <v>0</v>
      </c>
      <c r="T75">
        <f t="shared" si="29"/>
        <v>0</v>
      </c>
      <c r="U75">
        <f t="shared" si="29"/>
        <v>0</v>
      </c>
      <c r="V75">
        <f t="shared" si="29"/>
        <v>329.71565412451747</v>
      </c>
    </row>
    <row r="76" spans="2:22">
      <c r="B76" t="s">
        <v>133</v>
      </c>
      <c r="G76" t="s">
        <v>134</v>
      </c>
      <c r="H76">
        <f>60*7</f>
        <v>420</v>
      </c>
      <c r="I76" s="97">
        <f t="shared" ref="I76:I82" si="30">SUM(J76:V76)</f>
        <v>0</v>
      </c>
      <c r="K76" s="23"/>
      <c r="L76" s="23"/>
      <c r="M76" s="23"/>
      <c r="N76" s="23"/>
      <c r="O76" s="23"/>
      <c r="P76" s="23"/>
      <c r="Q76" s="23"/>
    </row>
    <row r="77" spans="2:22">
      <c r="B77" t="s">
        <v>135</v>
      </c>
      <c r="G77" t="s">
        <v>136</v>
      </c>
      <c r="H77" s="1">
        <f>H76*1.5/60</f>
        <v>10.5</v>
      </c>
      <c r="I77" s="97">
        <f t="shared" si="30"/>
        <v>0</v>
      </c>
      <c r="K77" s="23"/>
      <c r="L77" s="23"/>
      <c r="M77" s="23"/>
      <c r="N77" s="23"/>
      <c r="O77" s="23"/>
      <c r="P77" s="23"/>
      <c r="Q77" s="23"/>
    </row>
    <row r="78" spans="2:22">
      <c r="B78" t="s">
        <v>137</v>
      </c>
      <c r="H78">
        <f>H76*1.5/60</f>
        <v>10.5</v>
      </c>
      <c r="I78" s="97">
        <f t="shared" si="30"/>
        <v>0</v>
      </c>
      <c r="J78">
        <f>-Output_FSL!J88*'Call Rights'!J26/USD_IDR*Thousands*0</f>
        <v>0</v>
      </c>
      <c r="K78">
        <f>-Output_FSL!K88*'Call Rights'!K26/USD_IDR*Thousands*0</f>
        <v>0</v>
      </c>
      <c r="L78">
        <f>-Output_FSL!L88*'Call Rights'!L26/USD_IDR*Thousands*0</f>
        <v>0</v>
      </c>
      <c r="M78">
        <f>-Output_FSL!M88*'Call Rights'!M26/USD_IDR*Thousands*0</f>
        <v>0</v>
      </c>
      <c r="N78">
        <f>-Output_FSL!N88*'Call Rights'!N26/USD_IDR*Thousands*0</f>
        <v>0</v>
      </c>
      <c r="O78">
        <f>-Output_FSL!O88*'Call Rights'!O26/USD_IDR*Thousands*0</f>
        <v>0</v>
      </c>
      <c r="P78">
        <f>-Output_FSL!P88*'Call Rights'!P26/USD_IDR*Thousands*0</f>
        <v>0</v>
      </c>
      <c r="Q78">
        <f>-Output_FSL!Q88*'Call Rights'!Q26/USD_IDR*Thousands*0</f>
        <v>0</v>
      </c>
      <c r="R78">
        <f>-Output_FSL!R88*'Call Rights'!R26/USD_IDR*Thousands*0</f>
        <v>0</v>
      </c>
      <c r="S78">
        <f>-Output_FSL!S88*'Call Rights'!S26/USD_IDR*Thousands*0</f>
        <v>0</v>
      </c>
      <c r="T78">
        <f>-Output_FSL!T88*'Call Rights'!T26/USD_IDR*Thousands*0</f>
        <v>0</v>
      </c>
      <c r="U78">
        <f>-Output_FSL!U88*'Call Rights'!U26/USD_IDR*Thousands*0</f>
        <v>0</v>
      </c>
      <c r="V78">
        <f>-Output_FSL!V88*'Call Rights'!V26/USD_IDR*Thousands*0</f>
        <v>0</v>
      </c>
    </row>
    <row r="79" spans="2:22">
      <c r="B79" t="s">
        <v>138</v>
      </c>
      <c r="G79">
        <f>17.2*13</f>
        <v>223.6</v>
      </c>
      <c r="H79">
        <f>H77*60</f>
        <v>630</v>
      </c>
      <c r="I79" s="97">
        <f t="shared" si="30"/>
        <v>329.71565412451747</v>
      </c>
      <c r="J79">
        <f>SUM(J75:J78)</f>
        <v>0</v>
      </c>
      <c r="K79">
        <f t="shared" ref="K79:V79" si="31">SUM(K75:K78)</f>
        <v>0</v>
      </c>
      <c r="L79">
        <f t="shared" si="31"/>
        <v>0</v>
      </c>
      <c r="M79">
        <f t="shared" si="31"/>
        <v>0</v>
      </c>
      <c r="N79">
        <f t="shared" si="31"/>
        <v>0</v>
      </c>
      <c r="O79">
        <f t="shared" si="31"/>
        <v>0</v>
      </c>
      <c r="P79">
        <f t="shared" si="31"/>
        <v>0</v>
      </c>
      <c r="Q79">
        <f t="shared" si="31"/>
        <v>0</v>
      </c>
      <c r="R79">
        <f t="shared" si="31"/>
        <v>0</v>
      </c>
      <c r="S79">
        <f t="shared" si="31"/>
        <v>0</v>
      </c>
      <c r="T79">
        <f t="shared" si="31"/>
        <v>0</v>
      </c>
      <c r="U79">
        <f t="shared" si="31"/>
        <v>0</v>
      </c>
      <c r="V79">
        <f t="shared" si="31"/>
        <v>329.71565412451747</v>
      </c>
    </row>
    <row r="80" spans="2:22">
      <c r="K80" s="23"/>
      <c r="L80" s="23"/>
      <c r="M80" s="23"/>
      <c r="N80" s="23"/>
      <c r="O80" s="23"/>
      <c r="P80" s="23"/>
      <c r="Q80" s="23"/>
    </row>
    <row r="81" spans="2:22">
      <c r="B81" s="407" t="s">
        <v>9</v>
      </c>
      <c r="I81" s="97">
        <f t="shared" si="30"/>
        <v>74.533631497383183</v>
      </c>
      <c r="J81">
        <f>Output_FSL!J44/USD_IDR*Thousands*J26</f>
        <v>0</v>
      </c>
      <c r="K81">
        <f>Output_FSL!K44/USD_IDR*Thousands*K26</f>
        <v>0</v>
      </c>
      <c r="L81">
        <f>Output_FSL!L44/USD_IDR*Thousands*L26</f>
        <v>0</v>
      </c>
      <c r="M81">
        <f>Output_FSL!M44/USD_IDR*Thousands*M26</f>
        <v>0</v>
      </c>
      <c r="N81">
        <f>Output_FSL!N44/USD_IDR*Thousands*N26</f>
        <v>0</v>
      </c>
      <c r="O81">
        <f>Output_FSL!O44/USD_IDR*Thousands*O26</f>
        <v>0</v>
      </c>
      <c r="P81">
        <f>Output_FSL!P44/USD_IDR*Thousands*P26</f>
        <v>0</v>
      </c>
      <c r="Q81">
        <f>Output_FSL!Q44/USD_IDR*Thousands*Q26</f>
        <v>0</v>
      </c>
      <c r="R81">
        <f>Output_FSL!R44/USD_IDR*Thousands*R26</f>
        <v>0</v>
      </c>
      <c r="S81">
        <f>Output_FSL!S44/USD_IDR*Thousands*S26</f>
        <v>0</v>
      </c>
      <c r="T81">
        <f>Output_FSL!T44/USD_IDR*Thousands*T26</f>
        <v>0</v>
      </c>
      <c r="U81">
        <f>Output_FSL!U44/USD_IDR*Thousands*U26</f>
        <v>0</v>
      </c>
      <c r="V81">
        <f>Output_FSL!V44/USD_IDR*Thousands*V26</f>
        <v>74.533631497383183</v>
      </c>
    </row>
    <row r="82" spans="2:22">
      <c r="B82" s="407" t="s">
        <v>139</v>
      </c>
      <c r="I82" s="97">
        <f t="shared" si="30"/>
        <v>45.144361568529369</v>
      </c>
      <c r="J82">
        <f>Output_FSL!J49/USD_IDR*Thousands*'Call Rights'!J26</f>
        <v>0</v>
      </c>
      <c r="K82">
        <f>Output_FSL!K49/USD_IDR*Thousands*'Call Rights'!K26</f>
        <v>0</v>
      </c>
      <c r="L82">
        <f>Output_FSL!L49/USD_IDR*Thousands*'Call Rights'!L26</f>
        <v>0</v>
      </c>
      <c r="M82">
        <f>Output_FSL!M49/USD_IDR*Thousands*'Call Rights'!M26</f>
        <v>0</v>
      </c>
      <c r="N82">
        <f>Output_FSL!N49/USD_IDR*Thousands*'Call Rights'!N26</f>
        <v>0</v>
      </c>
      <c r="O82">
        <f>Output_FSL!O49/USD_IDR*Thousands*'Call Rights'!O26</f>
        <v>0</v>
      </c>
      <c r="P82">
        <f>Output_FSL!P49/USD_IDR*Thousands*'Call Rights'!P26</f>
        <v>0</v>
      </c>
      <c r="Q82">
        <f>Output_FSL!Q49/USD_IDR*Thousands*'Call Rights'!Q26</f>
        <v>0</v>
      </c>
      <c r="R82">
        <f>Output_FSL!R49/USD_IDR*Thousands*'Call Rights'!R26</f>
        <v>0</v>
      </c>
      <c r="S82">
        <f>Output_FSL!S49/USD_IDR*Thousands*'Call Rights'!S26</f>
        <v>0</v>
      </c>
      <c r="T82">
        <f>Output_FSL!T49/USD_IDR*Thousands*'Call Rights'!T26</f>
        <v>0</v>
      </c>
      <c r="U82">
        <f>Output_FSL!U49/USD_IDR*Thousands*'Call Rights'!U26</f>
        <v>0</v>
      </c>
      <c r="V82">
        <f>Output_FSL!V49/USD_IDR*Thousands*'Call Rights'!V26</f>
        <v>45.144361568529369</v>
      </c>
    </row>
    <row r="83" spans="2:22">
      <c r="K83" s="23"/>
      <c r="L83" s="23"/>
      <c r="M83" s="23"/>
      <c r="N83" s="23"/>
      <c r="O83" s="23"/>
      <c r="P83" s="23"/>
      <c r="Q83" s="23"/>
    </row>
    <row r="84" spans="2:22" ht="15.75">
      <c r="B84" s="15" t="s">
        <v>140</v>
      </c>
      <c r="K84" s="23"/>
      <c r="L84" s="23"/>
      <c r="M84" s="23"/>
      <c r="N84" s="23"/>
      <c r="O84" s="23"/>
      <c r="P84" s="23"/>
      <c r="Q84" s="23"/>
    </row>
    <row r="85" spans="2:22">
      <c r="B85" s="407" t="s">
        <v>141</v>
      </c>
      <c r="I85" s="125">
        <f>SUM(J85:V85)</f>
        <v>4.4237164820835746</v>
      </c>
      <c r="J85" s="99">
        <f>IFERROR(J$79/J81,0)</f>
        <v>0</v>
      </c>
      <c r="K85" s="99">
        <f t="shared" ref="K85:V86" si="32">IFERROR(K$79/K81,0)</f>
        <v>0</v>
      </c>
      <c r="L85" s="99">
        <f t="shared" si="32"/>
        <v>0</v>
      </c>
      <c r="M85" s="99">
        <f t="shared" si="32"/>
        <v>0</v>
      </c>
      <c r="N85" s="99">
        <f t="shared" si="32"/>
        <v>0</v>
      </c>
      <c r="O85" s="99">
        <f t="shared" si="32"/>
        <v>0</v>
      </c>
      <c r="P85" s="99">
        <f t="shared" si="32"/>
        <v>0</v>
      </c>
      <c r="Q85" s="99">
        <f t="shared" si="32"/>
        <v>0</v>
      </c>
      <c r="R85" s="99">
        <f t="shared" si="32"/>
        <v>0</v>
      </c>
      <c r="S85" s="99">
        <f t="shared" si="32"/>
        <v>0</v>
      </c>
      <c r="T85" s="99">
        <f t="shared" si="32"/>
        <v>0</v>
      </c>
      <c r="U85" s="99">
        <f t="shared" si="32"/>
        <v>0</v>
      </c>
      <c r="V85" s="99">
        <f t="shared" si="32"/>
        <v>4.4237164820835746</v>
      </c>
    </row>
    <row r="86" spans="2:22">
      <c r="B86" s="407" t="s">
        <v>142</v>
      </c>
      <c r="I86" s="125">
        <f>SUM(J86:V86)</f>
        <v>7.3035843828250275</v>
      </c>
      <c r="J86" s="99">
        <f>IFERROR(J$79/J82,0)</f>
        <v>0</v>
      </c>
      <c r="K86" s="99">
        <f t="shared" si="32"/>
        <v>0</v>
      </c>
      <c r="L86" s="99">
        <f t="shared" si="32"/>
        <v>0</v>
      </c>
      <c r="M86" s="99">
        <f t="shared" si="32"/>
        <v>0</v>
      </c>
      <c r="N86" s="99">
        <f t="shared" si="32"/>
        <v>0</v>
      </c>
      <c r="O86" s="99">
        <f t="shared" si="32"/>
        <v>0</v>
      </c>
      <c r="P86" s="99">
        <f t="shared" si="32"/>
        <v>0</v>
      </c>
      <c r="Q86" s="99">
        <f t="shared" si="32"/>
        <v>0</v>
      </c>
      <c r="R86" s="99">
        <f t="shared" si="32"/>
        <v>0</v>
      </c>
      <c r="S86" s="99">
        <f t="shared" si="32"/>
        <v>0</v>
      </c>
      <c r="T86" s="99">
        <f t="shared" si="32"/>
        <v>0</v>
      </c>
      <c r="U86" s="99">
        <f t="shared" si="32"/>
        <v>0</v>
      </c>
      <c r="V86" s="99">
        <f t="shared" si="32"/>
        <v>7.3035843828250275</v>
      </c>
    </row>
    <row r="88" spans="2:22">
      <c r="J88" s="243">
        <v>0.17499999999999999</v>
      </c>
    </row>
    <row r="89" spans="2:22">
      <c r="J89">
        <v>2015</v>
      </c>
      <c r="K89">
        <f>J89+1</f>
        <v>2016</v>
      </c>
      <c r="L89">
        <f t="shared" ref="L89:T89" si="33">K89+1</f>
        <v>2017</v>
      </c>
      <c r="M89">
        <f t="shared" si="33"/>
        <v>2018</v>
      </c>
      <c r="N89">
        <f t="shared" si="33"/>
        <v>2019</v>
      </c>
      <c r="O89">
        <f t="shared" si="33"/>
        <v>2020</v>
      </c>
      <c r="P89">
        <f t="shared" si="33"/>
        <v>2021</v>
      </c>
      <c r="Q89">
        <f t="shared" si="33"/>
        <v>2022</v>
      </c>
      <c r="R89">
        <f t="shared" si="33"/>
        <v>2023</v>
      </c>
      <c r="S89">
        <f t="shared" si="33"/>
        <v>2024</v>
      </c>
      <c r="T89">
        <f t="shared" si="33"/>
        <v>2025</v>
      </c>
    </row>
    <row r="90" spans="2:22">
      <c r="F90" t="s">
        <v>143</v>
      </c>
      <c r="G90">
        <v>7.6</v>
      </c>
      <c r="J90">
        <f>400*13300</f>
        <v>5320000</v>
      </c>
      <c r="K90">
        <f>J90*(1-$J$88)</f>
        <v>4389000</v>
      </c>
      <c r="L90">
        <f t="shared" ref="L90:T90" si="34">K90*(1-$J$88)</f>
        <v>3620925</v>
      </c>
      <c r="M90">
        <f t="shared" si="34"/>
        <v>2987263.125</v>
      </c>
      <c r="N90">
        <f t="shared" si="34"/>
        <v>2464492.078125</v>
      </c>
      <c r="O90">
        <f t="shared" si="34"/>
        <v>2033205.9644531249</v>
      </c>
      <c r="P90">
        <f t="shared" si="34"/>
        <v>1677394.9206738279</v>
      </c>
      <c r="Q90">
        <f t="shared" si="34"/>
        <v>1383850.809555908</v>
      </c>
      <c r="R90">
        <f t="shared" si="34"/>
        <v>1141676.9178836241</v>
      </c>
      <c r="S90">
        <f t="shared" si="34"/>
        <v>941883.45725398988</v>
      </c>
      <c r="T90">
        <f t="shared" si="34"/>
        <v>777053.85223454155</v>
      </c>
    </row>
    <row r="91" spans="2:22">
      <c r="F91" t="s">
        <v>144</v>
      </c>
      <c r="G91">
        <v>42</v>
      </c>
    </row>
    <row r="92" spans="2:22">
      <c r="F92" t="s">
        <v>145</v>
      </c>
      <c r="G92">
        <v>51</v>
      </c>
    </row>
    <row r="93" spans="2:22">
      <c r="F93" t="s">
        <v>146</v>
      </c>
      <c r="G93">
        <v>16</v>
      </c>
    </row>
    <row r="94" spans="2:22">
      <c r="F94" t="s">
        <v>147</v>
      </c>
      <c r="G94">
        <v>1.3</v>
      </c>
    </row>
    <row r="95" spans="2:22">
      <c r="F95" t="s">
        <v>148</v>
      </c>
      <c r="G95">
        <v>6.4</v>
      </c>
    </row>
    <row r="96" spans="2:22">
      <c r="F96" t="s">
        <v>149</v>
      </c>
      <c r="G96">
        <v>2.35</v>
      </c>
    </row>
    <row r="97" spans="7:8">
      <c r="G97">
        <f>SUM(G90:G96)</f>
        <v>126.64999999999999</v>
      </c>
      <c r="H97" t="s">
        <v>150</v>
      </c>
    </row>
    <row r="98" spans="7:8">
      <c r="G98" s="203">
        <f>G97/USD_IDR*Thousands</f>
        <v>7.7866584691054408</v>
      </c>
    </row>
  </sheetData>
  <conditionalFormatting sqref="J11:V11">
    <cfRule type="cellIs" dxfId="60" priority="11" operator="equal">
      <formula>1</formula>
    </cfRule>
  </conditionalFormatting>
  <conditionalFormatting sqref="K12:V12">
    <cfRule type="cellIs" dxfId="59" priority="10" operator="equal">
      <formula>1</formula>
    </cfRule>
  </conditionalFormatting>
  <conditionalFormatting sqref="J12">
    <cfRule type="cellIs" dxfId="58" priority="9" operator="equal">
      <formula>1</formula>
    </cfRule>
  </conditionalFormatting>
  <conditionalFormatting sqref="F68">
    <cfRule type="cellIs" dxfId="57" priority="7" operator="notEqual">
      <formula>0</formula>
    </cfRule>
  </conditionalFormatting>
  <conditionalFormatting sqref="L27:V27">
    <cfRule type="cellIs" dxfId="56" priority="3" operator="equal">
      <formula>1</formula>
    </cfRule>
  </conditionalFormatting>
  <conditionalFormatting sqref="J25">
    <cfRule type="cellIs" dxfId="55" priority="6" operator="equal">
      <formula>1</formula>
    </cfRule>
  </conditionalFormatting>
  <conditionalFormatting sqref="L25:V25 M26:V26">
    <cfRule type="cellIs" dxfId="54" priority="5" operator="equal">
      <formula>1</formula>
    </cfRule>
  </conditionalFormatting>
  <conditionalFormatting sqref="K25">
    <cfRule type="cellIs" dxfId="53" priority="4" operator="equal">
      <formula>1</formula>
    </cfRule>
  </conditionalFormatting>
  <conditionalFormatting sqref="J26:L26">
    <cfRule type="cellIs" dxfId="52" priority="2" operator="equal">
      <formula>1</formula>
    </cfRule>
  </conditionalFormatting>
  <conditionalFormatting sqref="J27:K27">
    <cfRule type="cellIs" dxfId="51" priority="1" operator="equal">
      <formula>1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FBAAD-8141-4D92-8AB9-70612DB58CDF}">
  <sheetPr codeName="Sheet23">
    <tabColor theme="5" tint="0.79998168889431442"/>
  </sheetPr>
  <dimension ref="A2:AK244"/>
  <sheetViews>
    <sheetView showGridLines="0" topLeftCell="B1" zoomScale="81" workbookViewId="0">
      <selection activeCell="I149" sqref="I149"/>
    </sheetView>
  </sheetViews>
  <sheetFormatPr defaultColWidth="9.140625" defaultRowHeight="15" outlineLevelRow="1" outlineLevelCol="1"/>
  <cols>
    <col min="1" max="1" width="13.5703125" customWidth="1"/>
    <col min="2" max="2" width="29.7109375" bestFit="1" customWidth="1"/>
    <col min="3" max="3" width="9.42578125" customWidth="1"/>
    <col min="4" max="5" width="9.28515625" hidden="1" customWidth="1"/>
    <col min="6" max="13" width="9.28515625" customWidth="1"/>
    <col min="14" max="14" width="9.140625" customWidth="1"/>
    <col min="15" max="24" width="9.28515625" hidden="1" customWidth="1" outlineLevel="1"/>
    <col min="25" max="25" width="9.140625" customWidth="1" collapsed="1"/>
    <col min="27" max="32" width="0" hidden="1" customWidth="1"/>
  </cols>
  <sheetData>
    <row r="2" spans="2:27" hidden="1"/>
    <row r="3" spans="2:27" hidden="1"/>
    <row r="4" spans="2:27" ht="24" hidden="1" thickBot="1">
      <c r="B4" s="237" t="s">
        <v>151</v>
      </c>
      <c r="C4" s="237"/>
      <c r="D4" s="237"/>
      <c r="E4" s="237"/>
      <c r="F4" s="237"/>
      <c r="G4" s="237"/>
      <c r="H4" s="237"/>
      <c r="I4" s="237"/>
      <c r="J4" s="237"/>
      <c r="K4" s="237"/>
      <c r="L4" s="237"/>
      <c r="M4" s="237"/>
      <c r="N4" s="237"/>
      <c r="O4" s="237"/>
      <c r="P4" s="237"/>
      <c r="Q4" s="237"/>
      <c r="R4" s="237"/>
      <c r="S4" s="237"/>
      <c r="T4" s="237"/>
      <c r="U4" s="237"/>
      <c r="V4" s="237"/>
      <c r="W4" s="237"/>
      <c r="X4" s="237"/>
      <c r="Y4" s="237"/>
      <c r="Z4" s="237"/>
      <c r="AA4" s="237"/>
    </row>
    <row r="5" spans="2:27" hidden="1"/>
    <row r="6" spans="2:27" ht="20.25" hidden="1" thickBot="1">
      <c r="B6" s="66" t="s">
        <v>152</v>
      </c>
      <c r="F6" s="406">
        <f>'Call Rights'!K23</f>
        <v>0</v>
      </c>
      <c r="G6" s="406">
        <f>'Call Rights'!L23</f>
        <v>1</v>
      </c>
      <c r="H6" s="406">
        <f>'Call Rights'!M23</f>
        <v>2</v>
      </c>
      <c r="I6" s="406">
        <f>'Call Rights'!N23</f>
        <v>3</v>
      </c>
      <c r="J6" s="406">
        <f>'Call Rights'!O23</f>
        <v>4</v>
      </c>
      <c r="K6" s="406">
        <f>'Call Rights'!P23</f>
        <v>5</v>
      </c>
      <c r="L6" s="406">
        <f>'Call Rights'!Q23</f>
        <v>6</v>
      </c>
      <c r="M6" s="406">
        <f>'Call Rights'!R23</f>
        <v>7</v>
      </c>
      <c r="N6" s="406">
        <f>'Call Rights'!Q23</f>
        <v>6</v>
      </c>
      <c r="O6" s="58">
        <v>8</v>
      </c>
      <c r="P6" s="58">
        <v>9</v>
      </c>
      <c r="Q6" s="58">
        <v>10</v>
      </c>
    </row>
    <row r="7" spans="2:27" hidden="1"/>
    <row r="8" spans="2:27" hidden="1">
      <c r="B8" s="407" t="s">
        <v>153</v>
      </c>
      <c r="F8">
        <f>'Call Rights'!K44</f>
        <v>0</v>
      </c>
      <c r="G8">
        <f>'Call Rights'!L44</f>
        <v>25.80830186055363</v>
      </c>
      <c r="H8">
        <f>'Call Rights'!M44</f>
        <v>9.8372963418383037</v>
      </c>
      <c r="I8">
        <f>'Call Rights'!N44</f>
        <v>0</v>
      </c>
      <c r="J8">
        <f>'Call Rights'!O44</f>
        <v>0</v>
      </c>
      <c r="K8">
        <f>'Call Rights'!P44</f>
        <v>0</v>
      </c>
      <c r="L8">
        <f>'Call Rights'!Q44</f>
        <v>0</v>
      </c>
      <c r="M8">
        <f>'Call Rights'!R44</f>
        <v>0</v>
      </c>
      <c r="N8">
        <f>'Call Rights'!Q44</f>
        <v>0</v>
      </c>
      <c r="O8">
        <f>'Call Rights'!R44</f>
        <v>0</v>
      </c>
      <c r="P8">
        <f>'Call Rights'!S44</f>
        <v>0</v>
      </c>
      <c r="Q8">
        <f>'Call Rights'!T44</f>
        <v>0</v>
      </c>
    </row>
    <row r="9" spans="2:27" hidden="1">
      <c r="B9" s="28" t="s">
        <v>154</v>
      </c>
      <c r="C9" s="28"/>
      <c r="D9" s="28"/>
      <c r="E9" s="28"/>
      <c r="F9" s="28">
        <f>SUM(F8)</f>
        <v>0</v>
      </c>
      <c r="G9" s="28">
        <f t="shared" ref="G9:Q9" si="0">SUM(G8)</f>
        <v>25.80830186055363</v>
      </c>
      <c r="H9" s="28">
        <f t="shared" si="0"/>
        <v>9.8372963418383037</v>
      </c>
      <c r="I9" s="28">
        <f t="shared" si="0"/>
        <v>0</v>
      </c>
      <c r="J9" s="28">
        <f t="shared" si="0"/>
        <v>0</v>
      </c>
      <c r="K9" s="28">
        <f t="shared" si="0"/>
        <v>0</v>
      </c>
      <c r="L9" s="28">
        <f>SUM(L8)</f>
        <v>0</v>
      </c>
      <c r="M9" s="28">
        <f>SUM(M8)</f>
        <v>0</v>
      </c>
      <c r="N9" s="28">
        <f t="shared" si="0"/>
        <v>0</v>
      </c>
      <c r="O9" s="28">
        <f t="shared" si="0"/>
        <v>0</v>
      </c>
      <c r="P9" s="28">
        <f t="shared" si="0"/>
        <v>0</v>
      </c>
      <c r="Q9" s="28">
        <f t="shared" si="0"/>
        <v>0</v>
      </c>
    </row>
    <row r="10" spans="2:27" hidden="1"/>
    <row r="11" spans="2:27" hidden="1"/>
    <row r="12" spans="2:27" ht="20.25" hidden="1" thickBot="1">
      <c r="B12" s="66" t="s">
        <v>155</v>
      </c>
      <c r="F12" s="58">
        <v>1</v>
      </c>
      <c r="G12" s="58">
        <v>2</v>
      </c>
      <c r="H12" s="58">
        <v>3</v>
      </c>
      <c r="I12" s="58">
        <v>4</v>
      </c>
      <c r="J12" s="58">
        <v>5</v>
      </c>
      <c r="K12" s="58">
        <v>6</v>
      </c>
      <c r="L12" s="58">
        <v>6</v>
      </c>
      <c r="M12" s="58">
        <v>6</v>
      </c>
      <c r="N12" s="58">
        <v>7</v>
      </c>
      <c r="O12" s="58">
        <v>8</v>
      </c>
      <c r="P12" s="58">
        <v>9</v>
      </c>
      <c r="Q12" s="58">
        <v>10</v>
      </c>
    </row>
    <row r="13" spans="2:27" hidden="1"/>
    <row r="14" spans="2:27" hidden="1">
      <c r="B14" s="407" t="s">
        <v>153</v>
      </c>
      <c r="F14">
        <f>'Call Rights'!K45</f>
        <v>0</v>
      </c>
      <c r="G14">
        <f>'Call Rights'!L45</f>
        <v>25.80830186055363</v>
      </c>
      <c r="H14">
        <f>'Call Rights'!M45</f>
        <v>9.8372963418383037</v>
      </c>
      <c r="I14">
        <f>'Call Rights'!N45</f>
        <v>0</v>
      </c>
      <c r="J14">
        <f>'Call Rights'!O45</f>
        <v>0</v>
      </c>
      <c r="K14">
        <f>'Call Rights'!P45</f>
        <v>0</v>
      </c>
      <c r="L14">
        <f>'Call Rights'!Q45</f>
        <v>0</v>
      </c>
      <c r="M14">
        <f>'Call Rights'!R45</f>
        <v>0</v>
      </c>
      <c r="N14">
        <f>'Call Rights'!Q45</f>
        <v>0</v>
      </c>
      <c r="O14">
        <f>'Call Rights'!R45</f>
        <v>0</v>
      </c>
      <c r="P14">
        <f>'Call Rights'!S45</f>
        <v>0</v>
      </c>
      <c r="Q14">
        <f>'Call Rights'!T45</f>
        <v>0</v>
      </c>
    </row>
    <row r="15" spans="2:27" hidden="1">
      <c r="B15" s="407" t="s">
        <v>97</v>
      </c>
      <c r="F15">
        <f>'Call Rights'!K46</f>
        <v>0</v>
      </c>
      <c r="G15">
        <f>'Call Rights'!L46</f>
        <v>0</v>
      </c>
      <c r="H15">
        <f>'Call Rights'!M46</f>
        <v>0</v>
      </c>
      <c r="I15">
        <f>'Call Rights'!N46</f>
        <v>0</v>
      </c>
      <c r="J15">
        <f>'Call Rights'!O46</f>
        <v>0</v>
      </c>
      <c r="K15">
        <f>'Call Rights'!P46</f>
        <v>0</v>
      </c>
      <c r="L15">
        <f>'Call Rights'!Q46</f>
        <v>0</v>
      </c>
      <c r="M15">
        <f>'Call Rights'!R46</f>
        <v>0</v>
      </c>
      <c r="N15">
        <f>'Call Rights'!Q46</f>
        <v>0</v>
      </c>
      <c r="O15">
        <f>'Call Rights'!R46</f>
        <v>0</v>
      </c>
      <c r="P15">
        <f>'Call Rights'!S46</f>
        <v>0</v>
      </c>
      <c r="Q15">
        <f>'Call Rights'!T46</f>
        <v>0</v>
      </c>
    </row>
    <row r="16" spans="2:27" hidden="1">
      <c r="B16" s="407" t="s">
        <v>100</v>
      </c>
      <c r="F16">
        <f>'Call Rights'!K47</f>
        <v>0</v>
      </c>
      <c r="G16">
        <f>'Call Rights'!L47</f>
        <v>0</v>
      </c>
      <c r="H16">
        <f>'Call Rights'!M47</f>
        <v>0</v>
      </c>
      <c r="I16">
        <f>'Call Rights'!N47</f>
        <v>0</v>
      </c>
      <c r="J16">
        <f>'Call Rights'!O47</f>
        <v>0</v>
      </c>
      <c r="K16">
        <f>'Call Rights'!P47</f>
        <v>0</v>
      </c>
      <c r="L16">
        <f>'Call Rights'!Q47</f>
        <v>0</v>
      </c>
      <c r="M16">
        <f>'Call Rights'!R47</f>
        <v>0</v>
      </c>
      <c r="N16">
        <f>'Call Rights'!Q47</f>
        <v>0</v>
      </c>
      <c r="O16">
        <f>'Call Rights'!R47</f>
        <v>0</v>
      </c>
      <c r="P16">
        <f>'Call Rights'!S47</f>
        <v>0</v>
      </c>
      <c r="Q16">
        <f>'Call Rights'!T47</f>
        <v>0</v>
      </c>
    </row>
    <row r="17" spans="1:27" hidden="1">
      <c r="B17" s="28" t="s">
        <v>154</v>
      </c>
      <c r="C17" s="28"/>
      <c r="D17" s="28"/>
      <c r="E17" s="28"/>
      <c r="F17" s="28">
        <f>SUM(F14:F16)</f>
        <v>0</v>
      </c>
      <c r="G17" s="28">
        <f t="shared" ref="G17:Q17" si="1">SUM(G14:G16)</f>
        <v>25.80830186055363</v>
      </c>
      <c r="H17" s="28">
        <f t="shared" si="1"/>
        <v>9.8372963418383037</v>
      </c>
      <c r="I17" s="28">
        <f t="shared" si="1"/>
        <v>0</v>
      </c>
      <c r="J17" s="28">
        <f t="shared" si="1"/>
        <v>0</v>
      </c>
      <c r="K17" s="28">
        <f t="shared" si="1"/>
        <v>0</v>
      </c>
      <c r="L17" s="28">
        <f>SUM(L14:L16)</f>
        <v>0</v>
      </c>
      <c r="M17" s="28">
        <f>SUM(M14:M16)</f>
        <v>0</v>
      </c>
      <c r="N17" s="28">
        <f t="shared" si="1"/>
        <v>0</v>
      </c>
      <c r="O17" s="28">
        <f t="shared" si="1"/>
        <v>0</v>
      </c>
      <c r="P17" s="28">
        <f t="shared" si="1"/>
        <v>0</v>
      </c>
      <c r="Q17" s="28">
        <f t="shared" si="1"/>
        <v>0</v>
      </c>
    </row>
    <row r="18" spans="1:27" hidden="1"/>
    <row r="19" spans="1:27" hidden="1"/>
    <row r="20" spans="1:27" ht="24" hidden="1" thickBot="1">
      <c r="B20" s="237" t="s">
        <v>156</v>
      </c>
      <c r="C20" s="237"/>
      <c r="D20" s="237"/>
      <c r="E20" s="237"/>
      <c r="F20" s="237"/>
      <c r="G20" s="237"/>
      <c r="H20" s="237"/>
      <c r="I20" s="237"/>
      <c r="J20" s="237"/>
      <c r="K20" s="237"/>
      <c r="L20" s="237"/>
      <c r="M20" s="237"/>
      <c r="N20" s="237"/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</row>
    <row r="21" spans="1:27" hidden="1"/>
    <row r="22" spans="1:27" ht="20.25" hidden="1" thickBot="1">
      <c r="C22" s="66" t="s">
        <v>157</v>
      </c>
      <c r="P22" s="66" t="s">
        <v>158</v>
      </c>
    </row>
    <row r="23" spans="1:27" hidden="1"/>
    <row r="24" spans="1:27" hidden="1">
      <c r="D24" s="214">
        <v>2</v>
      </c>
      <c r="E24" s="214">
        <f>D24+1</f>
        <v>3</v>
      </c>
      <c r="F24" s="214">
        <f>E24+1</f>
        <v>4</v>
      </c>
      <c r="G24" s="214">
        <f>F24+1</f>
        <v>5</v>
      </c>
      <c r="H24" s="214">
        <v>6</v>
      </c>
      <c r="Q24" s="214">
        <v>2</v>
      </c>
      <c r="R24" s="214">
        <f>Q24+1</f>
        <v>3</v>
      </c>
      <c r="S24" s="214">
        <f>R24+1</f>
        <v>4</v>
      </c>
      <c r="T24" s="214">
        <f>S24+1</f>
        <v>5</v>
      </c>
    </row>
    <row r="25" spans="1:27" hidden="1">
      <c r="C25" s="215">
        <v>0.2</v>
      </c>
      <c r="D25" s="212"/>
      <c r="E25" s="213"/>
      <c r="F25" s="213"/>
      <c r="G25" s="213"/>
      <c r="H25" s="213"/>
      <c r="P25" s="215">
        <v>0.2</v>
      </c>
      <c r="Q25" s="212">
        <v>28.861903109895568</v>
      </c>
      <c r="R25" s="213">
        <v>33.547787640075825</v>
      </c>
      <c r="S25" s="213">
        <v>38.976902152318125</v>
      </c>
      <c r="T25" s="213">
        <v>45.312818795363278</v>
      </c>
    </row>
    <row r="26" spans="1:27" hidden="1">
      <c r="C26" s="215">
        <f>C25-1%</f>
        <v>0.19</v>
      </c>
      <c r="D26" s="211"/>
      <c r="E26" s="54"/>
      <c r="F26" s="54"/>
      <c r="G26" s="54"/>
      <c r="H26" s="54"/>
      <c r="P26" s="215">
        <f>P25-1%</f>
        <v>0.19</v>
      </c>
      <c r="Q26" s="211">
        <v>28.616853569537309</v>
      </c>
      <c r="R26" s="54">
        <v>32.967526380214629</v>
      </c>
      <c r="S26" s="54">
        <v>37.949562868261495</v>
      </c>
      <c r="T26" s="54">
        <v>43.700601549840634</v>
      </c>
    </row>
    <row r="27" spans="1:27" hidden="1">
      <c r="B27" s="407"/>
      <c r="C27" s="215">
        <f t="shared" ref="C27:C37" si="2">C26-1%</f>
        <v>0.18</v>
      </c>
      <c r="D27" s="211">
        <v>29.539789807290699</v>
      </c>
      <c r="E27" s="54">
        <v>34.942184523871724</v>
      </c>
      <c r="F27" s="54">
        <v>41.106244127954916</v>
      </c>
      <c r="G27" s="54">
        <v>48.184169097106825</v>
      </c>
      <c r="H27" s="54">
        <v>56.29909376305816</v>
      </c>
      <c r="P27" s="215">
        <f t="shared" ref="P27:P37" si="3">P26-1%</f>
        <v>0.18</v>
      </c>
      <c r="Q27" s="211">
        <v>30.769235879092101</v>
      </c>
      <c r="R27" s="54">
        <v>37.576922578918271</v>
      </c>
      <c r="S27" s="54">
        <v>45.63382185823275</v>
      </c>
      <c r="T27" s="54">
        <v>55.117158874690418</v>
      </c>
    </row>
    <row r="28" spans="1:27" hidden="1">
      <c r="B28" s="407"/>
      <c r="C28" s="215">
        <f t="shared" si="2"/>
        <v>0.16999999999999998</v>
      </c>
      <c r="D28" s="211">
        <v>29.224697722239277</v>
      </c>
      <c r="E28" s="54">
        <v>34.207561626429381</v>
      </c>
      <c r="F28" s="54">
        <v>39.825158913097404</v>
      </c>
      <c r="G28" s="54">
        <v>46.203614178000791</v>
      </c>
      <c r="H28" s="54">
        <v>53.42961623202541</v>
      </c>
      <c r="P28" s="215">
        <f t="shared" si="3"/>
        <v>0.16999999999999998</v>
      </c>
      <c r="Q28" s="211">
        <v>30.448719356405412</v>
      </c>
      <c r="R28" s="54">
        <v>36.823740589775596</v>
      </c>
      <c r="S28" s="54">
        <v>44.304554930430278</v>
      </c>
      <c r="T28" s="54">
        <v>53.03499517239144</v>
      </c>
    </row>
    <row r="29" spans="1:27" hidden="1">
      <c r="B29" s="407"/>
      <c r="C29" s="215">
        <f t="shared" si="2"/>
        <v>0.15999999999999998</v>
      </c>
      <c r="D29" s="211">
        <v>28.909592621667159</v>
      </c>
      <c r="E29" s="54">
        <v>33.479304108219559</v>
      </c>
      <c r="F29" s="54">
        <v>38.566066702406935</v>
      </c>
      <c r="G29" s="54">
        <v>44.274351481751964</v>
      </c>
      <c r="H29" s="54">
        <v>50.659145869766874</v>
      </c>
      <c r="O29" s="407"/>
      <c r="P29" s="215">
        <f t="shared" si="3"/>
        <v>0.15999999999999998</v>
      </c>
      <c r="Q29" s="211">
        <v>30.128220549568503</v>
      </c>
      <c r="R29" s="54">
        <v>36.076894387073715</v>
      </c>
      <c r="S29" s="54">
        <v>42.997764839224295</v>
      </c>
      <c r="T29" s="54">
        <v>51.00554306890124</v>
      </c>
    </row>
    <row r="30" spans="1:27" hidden="1">
      <c r="C30" s="215">
        <f t="shared" si="2"/>
        <v>0.14999999999999997</v>
      </c>
      <c r="D30" s="211">
        <v>28.594468780313026</v>
      </c>
      <c r="E30" s="54">
        <v>32.757286920325612</v>
      </c>
      <c r="F30" s="54">
        <v>37.328846215394456</v>
      </c>
      <c r="G30" s="54">
        <v>42.395508503395249</v>
      </c>
      <c r="H30" s="54">
        <v>47.985051363105164</v>
      </c>
      <c r="I30" s="407"/>
      <c r="P30" s="215">
        <f t="shared" si="3"/>
        <v>0.14999999999999997</v>
      </c>
      <c r="Q30" s="211">
        <v>29.807702802437191</v>
      </c>
      <c r="R30" s="54">
        <v>35.33652466022815</v>
      </c>
      <c r="S30" s="54">
        <v>41.713397346992572</v>
      </c>
      <c r="T30" s="54">
        <v>49.028005207458982</v>
      </c>
    </row>
    <row r="31" spans="1:27" s="17" customFormat="1" hidden="1">
      <c r="A31"/>
      <c r="C31" s="215">
        <f t="shared" si="2"/>
        <v>0.13999999999999996</v>
      </c>
      <c r="D31" s="211">
        <v>28.279342968585802</v>
      </c>
      <c r="E31" s="54">
        <v>32.041619545458829</v>
      </c>
      <c r="F31" s="54">
        <v>36.113373425494096</v>
      </c>
      <c r="G31" s="54">
        <v>40.56604274794185</v>
      </c>
      <c r="H31" s="54">
        <v>45.405012317110327</v>
      </c>
      <c r="I31" s="407"/>
      <c r="J31"/>
      <c r="K31"/>
      <c r="L31"/>
      <c r="M31"/>
      <c r="N31"/>
      <c r="P31" s="215">
        <f t="shared" si="3"/>
        <v>0.13999999999999996</v>
      </c>
      <c r="Q31" s="211">
        <v>29.487188043178769</v>
      </c>
      <c r="R31" s="54">
        <v>34.602571869116801</v>
      </c>
      <c r="S31" s="54">
        <v>40.451116957542986</v>
      </c>
      <c r="T31" s="54">
        <v>47.101398705798012</v>
      </c>
      <c r="U31"/>
      <c r="V31"/>
      <c r="W31"/>
      <c r="X31"/>
      <c r="Y31"/>
      <c r="Z31"/>
    </row>
    <row r="32" spans="1:27" hidden="1">
      <c r="C32" s="215">
        <f t="shared" si="2"/>
        <v>0.12999999999999995</v>
      </c>
      <c r="D32" s="211">
        <v>27.964233639107874</v>
      </c>
      <c r="E32" s="54">
        <v>31.332238949395318</v>
      </c>
      <c r="F32" s="54">
        <v>34.919314465148091</v>
      </c>
      <c r="G32" s="54">
        <v>38.785221544638418</v>
      </c>
      <c r="H32" s="54">
        <v>42.916419133386057</v>
      </c>
      <c r="P32" s="215">
        <f t="shared" si="3"/>
        <v>0.12999999999999995</v>
      </c>
      <c r="Q32" s="211">
        <v>29.166653592667402</v>
      </c>
      <c r="R32" s="54">
        <v>33.874982812739802</v>
      </c>
      <c r="S32" s="54">
        <v>39.210866562955857</v>
      </c>
      <c r="T32" s="54">
        <v>45.224913568853118</v>
      </c>
    </row>
    <row r="33" spans="1:26" hidden="1">
      <c r="C33" s="215">
        <f t="shared" si="2"/>
        <v>0.11999999999999995</v>
      </c>
      <c r="D33" s="241">
        <v>27.649139013376313</v>
      </c>
      <c r="E33" s="240">
        <v>30.629139759114835</v>
      </c>
      <c r="F33" s="240">
        <v>33.746686521704532</v>
      </c>
      <c r="G33" s="240">
        <v>37.052043198041034</v>
      </c>
      <c r="H33" s="240">
        <v>40.517123797454765</v>
      </c>
      <c r="P33" s="215">
        <f t="shared" si="3"/>
        <v>0.11999999999999995</v>
      </c>
      <c r="Q33" s="211">
        <v>28.846164280303139</v>
      </c>
      <c r="R33" s="54">
        <v>33.153869380466681</v>
      </c>
      <c r="S33" s="54">
        <v>37.992425319414181</v>
      </c>
      <c r="T33" s="54">
        <v>43.397717596164618</v>
      </c>
    </row>
    <row r="34" spans="1:26" hidden="1">
      <c r="C34" s="215">
        <f t="shared" si="2"/>
        <v>0.10999999999999996</v>
      </c>
      <c r="D34" s="255">
        <v>27.334030793713971</v>
      </c>
      <c r="E34" s="256">
        <v>29.932347049045148</v>
      </c>
      <c r="F34" s="256">
        <v>32.595075804670046</v>
      </c>
      <c r="G34" s="256">
        <v>35.365771491317517</v>
      </c>
      <c r="H34" s="256">
        <v>38.204270233166525</v>
      </c>
      <c r="P34" s="215">
        <f t="shared" si="3"/>
        <v>0.10999999999999996</v>
      </c>
      <c r="Q34" s="211">
        <v>28.525642776725807</v>
      </c>
      <c r="R34" s="54">
        <v>32.439115056668911</v>
      </c>
      <c r="S34" s="54">
        <v>36.795532715537576</v>
      </c>
      <c r="T34" s="54">
        <v>41.618796813578172</v>
      </c>
    </row>
    <row r="35" spans="1:26" hidden="1">
      <c r="C35" s="215">
        <f t="shared" si="2"/>
        <v>9.9999999999999964E-2</v>
      </c>
      <c r="D35" s="245">
        <v>27.018906543334001</v>
      </c>
      <c r="E35" s="246">
        <v>29.241919779045986</v>
      </c>
      <c r="F35" s="246">
        <v>31.46435116304696</v>
      </c>
      <c r="G35" s="246">
        <v>33.72559349775036</v>
      </c>
      <c r="H35" s="246">
        <v>35.975986364557066</v>
      </c>
      <c r="P35" s="215">
        <f t="shared" si="3"/>
        <v>9.9999999999999964E-2</v>
      </c>
      <c r="Q35" s="211">
        <v>28.205116516348888</v>
      </c>
      <c r="R35" s="54">
        <v>31.73073764790135</v>
      </c>
      <c r="S35" s="54">
        <v>35.620108129458785</v>
      </c>
      <c r="T35" s="54">
        <v>39.887270363491865</v>
      </c>
    </row>
    <row r="36" spans="1:26" hidden="1">
      <c r="C36" s="215">
        <f t="shared" si="2"/>
        <v>8.9999999999999969E-2</v>
      </c>
      <c r="D36" s="211">
        <v>26.703782385419728</v>
      </c>
      <c r="E36" s="54">
        <v>28.557697402322546</v>
      </c>
      <c r="F36" s="54">
        <v>30.354449610554269</v>
      </c>
      <c r="G36" s="54">
        <v>32.130592373095254</v>
      </c>
      <c r="H36" s="54">
        <v>33.829650522776625</v>
      </c>
      <c r="P36" s="215">
        <f t="shared" si="3"/>
        <v>8.9999999999999969E-2</v>
      </c>
      <c r="Q36" s="211">
        <v>27.884622801624083</v>
      </c>
      <c r="R36" s="54">
        <v>31.028811518607444</v>
      </c>
      <c r="S36" s="54">
        <v>34.465915026510991</v>
      </c>
      <c r="T36" s="54">
        <v>38.202429390158677</v>
      </c>
    </row>
    <row r="37" spans="1:26" hidden="1">
      <c r="C37" s="215">
        <f t="shared" si="2"/>
        <v>7.9999999999999974E-2</v>
      </c>
      <c r="D37" s="211">
        <v>26.388697387838565</v>
      </c>
      <c r="E37" s="54">
        <v>27.879825438343342</v>
      </c>
      <c r="F37" s="54">
        <v>29.26500707111283</v>
      </c>
      <c r="G37" s="54">
        <v>30.579918530405816</v>
      </c>
      <c r="H37" s="54">
        <v>31.763094607658829</v>
      </c>
      <c r="P37" s="215">
        <f t="shared" si="3"/>
        <v>7.9999999999999974E-2</v>
      </c>
      <c r="Q37" s="211">
        <v>27.564106503935839</v>
      </c>
      <c r="R37" s="240">
        <v>30.33330510076879</v>
      </c>
      <c r="S37" s="54">
        <v>33.332641572514731</v>
      </c>
      <c r="T37" s="54">
        <v>36.56329093851361</v>
      </c>
    </row>
    <row r="38" spans="1:26" hidden="1">
      <c r="C38" s="203"/>
      <c r="D38" s="203"/>
      <c r="E38" s="203"/>
      <c r="F38" s="203"/>
      <c r="G38" s="203"/>
      <c r="H38" s="203"/>
      <c r="P38" s="203"/>
      <c r="Q38" s="203"/>
      <c r="R38" s="203"/>
      <c r="S38" s="203"/>
      <c r="T38" s="203"/>
    </row>
    <row r="39" spans="1:26" ht="20.25" hidden="1" thickBot="1">
      <c r="C39" s="66" t="s">
        <v>159</v>
      </c>
      <c r="D39" s="203"/>
      <c r="E39" s="203"/>
      <c r="F39" s="203"/>
      <c r="G39" s="203"/>
      <c r="H39" s="203"/>
      <c r="P39" s="203"/>
      <c r="Q39" s="203"/>
      <c r="R39" s="203"/>
      <c r="S39" s="203"/>
      <c r="T39" s="203"/>
    </row>
    <row r="40" spans="1:26" hidden="1">
      <c r="D40" s="248">
        <v>2</v>
      </c>
      <c r="E40" s="248">
        <f>D40+1</f>
        <v>3</v>
      </c>
      <c r="F40" s="248">
        <f>E40+1</f>
        <v>4</v>
      </c>
      <c r="G40" s="248">
        <f>F40+1</f>
        <v>5</v>
      </c>
      <c r="H40" s="248">
        <v>6</v>
      </c>
      <c r="Q40" s="214">
        <v>2</v>
      </c>
      <c r="R40" s="214">
        <f>Q40+1</f>
        <v>3</v>
      </c>
      <c r="S40" s="214">
        <f>R40+1</f>
        <v>4</v>
      </c>
      <c r="T40" s="214">
        <f>S40+1</f>
        <v>5</v>
      </c>
    </row>
    <row r="41" spans="1:26" hidden="1">
      <c r="C41" s="215">
        <v>0.2</v>
      </c>
      <c r="D41" s="212"/>
      <c r="E41" s="213"/>
      <c r="F41" s="213"/>
      <c r="G41" s="213"/>
      <c r="H41" s="213"/>
      <c r="P41" s="215">
        <v>0.2</v>
      </c>
      <c r="Q41" s="212">
        <v>28.861903109895568</v>
      </c>
      <c r="R41" s="213">
        <v>33.547787640075825</v>
      </c>
      <c r="S41" s="213">
        <v>38.976902152318125</v>
      </c>
      <c r="T41" s="213">
        <v>45.312818795363278</v>
      </c>
    </row>
    <row r="42" spans="1:26" hidden="1">
      <c r="C42" s="215">
        <f>C41-1%</f>
        <v>0.19</v>
      </c>
      <c r="D42" s="211"/>
      <c r="E42" s="54"/>
      <c r="F42" s="54"/>
      <c r="G42" s="54"/>
      <c r="H42" s="54"/>
      <c r="P42" s="215">
        <f>P41-1%</f>
        <v>0.19</v>
      </c>
      <c r="Q42" s="211">
        <v>28.616853569537309</v>
      </c>
      <c r="R42" s="54">
        <v>32.967526380214629</v>
      </c>
      <c r="S42" s="54">
        <v>37.949562868261495</v>
      </c>
      <c r="T42" s="54">
        <v>43.700601549840634</v>
      </c>
    </row>
    <row r="43" spans="1:26" hidden="1">
      <c r="B43" s="407"/>
      <c r="C43" s="249">
        <f t="shared" ref="C43:C53" si="4">C42-1%</f>
        <v>0.18</v>
      </c>
      <c r="D43" s="250">
        <f t="shared" ref="D43:H53" si="5">D27/20%</f>
        <v>147.69894903645348</v>
      </c>
      <c r="E43" s="250">
        <f t="shared" si="5"/>
        <v>174.7109226193586</v>
      </c>
      <c r="F43" s="250">
        <f t="shared" si="5"/>
        <v>205.53122063977457</v>
      </c>
      <c r="G43" s="250">
        <f t="shared" si="5"/>
        <v>240.9208454855341</v>
      </c>
      <c r="H43" s="250">
        <f t="shared" si="5"/>
        <v>281.49546881529079</v>
      </c>
      <c r="P43" s="215">
        <f t="shared" ref="P43:P53" si="6">P42-1%</f>
        <v>0.18</v>
      </c>
      <c r="Q43" s="211">
        <v>30.769235879092101</v>
      </c>
      <c r="R43" s="54">
        <v>37.576922578918271</v>
      </c>
      <c r="S43" s="54">
        <v>45.63382185823275</v>
      </c>
      <c r="T43" s="54">
        <v>55.117158874690418</v>
      </c>
    </row>
    <row r="44" spans="1:26" hidden="1">
      <c r="B44" s="407"/>
      <c r="C44" s="249">
        <f t="shared" si="4"/>
        <v>0.16999999999999998</v>
      </c>
      <c r="D44" s="250">
        <f t="shared" si="5"/>
        <v>146.12348861119636</v>
      </c>
      <c r="E44" s="250">
        <f t="shared" si="5"/>
        <v>171.03780813214689</v>
      </c>
      <c r="F44" s="250">
        <f t="shared" si="5"/>
        <v>199.12579456548701</v>
      </c>
      <c r="G44" s="250">
        <f t="shared" si="5"/>
        <v>231.01807089000394</v>
      </c>
      <c r="H44" s="250">
        <f t="shared" si="5"/>
        <v>267.14808116012705</v>
      </c>
      <c r="P44" s="215">
        <f t="shared" si="6"/>
        <v>0.16999999999999998</v>
      </c>
      <c r="Q44" s="211">
        <v>30.448719356405412</v>
      </c>
      <c r="R44" s="54">
        <v>36.823740589775596</v>
      </c>
      <c r="S44" s="54">
        <v>44.304554930430278</v>
      </c>
      <c r="T44" s="54">
        <v>53.03499517239144</v>
      </c>
    </row>
    <row r="45" spans="1:26" hidden="1">
      <c r="B45" s="407"/>
      <c r="C45" s="249">
        <f t="shared" si="4"/>
        <v>0.15999999999999998</v>
      </c>
      <c r="D45" s="250">
        <f t="shared" si="5"/>
        <v>144.54796310833578</v>
      </c>
      <c r="E45" s="250">
        <f t="shared" si="5"/>
        <v>167.39652054109777</v>
      </c>
      <c r="F45" s="250">
        <f t="shared" si="5"/>
        <v>192.83033351203466</v>
      </c>
      <c r="G45" s="250">
        <f t="shared" si="5"/>
        <v>221.37175740875981</v>
      </c>
      <c r="H45" s="250">
        <f t="shared" si="5"/>
        <v>253.29572934883436</v>
      </c>
      <c r="O45" s="407"/>
      <c r="P45" s="215">
        <f t="shared" si="6"/>
        <v>0.15999999999999998</v>
      </c>
      <c r="Q45" s="211">
        <v>30.128220549568503</v>
      </c>
      <c r="R45" s="54">
        <v>36.076894387073715</v>
      </c>
      <c r="S45" s="54">
        <v>42.997764839224295</v>
      </c>
      <c r="T45" s="54">
        <v>51.00554306890124</v>
      </c>
    </row>
    <row r="46" spans="1:26" hidden="1">
      <c r="C46" s="249">
        <f t="shared" si="4"/>
        <v>0.14999999999999997</v>
      </c>
      <c r="D46" s="250">
        <f t="shared" si="5"/>
        <v>142.97234390156513</v>
      </c>
      <c r="E46" s="250">
        <f t="shared" si="5"/>
        <v>163.78643460162806</v>
      </c>
      <c r="F46" s="250">
        <f t="shared" si="5"/>
        <v>186.64423107697226</v>
      </c>
      <c r="G46" s="250">
        <f t="shared" si="5"/>
        <v>211.97754251697623</v>
      </c>
      <c r="H46" s="250">
        <f t="shared" si="5"/>
        <v>239.92525681552581</v>
      </c>
      <c r="I46" s="407"/>
      <c r="P46" s="215">
        <f t="shared" si="6"/>
        <v>0.14999999999999997</v>
      </c>
      <c r="Q46" s="211">
        <v>29.807702802437191</v>
      </c>
      <c r="R46" s="54">
        <v>35.33652466022815</v>
      </c>
      <c r="S46" s="54">
        <v>41.713397346992572</v>
      </c>
      <c r="T46" s="54">
        <v>49.028005207458982</v>
      </c>
    </row>
    <row r="47" spans="1:26" s="17" customFormat="1" hidden="1">
      <c r="A47"/>
      <c r="C47" s="249">
        <f t="shared" si="4"/>
        <v>0.13999999999999996</v>
      </c>
      <c r="D47" s="250">
        <f t="shared" si="5"/>
        <v>141.39671484292899</v>
      </c>
      <c r="E47" s="250">
        <f t="shared" si="5"/>
        <v>160.20809772729413</v>
      </c>
      <c r="F47" s="250">
        <f t="shared" si="5"/>
        <v>180.56686712747046</v>
      </c>
      <c r="G47" s="250">
        <f t="shared" si="5"/>
        <v>202.83021373970925</v>
      </c>
      <c r="H47" s="250">
        <f t="shared" si="5"/>
        <v>227.02506158555161</v>
      </c>
      <c r="I47" s="407"/>
      <c r="J47"/>
      <c r="K47"/>
      <c r="L47"/>
      <c r="M47"/>
      <c r="N47"/>
      <c r="P47" s="215">
        <f t="shared" si="6"/>
        <v>0.13999999999999996</v>
      </c>
      <c r="Q47" s="211">
        <v>29.487188043178769</v>
      </c>
      <c r="R47" s="54">
        <v>34.602571869116801</v>
      </c>
      <c r="S47" s="54">
        <v>40.451116957542986</v>
      </c>
      <c r="T47" s="54">
        <v>47.101398705798012</v>
      </c>
      <c r="U47"/>
      <c r="V47"/>
      <c r="W47"/>
      <c r="X47"/>
      <c r="Y47"/>
      <c r="Z47"/>
    </row>
    <row r="48" spans="1:26" hidden="1">
      <c r="C48" s="249">
        <f t="shared" si="4"/>
        <v>0.12999999999999995</v>
      </c>
      <c r="D48" s="250">
        <f t="shared" si="5"/>
        <v>139.82116819553937</v>
      </c>
      <c r="E48" s="250">
        <f t="shared" si="5"/>
        <v>156.66119474697658</v>
      </c>
      <c r="F48" s="250">
        <f t="shared" si="5"/>
        <v>174.59657232574045</v>
      </c>
      <c r="G48" s="250">
        <f t="shared" si="5"/>
        <v>193.92610772319208</v>
      </c>
      <c r="H48" s="250">
        <f t="shared" si="5"/>
        <v>214.58209566693029</v>
      </c>
      <c r="P48" s="215">
        <f t="shared" si="6"/>
        <v>0.12999999999999995</v>
      </c>
      <c r="Q48" s="211">
        <v>29.166653592667402</v>
      </c>
      <c r="R48" s="54">
        <v>33.874982812739802</v>
      </c>
      <c r="S48" s="54">
        <v>39.210866562955857</v>
      </c>
      <c r="T48" s="54">
        <v>45.224913568853118</v>
      </c>
    </row>
    <row r="49" spans="1:20" hidden="1">
      <c r="C49" s="249">
        <f t="shared" si="4"/>
        <v>0.11999999999999995</v>
      </c>
      <c r="D49" s="250">
        <f t="shared" si="5"/>
        <v>138.24569506688155</v>
      </c>
      <c r="E49" s="250">
        <f t="shared" si="5"/>
        <v>153.14569879557416</v>
      </c>
      <c r="F49" s="250">
        <f t="shared" si="5"/>
        <v>168.73343260852266</v>
      </c>
      <c r="G49" s="250">
        <f t="shared" si="5"/>
        <v>185.26021599020515</v>
      </c>
      <c r="H49" s="250">
        <f t="shared" si="5"/>
        <v>202.58561898727382</v>
      </c>
      <c r="P49" s="215">
        <f t="shared" si="6"/>
        <v>0.11999999999999995</v>
      </c>
      <c r="Q49" s="211">
        <v>28.846164280303139</v>
      </c>
      <c r="R49" s="54">
        <v>33.153869380466681</v>
      </c>
      <c r="S49" s="54">
        <v>37.992425319414181</v>
      </c>
      <c r="T49" s="54">
        <v>43.397717596164618</v>
      </c>
    </row>
    <row r="50" spans="1:20" hidden="1">
      <c r="C50" s="249">
        <f t="shared" si="4"/>
        <v>0.10999999999999996</v>
      </c>
      <c r="D50" s="250">
        <f t="shared" si="5"/>
        <v>136.67015396856985</v>
      </c>
      <c r="E50" s="250">
        <f t="shared" si="5"/>
        <v>149.66173524522574</v>
      </c>
      <c r="F50" s="250">
        <f t="shared" si="5"/>
        <v>162.97537902335023</v>
      </c>
      <c r="G50" s="250">
        <f t="shared" si="5"/>
        <v>176.82885745658757</v>
      </c>
      <c r="H50" s="250">
        <f t="shared" si="5"/>
        <v>191.02135116583261</v>
      </c>
      <c r="P50" s="215">
        <f t="shared" si="6"/>
        <v>0.10999999999999996</v>
      </c>
      <c r="Q50" s="211">
        <v>28.525642776725807</v>
      </c>
      <c r="R50" s="54">
        <v>32.439115056668911</v>
      </c>
      <c r="S50" s="54">
        <v>36.795532715537576</v>
      </c>
      <c r="T50" s="54">
        <v>41.618796813578172</v>
      </c>
    </row>
    <row r="51" spans="1:20" hidden="1">
      <c r="C51" s="249">
        <f t="shared" si="4"/>
        <v>9.9999999999999964E-2</v>
      </c>
      <c r="D51" s="250">
        <f t="shared" si="5"/>
        <v>135.09453271666999</v>
      </c>
      <c r="E51" s="250">
        <f t="shared" si="5"/>
        <v>146.20959889522993</v>
      </c>
      <c r="F51" s="250">
        <f t="shared" si="5"/>
        <v>157.32175581523478</v>
      </c>
      <c r="G51" s="250">
        <f t="shared" si="5"/>
        <v>168.62796748875178</v>
      </c>
      <c r="H51" s="250">
        <f t="shared" si="5"/>
        <v>179.87993182278532</v>
      </c>
      <c r="P51" s="215">
        <f t="shared" si="6"/>
        <v>9.9999999999999964E-2</v>
      </c>
      <c r="Q51" s="211">
        <v>28.205116516348888</v>
      </c>
      <c r="R51" s="54">
        <v>31.73073764790135</v>
      </c>
      <c r="S51" s="54">
        <v>35.620108129458785</v>
      </c>
      <c r="T51" s="54">
        <v>39.887270363491865</v>
      </c>
    </row>
    <row r="52" spans="1:20" hidden="1">
      <c r="C52" s="249">
        <f t="shared" si="4"/>
        <v>8.9999999999999969E-2</v>
      </c>
      <c r="D52" s="250">
        <f t="shared" si="5"/>
        <v>133.51891192709863</v>
      </c>
      <c r="E52" s="250">
        <f t="shared" si="5"/>
        <v>142.78848701161272</v>
      </c>
      <c r="F52" s="250">
        <f t="shared" si="5"/>
        <v>151.77224805277135</v>
      </c>
      <c r="G52" s="250">
        <f t="shared" si="5"/>
        <v>160.65296186547627</v>
      </c>
      <c r="H52" s="250">
        <f t="shared" si="5"/>
        <v>169.1482526138831</v>
      </c>
      <c r="P52" s="215">
        <f t="shared" si="6"/>
        <v>8.9999999999999969E-2</v>
      </c>
      <c r="Q52" s="211">
        <v>27.884622801624083</v>
      </c>
      <c r="R52" s="54">
        <v>31.028811518607444</v>
      </c>
      <c r="S52" s="54">
        <v>34.465915026510991</v>
      </c>
      <c r="T52" s="54">
        <v>38.202429390158677</v>
      </c>
    </row>
    <row r="53" spans="1:20" hidden="1">
      <c r="C53" s="249">
        <f t="shared" si="4"/>
        <v>7.9999999999999974E-2</v>
      </c>
      <c r="D53" s="250">
        <f t="shared" si="5"/>
        <v>131.94348693919281</v>
      </c>
      <c r="E53" s="250">
        <f t="shared" si="5"/>
        <v>139.3991271917167</v>
      </c>
      <c r="F53" s="250">
        <f t="shared" si="5"/>
        <v>146.32503535556415</v>
      </c>
      <c r="G53" s="250">
        <f t="shared" si="5"/>
        <v>152.89959265202907</v>
      </c>
      <c r="H53" s="250">
        <f t="shared" si="5"/>
        <v>158.81547303829413</v>
      </c>
      <c r="P53" s="215">
        <f t="shared" si="6"/>
        <v>7.9999999999999974E-2</v>
      </c>
      <c r="Q53" s="211">
        <v>27.564106503935839</v>
      </c>
      <c r="R53" s="240">
        <v>30.33330510076879</v>
      </c>
      <c r="S53" s="54">
        <v>33.332641572514731</v>
      </c>
      <c r="T53" s="54">
        <v>36.56329093851361</v>
      </c>
    </row>
    <row r="54" spans="1:20" hidden="1">
      <c r="C54" s="203"/>
      <c r="D54" s="203"/>
      <c r="E54" s="203"/>
      <c r="F54" s="203"/>
      <c r="G54" s="203"/>
      <c r="H54" s="203"/>
      <c r="P54" s="203"/>
      <c r="Q54" s="203"/>
      <c r="R54" s="203"/>
      <c r="S54" s="203"/>
      <c r="T54" s="203"/>
    </row>
    <row r="55" spans="1:20" hidden="1">
      <c r="C55" s="238"/>
      <c r="D55" s="238"/>
      <c r="E55" s="238"/>
      <c r="F55" s="238"/>
      <c r="G55" s="238"/>
      <c r="H55" s="238"/>
    </row>
    <row r="56" spans="1:20" hidden="1">
      <c r="C56" s="407"/>
      <c r="D56" s="217">
        <v>2</v>
      </c>
      <c r="E56" s="217">
        <f>D56+1</f>
        <v>3</v>
      </c>
      <c r="F56" s="217">
        <f>E56+1</f>
        <v>4</v>
      </c>
      <c r="G56" s="217">
        <f>F56+1</f>
        <v>5</v>
      </c>
      <c r="H56" s="217">
        <f>G56+1</f>
        <v>6</v>
      </c>
      <c r="P56" s="407"/>
      <c r="Q56" s="217">
        <v>2</v>
      </c>
      <c r="R56" s="217">
        <f>Q56+1</f>
        <v>3</v>
      </c>
      <c r="S56" s="217">
        <f>R56+1</f>
        <v>4</v>
      </c>
      <c r="T56" s="217">
        <f>S56+1</f>
        <v>5</v>
      </c>
    </row>
    <row r="57" spans="1:20" hidden="1">
      <c r="C57" s="407"/>
      <c r="D57" s="206">
        <f>SUM('Call Rights'!$J$59:$L$59)</f>
        <v>-25.80830186055363</v>
      </c>
      <c r="E57" s="206">
        <f>SUM('Call Rights'!$J$59:$L$59)</f>
        <v>-25.80830186055363</v>
      </c>
      <c r="F57" s="206">
        <f>SUM('Call Rights'!$J$59:$L$59)</f>
        <v>-25.80830186055363</v>
      </c>
      <c r="G57" s="206">
        <f>SUM('Call Rights'!$J$59:$L$59)</f>
        <v>-25.80830186055363</v>
      </c>
      <c r="H57" s="206">
        <f>SUM('Call Rights'!$J$59:$L$59)</f>
        <v>-25.80830186055363</v>
      </c>
      <c r="P57" s="407"/>
      <c r="Q57" s="206">
        <f>SUM('Call Rights'!$J$59:$L$59)</f>
        <v>-25.80830186055363</v>
      </c>
      <c r="R57" s="206">
        <f>Q57</f>
        <v>-25.80830186055363</v>
      </c>
      <c r="S57" s="206">
        <f>R57</f>
        <v>-25.80830186055363</v>
      </c>
      <c r="T57" s="206">
        <f>S57</f>
        <v>-25.80830186055363</v>
      </c>
    </row>
    <row r="58" spans="1:20" hidden="1">
      <c r="C58" s="218">
        <v>0.2</v>
      </c>
      <c r="D58" s="225">
        <f t="shared" ref="D58:H70" si="7">(D25+D$57)/-D$57/(D$24-1)</f>
        <v>-1</v>
      </c>
      <c r="E58" s="225">
        <f t="shared" si="7"/>
        <v>-0.5</v>
      </c>
      <c r="F58" s="225">
        <f t="shared" si="7"/>
        <v>-0.33333333333333331</v>
      </c>
      <c r="G58" s="225">
        <f t="shared" si="7"/>
        <v>-0.25</v>
      </c>
      <c r="H58" s="225">
        <f t="shared" si="7"/>
        <v>-0.2</v>
      </c>
      <c r="P58" s="218">
        <v>0.2</v>
      </c>
      <c r="Q58" s="225">
        <f t="shared" ref="Q58:T70" si="8">(Q25+Q$57)/-Q$57/(Q$24-1)</f>
        <v>0.11831856531441054</v>
      </c>
      <c r="R58" s="225">
        <f t="shared" si="8"/>
        <v>0.1499417865875072</v>
      </c>
      <c r="S58" s="225">
        <f t="shared" si="8"/>
        <v>0.17008222603352649</v>
      </c>
      <c r="T58" s="225">
        <f t="shared" si="8"/>
        <v>0.18893646161025687</v>
      </c>
    </row>
    <row r="59" spans="1:20" hidden="1">
      <c r="C59" s="218">
        <f>C58-1%</f>
        <v>0.19</v>
      </c>
      <c r="D59" s="225">
        <f t="shared" si="7"/>
        <v>-1</v>
      </c>
      <c r="E59" s="225">
        <f t="shared" si="7"/>
        <v>-0.5</v>
      </c>
      <c r="F59" s="225">
        <f t="shared" si="7"/>
        <v>-0.33333333333333331</v>
      </c>
      <c r="G59" s="225">
        <f t="shared" si="7"/>
        <v>-0.25</v>
      </c>
      <c r="H59" s="225">
        <f t="shared" si="7"/>
        <v>-0.2</v>
      </c>
      <c r="P59" s="218">
        <f>P58-1%</f>
        <v>0.19</v>
      </c>
      <c r="Q59" s="225">
        <f t="shared" si="8"/>
        <v>0.10882357638866483</v>
      </c>
      <c r="R59" s="225">
        <f t="shared" si="8"/>
        <v>0.1387000306789542</v>
      </c>
      <c r="S59" s="225">
        <f t="shared" si="8"/>
        <v>0.15681337828565181</v>
      </c>
      <c r="T59" s="225">
        <f t="shared" si="8"/>
        <v>0.17331922675465003</v>
      </c>
    </row>
    <row r="60" spans="1:20" hidden="1">
      <c r="B60" s="99"/>
      <c r="C60" s="218">
        <f t="shared" ref="C60:C70" si="9">C59-1%</f>
        <v>0.18</v>
      </c>
      <c r="D60" s="225">
        <f t="shared" si="7"/>
        <v>0.14458479162631052</v>
      </c>
      <c r="E60" s="225">
        <f t="shared" si="7"/>
        <v>0.17695628934964255</v>
      </c>
      <c r="F60" s="225">
        <f t="shared" si="7"/>
        <v>0.1975842547365638</v>
      </c>
      <c r="G60" s="225">
        <f t="shared" si="7"/>
        <v>0.21675067346016771</v>
      </c>
      <c r="H60" s="225">
        <f t="shared" si="7"/>
        <v>0.23628669617436387</v>
      </c>
      <c r="O60" s="99"/>
      <c r="P60" s="218">
        <f t="shared" ref="P60:P70" si="10">P59-1%</f>
        <v>0.18</v>
      </c>
      <c r="Q60" s="225">
        <f t="shared" si="8"/>
        <v>0.19222241142959298</v>
      </c>
      <c r="R60" s="225">
        <f t="shared" si="8"/>
        <v>0.22800067943161031</v>
      </c>
      <c r="S60" s="225">
        <f t="shared" si="8"/>
        <v>0.25606127445346288</v>
      </c>
      <c r="T60" s="225">
        <f t="shared" si="8"/>
        <v>0.28390919685937893</v>
      </c>
    </row>
    <row r="61" spans="1:20" hidden="1">
      <c r="C61" s="218">
        <f t="shared" si="9"/>
        <v>0.16999999999999998</v>
      </c>
      <c r="D61" s="225">
        <f t="shared" si="7"/>
        <v>0.13237584867632821</v>
      </c>
      <c r="E61" s="225">
        <f t="shared" si="7"/>
        <v>0.16272399112615565</v>
      </c>
      <c r="F61" s="225">
        <f t="shared" si="7"/>
        <v>0.18103809035659776</v>
      </c>
      <c r="G61" s="225">
        <f t="shared" si="7"/>
        <v>0.1975654232080658</v>
      </c>
      <c r="H61" s="225">
        <f t="shared" si="7"/>
        <v>0.21404983962690877</v>
      </c>
      <c r="P61" s="218">
        <f t="shared" si="10"/>
        <v>0.16999999999999998</v>
      </c>
      <c r="Q61" s="225">
        <f t="shared" si="8"/>
        <v>0.17980328659067527</v>
      </c>
      <c r="R61" s="225">
        <f t="shared" si="8"/>
        <v>0.21340882458559532</v>
      </c>
      <c r="S61" s="225">
        <f t="shared" si="8"/>
        <v>0.2388928075652407</v>
      </c>
      <c r="T61" s="225">
        <f t="shared" si="8"/>
        <v>0.2637396820890035</v>
      </c>
    </row>
    <row r="62" spans="1:20" hidden="1">
      <c r="C62" s="218">
        <f t="shared" si="9"/>
        <v>0.15999999999999998</v>
      </c>
      <c r="D62" s="225">
        <f t="shared" si="7"/>
        <v>0.12016640141107682</v>
      </c>
      <c r="E62" s="225">
        <f t="shared" si="7"/>
        <v>0.14861501328358559</v>
      </c>
      <c r="F62" s="225">
        <f t="shared" si="7"/>
        <v>0.16477598191447004</v>
      </c>
      <c r="G62" s="225">
        <f t="shared" si="7"/>
        <v>0.17887703074163253</v>
      </c>
      <c r="H62" s="225">
        <f t="shared" si="7"/>
        <v>0.19258023362781723</v>
      </c>
      <c r="P62" s="218">
        <f t="shared" si="10"/>
        <v>0.15999999999999998</v>
      </c>
      <c r="Q62" s="225">
        <f t="shared" si="8"/>
        <v>0.16738484819172073</v>
      </c>
      <c r="R62" s="225">
        <f t="shared" si="8"/>
        <v>0.19893971680126277</v>
      </c>
      <c r="S62" s="225">
        <f t="shared" si="8"/>
        <v>0.22201464566903154</v>
      </c>
      <c r="T62" s="225">
        <f t="shared" si="8"/>
        <v>0.24408077432304845</v>
      </c>
    </row>
    <row r="63" spans="1:20" hidden="1">
      <c r="A63" s="238"/>
      <c r="B63" s="238"/>
      <c r="C63" s="218">
        <f t="shared" si="9"/>
        <v>0.14999999999999997</v>
      </c>
      <c r="D63" s="225">
        <f t="shared" si="7"/>
        <v>0.10795622799258547</v>
      </c>
      <c r="E63" s="225">
        <f t="shared" si="7"/>
        <v>0.13462693317286925</v>
      </c>
      <c r="F63" s="225">
        <f t="shared" si="7"/>
        <v>0.14879636298283869</v>
      </c>
      <c r="G63" s="225">
        <f t="shared" si="7"/>
        <v>0.16067704427498697</v>
      </c>
      <c r="H63" s="225">
        <f t="shared" si="7"/>
        <v>0.17185748696195549</v>
      </c>
      <c r="P63" s="218">
        <f t="shared" si="10"/>
        <v>0.14999999999999997</v>
      </c>
      <c r="Q63" s="225">
        <f t="shared" si="8"/>
        <v>0.15496567590897542</v>
      </c>
      <c r="R63" s="225">
        <f t="shared" si="8"/>
        <v>0.1845960817406164</v>
      </c>
      <c r="S63" s="225">
        <f t="shared" si="8"/>
        <v>0.20542608824577338</v>
      </c>
      <c r="T63" s="225">
        <f t="shared" si="8"/>
        <v>0.22492474972167009</v>
      </c>
    </row>
    <row r="64" spans="1:20" hidden="1">
      <c r="C64" s="218">
        <f t="shared" si="9"/>
        <v>0.13999999999999996</v>
      </c>
      <c r="D64" s="225">
        <f t="shared" si="7"/>
        <v>9.5745978227610648E-2</v>
      </c>
      <c r="E64" s="225">
        <f t="shared" si="7"/>
        <v>0.12076187186946294</v>
      </c>
      <c r="F64" s="225">
        <f t="shared" si="7"/>
        <v>0.13309763166674571</v>
      </c>
      <c r="G64" s="225">
        <f t="shared" si="7"/>
        <v>0.14295536536195452</v>
      </c>
      <c r="H64" s="225">
        <f t="shared" si="7"/>
        <v>0.15186361785785712</v>
      </c>
      <c r="P64" s="218">
        <f t="shared" si="10"/>
        <v>0.13999999999999996</v>
      </c>
      <c r="Q64" s="225">
        <f t="shared" si="8"/>
        <v>0.14254661939800406</v>
      </c>
      <c r="R64" s="225">
        <f t="shared" si="8"/>
        <v>0.17037676589649356</v>
      </c>
      <c r="S64" s="225">
        <f t="shared" si="8"/>
        <v>0.1891228021136612</v>
      </c>
      <c r="T64" s="225">
        <f t="shared" si="8"/>
        <v>0.20626208729553749</v>
      </c>
    </row>
    <row r="65" spans="2:27" hidden="1">
      <c r="C65" s="218">
        <f t="shared" si="9"/>
        <v>0.12999999999999995</v>
      </c>
      <c r="D65" s="225">
        <f t="shared" si="7"/>
        <v>8.3536367104007345E-2</v>
      </c>
      <c r="E65" s="225">
        <f t="shared" si="7"/>
        <v>0.10701860817283525</v>
      </c>
      <c r="F65" s="225">
        <f t="shared" si="7"/>
        <v>0.11767547581940511</v>
      </c>
      <c r="G65" s="225">
        <f t="shared" si="7"/>
        <v>0.1257048967634635</v>
      </c>
      <c r="H65" s="225">
        <f t="shared" si="7"/>
        <v>0.13257840337787671</v>
      </c>
      <c r="P65" s="218">
        <f t="shared" si="10"/>
        <v>0.12999999999999995</v>
      </c>
      <c r="Q65" s="225">
        <f t="shared" si="8"/>
        <v>0.13012679990568465</v>
      </c>
      <c r="R65" s="225">
        <f t="shared" si="8"/>
        <v>0.15628073857341981</v>
      </c>
      <c r="S65" s="225">
        <f t="shared" si="8"/>
        <v>0.17310404968161563</v>
      </c>
      <c r="T65" s="225">
        <f t="shared" si="8"/>
        <v>0.18808494078001078</v>
      </c>
    </row>
    <row r="66" spans="2:27" hidden="1">
      <c r="C66" s="218">
        <f t="shared" si="9"/>
        <v>0.11999999999999995</v>
      </c>
      <c r="D66" s="225">
        <f t="shared" si="7"/>
        <v>7.1327325709727815E-2</v>
      </c>
      <c r="E66" s="239">
        <f t="shared" si="7"/>
        <v>9.3397037988182274E-2</v>
      </c>
      <c r="F66" s="239">
        <f t="shared" si="7"/>
        <v>0.10253011742814722</v>
      </c>
      <c r="G66" s="225">
        <f t="shared" si="7"/>
        <v>0.10891593525059427</v>
      </c>
      <c r="H66" s="225">
        <f t="shared" si="7"/>
        <v>0.11398519760327699</v>
      </c>
      <c r="P66" s="218">
        <f t="shared" si="10"/>
        <v>0.11999999999999995</v>
      </c>
      <c r="Q66" s="225">
        <f t="shared" si="8"/>
        <v>0.11770872939116891</v>
      </c>
      <c r="R66" s="225">
        <f t="shared" si="8"/>
        <v>0.14231016747251179</v>
      </c>
      <c r="S66" s="225">
        <f t="shared" si="8"/>
        <v>0.15736697858817308</v>
      </c>
      <c r="T66" s="225">
        <f t="shared" si="8"/>
        <v>0.17038524881111325</v>
      </c>
    </row>
    <row r="67" spans="2:27" hidden="1">
      <c r="C67" s="218">
        <f t="shared" si="9"/>
        <v>0.10999999999999996</v>
      </c>
      <c r="D67" s="244">
        <f t="shared" si="7"/>
        <v>5.9117757588395305E-2</v>
      </c>
      <c r="E67" s="225">
        <f t="shared" si="7"/>
        <v>7.9897647097712812E-2</v>
      </c>
      <c r="F67" s="225">
        <f t="shared" si="7"/>
        <v>8.7656212082277987E-2</v>
      </c>
      <c r="G67" s="239">
        <f t="shared" si="7"/>
        <v>9.2581349234099344E-2</v>
      </c>
      <c r="H67" s="239">
        <f t="shared" si="7"/>
        <v>9.6061867530768105E-2</v>
      </c>
      <c r="P67" s="218">
        <f t="shared" si="10"/>
        <v>0.10999999999999996</v>
      </c>
      <c r="Q67" s="225">
        <f t="shared" si="8"/>
        <v>0.10528941155657597</v>
      </c>
      <c r="R67" s="225">
        <f t="shared" si="8"/>
        <v>0.12846279526531076</v>
      </c>
      <c r="S67" s="225">
        <f t="shared" si="8"/>
        <v>0.14190822413590926</v>
      </c>
      <c r="T67" s="225">
        <f t="shared" si="8"/>
        <v>0.15315318921844573</v>
      </c>
    </row>
    <row r="68" spans="2:27" hidden="1">
      <c r="C68" s="218">
        <f t="shared" si="9"/>
        <v>9.9999999999999964E-2</v>
      </c>
      <c r="D68" s="225">
        <f t="shared" si="7"/>
        <v>4.6907568321289055E-2</v>
      </c>
      <c r="E68" s="244">
        <f t="shared" si="7"/>
        <v>6.6521577766812029E-2</v>
      </c>
      <c r="F68" s="244">
        <f t="shared" si="7"/>
        <v>7.3052065869526089E-2</v>
      </c>
      <c r="G68" s="244">
        <f t="shared" si="7"/>
        <v>7.6693264050993346E-2</v>
      </c>
      <c r="H68" s="244">
        <f t="shared" si="7"/>
        <v>7.8793905611776058E-2</v>
      </c>
      <c r="P68" s="218">
        <f t="shared" si="10"/>
        <v>9.9999999999999964E-2</v>
      </c>
      <c r="Q68" s="225">
        <f t="shared" si="8"/>
        <v>9.2869909409213705E-2</v>
      </c>
      <c r="R68" s="225">
        <f t="shared" si="8"/>
        <v>0.11473896692908321</v>
      </c>
      <c r="S68" s="225">
        <f t="shared" si="8"/>
        <v>0.12672674503369638</v>
      </c>
      <c r="T68" s="225">
        <f t="shared" si="8"/>
        <v>0.1363802293057593</v>
      </c>
    </row>
    <row r="69" spans="2:27" hidden="1">
      <c r="C69" s="218">
        <f t="shared" si="9"/>
        <v>8.9999999999999969E-2</v>
      </c>
      <c r="D69" s="225">
        <f t="shared" si="7"/>
        <v>3.469738263697171E-2</v>
      </c>
      <c r="E69" s="225">
        <f t="shared" si="7"/>
        <v>5.3265719624335191E-2</v>
      </c>
      <c r="F69" s="225">
        <f t="shared" si="7"/>
        <v>5.8716865275421838E-2</v>
      </c>
      <c r="G69" s="225">
        <f t="shared" si="7"/>
        <v>6.1242798409422358E-2</v>
      </c>
      <c r="H69" s="225">
        <f t="shared" si="7"/>
        <v>6.2160995369347584E-2</v>
      </c>
      <c r="P69" s="218">
        <f t="shared" si="10"/>
        <v>8.9999999999999969E-2</v>
      </c>
      <c r="Q69" s="225">
        <f t="shared" si="8"/>
        <v>8.0451668315457012E-2</v>
      </c>
      <c r="R69" s="225">
        <f t="shared" si="8"/>
        <v>0.10114012317162632</v>
      </c>
      <c r="S69" s="225">
        <f t="shared" si="8"/>
        <v>0.1118194862611241</v>
      </c>
      <c r="T69" s="225">
        <f t="shared" si="8"/>
        <v>0.12005950252531622</v>
      </c>
    </row>
    <row r="70" spans="2:27" hidden="1">
      <c r="C70" s="218">
        <f t="shared" si="9"/>
        <v>7.9999999999999974E-2</v>
      </c>
      <c r="D70" s="225">
        <f t="shared" si="7"/>
        <v>2.2488714306772472E-2</v>
      </c>
      <c r="E70" s="225">
        <f t="shared" si="7"/>
        <v>4.0132891907853609E-2</v>
      </c>
      <c r="F70" s="225">
        <f t="shared" si="7"/>
        <v>4.4645907987751761E-2</v>
      </c>
      <c r="G70" s="225">
        <f t="shared" si="7"/>
        <v>4.6221722525894883E-2</v>
      </c>
      <c r="H70" s="225">
        <f t="shared" si="7"/>
        <v>4.6146335231817208E-2</v>
      </c>
      <c r="P70" s="218">
        <f t="shared" si="10"/>
        <v>7.9999999999999974E-2</v>
      </c>
      <c r="Q70" s="225">
        <f t="shared" si="8"/>
        <v>6.8032552194603954E-2</v>
      </c>
      <c r="R70" s="239">
        <f t="shared" si="8"/>
        <v>8.7665652406432509E-2</v>
      </c>
      <c r="S70" s="225">
        <f t="shared" si="8"/>
        <v>9.7182420248806092E-2</v>
      </c>
      <c r="T70" s="225">
        <f t="shared" si="8"/>
        <v>0.10418148718260214</v>
      </c>
    </row>
    <row r="71" spans="2:27" hidden="1"/>
    <row r="72" spans="2:27" hidden="1"/>
    <row r="73" spans="2:27" ht="24" hidden="1" thickBot="1">
      <c r="B73" s="237" t="s">
        <v>160</v>
      </c>
      <c r="C73" s="237"/>
      <c r="D73" s="237"/>
      <c r="E73" s="237"/>
      <c r="F73" s="237"/>
      <c r="G73" s="237"/>
      <c r="H73" s="237"/>
      <c r="I73" s="237"/>
      <c r="J73" s="237"/>
      <c r="K73" s="237"/>
      <c r="L73" s="237"/>
      <c r="M73" s="237"/>
      <c r="N73" s="237"/>
      <c r="O73" s="237"/>
      <c r="P73" s="237"/>
      <c r="Q73" s="237"/>
      <c r="R73" s="237"/>
      <c r="S73" s="237"/>
      <c r="T73" s="237"/>
      <c r="U73" s="237"/>
      <c r="V73" s="237"/>
      <c r="W73" s="237"/>
      <c r="X73" s="237"/>
      <c r="Y73" s="237"/>
      <c r="Z73" s="237"/>
      <c r="AA73" s="237"/>
    </row>
    <row r="74" spans="2:27" hidden="1"/>
    <row r="75" spans="2:27" ht="20.25" hidden="1" thickBot="1">
      <c r="C75" s="66" t="s">
        <v>157</v>
      </c>
      <c r="P75" s="66" t="s">
        <v>158</v>
      </c>
    </row>
    <row r="76" spans="2:27" hidden="1"/>
    <row r="77" spans="2:27" hidden="1">
      <c r="D77" s="214">
        <v>1</v>
      </c>
      <c r="E77" s="214">
        <f t="shared" ref="E77:K77" si="11">D77+1</f>
        <v>2</v>
      </c>
      <c r="F77" s="214">
        <f t="shared" si="11"/>
        <v>3</v>
      </c>
      <c r="G77" s="214">
        <f t="shared" si="11"/>
        <v>4</v>
      </c>
      <c r="H77" s="214">
        <f t="shared" si="11"/>
        <v>5</v>
      </c>
      <c r="I77" s="214">
        <f t="shared" si="11"/>
        <v>6</v>
      </c>
      <c r="J77" s="214">
        <f t="shared" si="11"/>
        <v>7</v>
      </c>
      <c r="K77" s="214">
        <f t="shared" si="11"/>
        <v>8</v>
      </c>
      <c r="L77" s="214">
        <f>K77+1</f>
        <v>9</v>
      </c>
      <c r="M77" s="214">
        <f>L77+1</f>
        <v>10</v>
      </c>
      <c r="N77" s="214">
        <f>K77+1</f>
        <v>9</v>
      </c>
      <c r="Q77" s="214">
        <v>2</v>
      </c>
      <c r="R77" s="214">
        <f t="shared" ref="R77:Y77" si="12">Q77+1</f>
        <v>3</v>
      </c>
      <c r="S77" s="214">
        <f t="shared" si="12"/>
        <v>4</v>
      </c>
      <c r="T77" s="214">
        <f t="shared" si="12"/>
        <v>5</v>
      </c>
      <c r="U77" s="214">
        <f t="shared" si="12"/>
        <v>6</v>
      </c>
      <c r="V77" s="214">
        <f t="shared" si="12"/>
        <v>7</v>
      </c>
      <c r="W77" s="214">
        <f t="shared" si="12"/>
        <v>8</v>
      </c>
      <c r="X77" s="214">
        <f t="shared" si="12"/>
        <v>9</v>
      </c>
      <c r="Y77" s="214">
        <f t="shared" si="12"/>
        <v>10</v>
      </c>
    </row>
    <row r="78" spans="2:27" hidden="1">
      <c r="C78" s="215">
        <v>0.2</v>
      </c>
      <c r="D78" s="212"/>
      <c r="E78" s="213"/>
      <c r="F78" s="213"/>
      <c r="G78" s="213"/>
      <c r="H78" s="213"/>
      <c r="I78" s="213"/>
      <c r="J78" s="213"/>
      <c r="K78" s="213"/>
      <c r="L78" s="213"/>
      <c r="M78" s="213"/>
      <c r="N78" s="213"/>
      <c r="P78" s="215">
        <v>0.2</v>
      </c>
      <c r="Q78" s="212">
        <v>28.861903109895568</v>
      </c>
      <c r="R78" s="213">
        <v>33.547787640075825</v>
      </c>
      <c r="S78" s="213">
        <v>38.976902152318125</v>
      </c>
      <c r="T78" s="213">
        <v>45.312818795363278</v>
      </c>
      <c r="U78" s="213">
        <v>52.698438109420046</v>
      </c>
      <c r="V78" s="213">
        <v>61.409811645609864</v>
      </c>
      <c r="W78" s="213">
        <v>71.743163106378219</v>
      </c>
      <c r="X78" s="213">
        <v>83.931960481167522</v>
      </c>
      <c r="Y78" s="213">
        <v>98.558733908005578</v>
      </c>
    </row>
    <row r="79" spans="2:27" hidden="1">
      <c r="C79" s="215">
        <f>C78-1%</f>
        <v>0.19</v>
      </c>
      <c r="D79" s="211"/>
      <c r="E79" s="54"/>
      <c r="F79" s="54"/>
      <c r="G79" s="54"/>
      <c r="H79" s="54"/>
      <c r="I79" s="54"/>
      <c r="J79" s="54"/>
      <c r="K79" s="54"/>
      <c r="L79" s="54"/>
      <c r="M79" s="54"/>
      <c r="N79" s="54"/>
      <c r="P79" s="215">
        <f>P78-1%</f>
        <v>0.19</v>
      </c>
      <c r="Q79" s="211">
        <v>28.616853569537309</v>
      </c>
      <c r="R79" s="54">
        <v>32.967526380214629</v>
      </c>
      <c r="S79" s="54">
        <v>37.949562868261495</v>
      </c>
      <c r="T79" s="54">
        <v>43.700601549840634</v>
      </c>
      <c r="U79" s="54">
        <v>50.326735092830134</v>
      </c>
      <c r="V79" s="54">
        <v>58.060246772091666</v>
      </c>
      <c r="W79" s="54">
        <v>67.139261241008995</v>
      </c>
      <c r="X79" s="54">
        <v>77.735775896172129</v>
      </c>
      <c r="Y79" s="54">
        <v>90.345851130666858</v>
      </c>
    </row>
    <row r="80" spans="2:27" hidden="1">
      <c r="B80" s="407"/>
      <c r="C80" s="215">
        <f t="shared" ref="C80:C91" si="13">C79-1%</f>
        <v>0.18</v>
      </c>
      <c r="D80" s="211">
        <v>29.539800402462404</v>
      </c>
      <c r="E80" s="54">
        <v>34.942197056745087</v>
      </c>
      <c r="F80" s="54">
        <v>128.93870791261583</v>
      </c>
      <c r="G80" s="54">
        <v>154.08406850430734</v>
      </c>
      <c r="H80" s="54">
        <v>183.17451844712406</v>
      </c>
      <c r="I80" s="54">
        <v>217.09679133235758</v>
      </c>
      <c r="J80" s="54">
        <v>256.83963211461884</v>
      </c>
      <c r="K80" s="54">
        <v>303.13795450452204</v>
      </c>
      <c r="L80" s="54">
        <v>303.13795450452204</v>
      </c>
      <c r="M80" s="54">
        <v>303.13795450452204</v>
      </c>
      <c r="N80" s="54">
        <v>357.76749893390138</v>
      </c>
      <c r="O80" s="407"/>
      <c r="P80" s="215">
        <f t="shared" ref="P80:P91" si="14">P79-1%</f>
        <v>0.18</v>
      </c>
      <c r="Q80" s="211">
        <v>30.769230769230766</v>
      </c>
      <c r="R80" s="54">
        <v>37.576916338501228</v>
      </c>
      <c r="S80" s="54">
        <v>135.52136459035427</v>
      </c>
      <c r="T80" s="54">
        <v>165.74805850462349</v>
      </c>
      <c r="U80" s="54">
        <v>201.41512327620876</v>
      </c>
      <c r="V80" s="54">
        <v>243.50295357214526</v>
      </c>
      <c r="W80" s="54">
        <v>293.31443178928714</v>
      </c>
      <c r="X80" s="54">
        <v>351.94291782742039</v>
      </c>
      <c r="Y80" s="54">
        <v>421.1254089620636</v>
      </c>
    </row>
    <row r="81" spans="1:25" hidden="1">
      <c r="A81" s="1"/>
      <c r="B81" s="407"/>
      <c r="C81" s="215">
        <f t="shared" si="13"/>
        <v>0.16999999999999998</v>
      </c>
      <c r="D81" s="211">
        <v>29.224692592806697</v>
      </c>
      <c r="E81" s="54">
        <v>34.20755562241925</v>
      </c>
      <c r="F81" s="54">
        <v>127.65763048280009</v>
      </c>
      <c r="G81" s="54">
        <v>150.97168717479138</v>
      </c>
      <c r="H81" s="54">
        <v>177.66828870709182</v>
      </c>
      <c r="I81" s="54">
        <v>208.49875738903506</v>
      </c>
      <c r="J81" s="54">
        <v>244.27314700196459</v>
      </c>
      <c r="K81" s="54">
        <v>285.54101111429929</v>
      </c>
      <c r="L81" s="54">
        <v>285.54101111429929</v>
      </c>
      <c r="M81" s="54">
        <v>285.54101111429929</v>
      </c>
      <c r="N81" s="54">
        <v>333.82689870086347</v>
      </c>
      <c r="O81" s="407"/>
      <c r="P81" s="215">
        <f t="shared" si="14"/>
        <v>0.16999999999999998</v>
      </c>
      <c r="Q81" s="211">
        <v>30.448717948717949</v>
      </c>
      <c r="R81" s="54">
        <v>36.823738887361856</v>
      </c>
      <c r="S81" s="54">
        <v>134.19208742076876</v>
      </c>
      <c r="T81" s="54">
        <v>162.51333705369257</v>
      </c>
      <c r="U81" s="54">
        <v>195.64931785564573</v>
      </c>
      <c r="V81" s="54">
        <v>234.4181548186026</v>
      </c>
      <c r="W81" s="54">
        <v>279.91304465601871</v>
      </c>
      <c r="X81" s="54">
        <v>333.00650198551443</v>
      </c>
      <c r="Y81" s="54">
        <v>395.12719804160639</v>
      </c>
    </row>
    <row r="82" spans="1:25" hidden="1">
      <c r="B82" s="407"/>
      <c r="C82" s="215">
        <f t="shared" si="13"/>
        <v>0.15999999999999998</v>
      </c>
      <c r="D82" s="211">
        <v>28.909583773825645</v>
      </c>
      <c r="E82" s="54">
        <v>33.479294532964538</v>
      </c>
      <c r="F82" s="54">
        <v>126.39852276529278</v>
      </c>
      <c r="G82" s="54">
        <v>147.91061463191906</v>
      </c>
      <c r="H82" s="54">
        <v>172.28391732034103</v>
      </c>
      <c r="I82" s="54">
        <v>200.15145032818432</v>
      </c>
      <c r="J82" s="54">
        <v>232.16950491762117</v>
      </c>
      <c r="K82" s="54">
        <v>268.73493915921881</v>
      </c>
      <c r="L82" s="54">
        <v>268.73493915921881</v>
      </c>
      <c r="M82" s="54">
        <v>268.73493915921881</v>
      </c>
      <c r="N82" s="54">
        <v>311.15130801505512</v>
      </c>
      <c r="O82" s="407"/>
      <c r="P82" s="215">
        <f t="shared" si="14"/>
        <v>0.15999999999999998</v>
      </c>
      <c r="Q82" s="211">
        <v>30.128194143118236</v>
      </c>
      <c r="R82" s="54">
        <v>36.076938524133205</v>
      </c>
      <c r="S82" s="54">
        <v>132.88530477909333</v>
      </c>
      <c r="T82" s="54">
        <v>159.33156414177128</v>
      </c>
      <c r="U82" s="54">
        <v>190.00953601852837</v>
      </c>
      <c r="V82" s="54">
        <v>225.59567964422001</v>
      </c>
      <c r="W82" s="54">
        <v>266.99677125386552</v>
      </c>
      <c r="X82" s="54">
        <v>314.90073674856899</v>
      </c>
      <c r="Y82" s="54">
        <v>370.47069233567976</v>
      </c>
    </row>
    <row r="83" spans="1:25" hidden="1">
      <c r="C83" s="215">
        <f t="shared" si="13"/>
        <v>0.14999999999999997</v>
      </c>
      <c r="D83" s="211">
        <v>28.594458701310579</v>
      </c>
      <c r="E83" s="54">
        <v>32.75727537400951</v>
      </c>
      <c r="F83" s="54">
        <v>125.16138306613375</v>
      </c>
      <c r="G83" s="54">
        <v>144.89963157203317</v>
      </c>
      <c r="H83" s="54">
        <v>167.01802774347732</v>
      </c>
      <c r="I83" s="54">
        <v>192.04974601013231</v>
      </c>
      <c r="J83" s="54">
        <v>220.51589642258187</v>
      </c>
      <c r="K83" s="54">
        <v>252.68818600012676</v>
      </c>
      <c r="L83" s="54">
        <v>252.68818600012676</v>
      </c>
      <c r="M83" s="54">
        <v>252.68818600012676</v>
      </c>
      <c r="N83" s="54">
        <v>289.68572763644204</v>
      </c>
      <c r="P83" s="215">
        <f t="shared" si="14"/>
        <v>0.14999999999999997</v>
      </c>
      <c r="Q83" s="211">
        <v>29.807682639282888</v>
      </c>
      <c r="R83" s="54">
        <v>35.336506658477383</v>
      </c>
      <c r="S83" s="54">
        <v>131.60086906120731</v>
      </c>
      <c r="T83" s="54">
        <v>156.2016817807496</v>
      </c>
      <c r="U83" s="54">
        <v>184.49233300941984</v>
      </c>
      <c r="V83" s="54">
        <v>217.02701957821972</v>
      </c>
      <c r="W83" s="54">
        <v>254.55172938324407</v>
      </c>
      <c r="X83" s="54">
        <v>297.59526816780397</v>
      </c>
      <c r="Y83" s="54">
        <v>347.09389300993905</v>
      </c>
    </row>
    <row r="84" spans="1:25" s="17" customFormat="1" hidden="1">
      <c r="A84"/>
      <c r="C84" s="215">
        <f t="shared" si="13"/>
        <v>0.13999999999999996</v>
      </c>
      <c r="D84" s="211">
        <v>28.279369823103604</v>
      </c>
      <c r="E84" s="54">
        <v>32.041578662020861</v>
      </c>
      <c r="F84" s="54">
        <v>123.94588799422905</v>
      </c>
      <c r="G84" s="54">
        <v>141.9384590325111</v>
      </c>
      <c r="H84" s="54">
        <v>161.86917437360506</v>
      </c>
      <c r="I84" s="54">
        <v>184.18566593049349</v>
      </c>
      <c r="J84" s="54">
        <v>209.29644411173504</v>
      </c>
      <c r="K84" s="54">
        <v>237.36724835300157</v>
      </c>
      <c r="L84" s="54">
        <v>237.36724835300157</v>
      </c>
      <c r="M84" s="54">
        <v>237.36724835300157</v>
      </c>
      <c r="N84" s="54">
        <v>269.37032696719217</v>
      </c>
      <c r="P84" s="215">
        <f t="shared" si="14"/>
        <v>0.13999999999999996</v>
      </c>
      <c r="Q84" s="211">
        <v>29.487184027968496</v>
      </c>
      <c r="R84" s="54">
        <v>34.602567157355161</v>
      </c>
      <c r="S84" s="54">
        <v>130.33864374478628</v>
      </c>
      <c r="T84" s="54">
        <v>153.12260015943059</v>
      </c>
      <c r="U84" s="54">
        <v>179.096134443355</v>
      </c>
      <c r="V84" s="54">
        <v>208.70610784445091</v>
      </c>
      <c r="W84" s="54">
        <v>242.56057313534188</v>
      </c>
      <c r="X84" s="54">
        <v>281.05595977413498</v>
      </c>
      <c r="Y84" s="54">
        <v>324.94060227105297</v>
      </c>
    </row>
    <row r="85" spans="1:25" hidden="1">
      <c r="C85" s="215">
        <f t="shared" si="13"/>
        <v>0.12999999999999995</v>
      </c>
      <c r="D85" s="211">
        <v>27.964230081687955</v>
      </c>
      <c r="E85" s="54">
        <v>31.332234963520634</v>
      </c>
      <c r="F85" s="54">
        <v>122.75190693508956</v>
      </c>
      <c r="G85" s="54">
        <v>139.02579995260248</v>
      </c>
      <c r="H85" s="54">
        <v>156.83428160855348</v>
      </c>
      <c r="I85" s="54">
        <v>176.55356457038391</v>
      </c>
      <c r="J85" s="54">
        <v>198.49614676504618</v>
      </c>
      <c r="K85" s="54">
        <v>222.74694760749165</v>
      </c>
      <c r="L85" s="54">
        <v>222.74694760749165</v>
      </c>
      <c r="M85" s="54">
        <v>222.74694760749165</v>
      </c>
      <c r="N85" s="54">
        <v>250.15047959402378</v>
      </c>
      <c r="P85" s="215">
        <f t="shared" si="14"/>
        <v>0.12999999999999995</v>
      </c>
      <c r="Q85" s="211">
        <v>29.1666734213733</v>
      </c>
      <c r="R85" s="54">
        <v>33.875005842364018</v>
      </c>
      <c r="S85" s="54">
        <v>129.09845224750319</v>
      </c>
      <c r="T85" s="54">
        <v>150.09370739498954</v>
      </c>
      <c r="U85" s="54">
        <v>173.81842951843581</v>
      </c>
      <c r="V85" s="54">
        <v>200.62744037514125</v>
      </c>
      <c r="W85" s="54">
        <v>231.00938357886807</v>
      </c>
      <c r="X85" s="54">
        <v>265.25402879781097</v>
      </c>
      <c r="Y85" s="54">
        <v>303.94988405627521</v>
      </c>
    </row>
    <row r="86" spans="1:25" hidden="1">
      <c r="C86" s="215">
        <f t="shared" si="13"/>
        <v>0.11999999999999995</v>
      </c>
      <c r="D86" s="211">
        <v>27.649133560678102</v>
      </c>
      <c r="E86" s="240">
        <v>30.629133718729438</v>
      </c>
      <c r="F86" s="54">
        <v>121.57918960301303</v>
      </c>
      <c r="G86" s="54">
        <v>136.16066846471097</v>
      </c>
      <c r="H86" s="54">
        <v>151.91122291501375</v>
      </c>
      <c r="I86" s="54">
        <v>169.14680528370249</v>
      </c>
      <c r="J86" s="54">
        <v>188.10262405757265</v>
      </c>
      <c r="K86" s="54">
        <v>208.79689457052876</v>
      </c>
      <c r="L86" s="54">
        <v>208.79689457052876</v>
      </c>
      <c r="M86" s="54">
        <v>208.79689457052876</v>
      </c>
      <c r="N86" s="54">
        <v>231.97488572804846</v>
      </c>
      <c r="P86" s="215">
        <f t="shared" si="14"/>
        <v>0.11999999999999995</v>
      </c>
      <c r="Q86" s="211">
        <v>28.846162859294942</v>
      </c>
      <c r="R86" s="54">
        <v>33.15386774725404</v>
      </c>
      <c r="S86" s="54">
        <v>127.87995400787918</v>
      </c>
      <c r="T86" s="54">
        <v>147.11406751080273</v>
      </c>
      <c r="U86" s="54">
        <v>168.6560507656169</v>
      </c>
      <c r="V86" s="54">
        <v>192.78354858945681</v>
      </c>
      <c r="W86" s="54">
        <v>219.88467889632304</v>
      </c>
      <c r="X86" s="54">
        <v>250.15830444336265</v>
      </c>
      <c r="Y86" s="54">
        <v>284.06711350784371</v>
      </c>
    </row>
    <row r="87" spans="1:25" hidden="1">
      <c r="C87" s="215">
        <f t="shared" si="13"/>
        <v>0.10999999999999996</v>
      </c>
      <c r="D87" s="211">
        <v>27.334025209684199</v>
      </c>
      <c r="E87" s="54">
        <v>29.932340934209076</v>
      </c>
      <c r="F87" s="54">
        <v>120.42750824443449</v>
      </c>
      <c r="G87" s="54">
        <v>133.34273157163972</v>
      </c>
      <c r="H87" s="54">
        <v>147.09789174483959</v>
      </c>
      <c r="I87" s="54">
        <v>161.96080326910624</v>
      </c>
      <c r="J87" s="54">
        <v>178.10236625066443</v>
      </c>
      <c r="K87" s="54">
        <v>195.49078503255043</v>
      </c>
      <c r="L87" s="54">
        <v>195.49078503255043</v>
      </c>
      <c r="M87" s="54">
        <v>195.49078503255043</v>
      </c>
      <c r="N87" s="54">
        <v>214.79267598668278</v>
      </c>
      <c r="P87" s="215">
        <f t="shared" si="14"/>
        <v>0.10999999999999996</v>
      </c>
      <c r="Q87" s="211">
        <v>28.525655246834496</v>
      </c>
      <c r="R87" s="54">
        <v>32.439128358527228</v>
      </c>
      <c r="S87" s="54">
        <v>126.68306654284349</v>
      </c>
      <c r="T87" s="54">
        <v>144.18273455116289</v>
      </c>
      <c r="U87" s="54">
        <v>163.60702355585531</v>
      </c>
      <c r="V87" s="54">
        <v>185.16867915646935</v>
      </c>
      <c r="W87" s="54">
        <v>209.17003050960102</v>
      </c>
      <c r="X87" s="54">
        <v>235.744321380565</v>
      </c>
      <c r="Y87" s="54">
        <v>265.2391631732952</v>
      </c>
    </row>
    <row r="88" spans="1:25" hidden="1">
      <c r="C88" s="215">
        <f t="shared" si="13"/>
        <v>9.9999999999999964E-2</v>
      </c>
      <c r="D88" s="211">
        <v>27.018913537947284</v>
      </c>
      <c r="E88" s="54">
        <v>29.241859146358294</v>
      </c>
      <c r="F88" s="54">
        <v>119.29685769408547</v>
      </c>
      <c r="G88" s="54">
        <v>130.57056326559379</v>
      </c>
      <c r="H88" s="54">
        <v>142.39115976754479</v>
      </c>
      <c r="I88" s="54">
        <v>154.98845228982185</v>
      </c>
      <c r="J88" s="54">
        <v>168.48145710565782</v>
      </c>
      <c r="K88" s="54">
        <v>182.80253961519034</v>
      </c>
      <c r="L88" s="54">
        <v>182.80253961519034</v>
      </c>
      <c r="M88" s="54">
        <v>182.80253961519034</v>
      </c>
      <c r="N88" s="54">
        <v>198.55658088984333</v>
      </c>
      <c r="P88" s="215">
        <f t="shared" si="14"/>
        <v>9.9999999999999964E-2</v>
      </c>
      <c r="Q88" s="211">
        <v>28.205130135916313</v>
      </c>
      <c r="R88" s="54">
        <v>31.730745717498088</v>
      </c>
      <c r="S88" s="54">
        <v>125.50756777799089</v>
      </c>
      <c r="T88" s="54">
        <v>141.29876253010613</v>
      </c>
      <c r="U88" s="54">
        <v>158.66899271352975</v>
      </c>
      <c r="V88" s="54">
        <v>177.77662690151931</v>
      </c>
      <c r="W88" s="54">
        <v>198.85529490397948</v>
      </c>
      <c r="X88" s="54">
        <v>221.98018137657974</v>
      </c>
      <c r="Y88" s="54">
        <v>247.41871728785384</v>
      </c>
    </row>
    <row r="89" spans="1:25" hidden="1">
      <c r="C89" s="215">
        <f t="shared" si="13"/>
        <v>8.9999999999999969E-2</v>
      </c>
      <c r="D89" s="211">
        <v>26.703787920617664</v>
      </c>
      <c r="E89" s="54">
        <v>28.557703321802638</v>
      </c>
      <c r="F89" s="54">
        <v>118.18694729915298</v>
      </c>
      <c r="G89" s="54">
        <v>127.84367483475242</v>
      </c>
      <c r="H89" s="54">
        <v>137.78871918478217</v>
      </c>
      <c r="I89" s="54">
        <v>148.22397703989492</v>
      </c>
      <c r="J89" s="54">
        <v>159.2270215152372</v>
      </c>
      <c r="K89" s="54">
        <v>170.70708937818176</v>
      </c>
      <c r="L89" s="54">
        <v>170.70708937818176</v>
      </c>
      <c r="M89" s="54">
        <v>170.70708937818176</v>
      </c>
      <c r="N89" s="240">
        <v>183.22095269011012</v>
      </c>
      <c r="P89" s="215">
        <f t="shared" si="14"/>
        <v>8.9999999999999969E-2</v>
      </c>
      <c r="Q89" s="211">
        <v>27.884624734894651</v>
      </c>
      <c r="R89" s="54">
        <v>31.028813669867965</v>
      </c>
      <c r="S89" s="54">
        <v>124.35335397349535</v>
      </c>
      <c r="T89" s="54">
        <v>138.46140436708907</v>
      </c>
      <c r="U89" s="54">
        <v>153.83953616560851</v>
      </c>
      <c r="V89" s="54">
        <v>170.60159798240124</v>
      </c>
      <c r="W89" s="54">
        <v>188.92364776778587</v>
      </c>
      <c r="X89" s="54">
        <v>208.84423841395451</v>
      </c>
      <c r="Y89" s="54">
        <v>230.55525541643109</v>
      </c>
    </row>
    <row r="90" spans="1:25" hidden="1">
      <c r="C90" s="215">
        <f t="shared" si="13"/>
        <v>7.9999999999999974E-2</v>
      </c>
      <c r="D90" s="211">
        <v>26.388681065513477</v>
      </c>
      <c r="E90" s="54">
        <v>27.879844660750827</v>
      </c>
      <c r="F90" s="54">
        <v>117.09750842417417</v>
      </c>
      <c r="G90" s="54">
        <v>125.16123491056996</v>
      </c>
      <c r="H90" s="54">
        <v>133.28938947289319</v>
      </c>
      <c r="I90" s="54">
        <v>141.66250278599574</v>
      </c>
      <c r="J90" s="54">
        <v>150.3274735673574</v>
      </c>
      <c r="K90" s="54">
        <v>159.17923346268486</v>
      </c>
      <c r="L90" s="54">
        <v>159.17923346268486</v>
      </c>
      <c r="M90" s="54">
        <v>159.17923346268486</v>
      </c>
      <c r="N90" s="54">
        <v>168.73999249487574</v>
      </c>
      <c r="P90" s="215">
        <f t="shared" si="14"/>
        <v>7.9999999999999974E-2</v>
      </c>
      <c r="Q90" s="211">
        <v>27.564106626204804</v>
      </c>
      <c r="R90" s="54">
        <v>30.333305235321358</v>
      </c>
      <c r="S90" s="54">
        <v>123.2201434656817</v>
      </c>
      <c r="T90" s="54">
        <v>135.67005732295519</v>
      </c>
      <c r="U90" s="54">
        <v>149.11581328378287</v>
      </c>
      <c r="V90" s="54">
        <v>163.6373702313191</v>
      </c>
      <c r="W90" s="54">
        <v>179.36592071275911</v>
      </c>
      <c r="X90" s="54">
        <v>196.30667081839343</v>
      </c>
      <c r="Y90" s="54">
        <v>214.60348543926219</v>
      </c>
    </row>
    <row r="91" spans="1:25" hidden="1">
      <c r="C91" s="215">
        <f t="shared" si="13"/>
        <v>6.9999999999999979E-2</v>
      </c>
      <c r="D91" s="211">
        <v>26.073585018979273</v>
      </c>
      <c r="E91" s="54">
        <v>27.208307335924157</v>
      </c>
      <c r="F91" s="54">
        <v>116.02847237951266</v>
      </c>
      <c r="G91" s="54">
        <v>122.52242255610328</v>
      </c>
      <c r="H91" s="54">
        <v>128.89009519030313</v>
      </c>
      <c r="I91" s="54">
        <v>135.29870760100295</v>
      </c>
      <c r="J91" s="54">
        <v>141.7702356720805</v>
      </c>
      <c r="K91" s="54">
        <v>148.19585375348871</v>
      </c>
      <c r="L91" s="54">
        <v>148.19585375348871</v>
      </c>
      <c r="M91" s="54">
        <v>148.19585375348871</v>
      </c>
      <c r="N91" s="54">
        <v>155.07126869441709</v>
      </c>
      <c r="P91" s="215">
        <f t="shared" si="14"/>
        <v>6.9999999999999979E-2</v>
      </c>
      <c r="Q91" s="211">
        <v>27.564106626204804</v>
      </c>
      <c r="R91" s="54">
        <v>30.333305235321358</v>
      </c>
      <c r="S91" s="54">
        <v>123.2201434656817</v>
      </c>
      <c r="T91" s="54">
        <v>135.67005732295519</v>
      </c>
      <c r="U91" s="54">
        <v>149.11581328378287</v>
      </c>
      <c r="V91" s="54">
        <v>163.6373702313191</v>
      </c>
      <c r="W91" s="54">
        <v>179.36592071275911</v>
      </c>
      <c r="X91" s="54">
        <v>196.30667081839343</v>
      </c>
      <c r="Y91" s="54">
        <v>214.60348543926219</v>
      </c>
    </row>
    <row r="92" spans="1:25" hidden="1">
      <c r="P92" s="247"/>
    </row>
    <row r="93" spans="1:25" ht="20.25" hidden="1" thickBot="1">
      <c r="C93" s="66" t="s">
        <v>159</v>
      </c>
      <c r="P93" s="247"/>
    </row>
    <row r="94" spans="1:25" hidden="1">
      <c r="D94" s="35">
        <v>0.2</v>
      </c>
      <c r="E94" s="35">
        <v>0.2</v>
      </c>
      <c r="F94" s="35">
        <v>0.49</v>
      </c>
      <c r="G94" s="35">
        <v>0.49</v>
      </c>
      <c r="H94" s="35">
        <v>0.49</v>
      </c>
      <c r="I94" s="35">
        <v>0.49</v>
      </c>
      <c r="J94" s="35">
        <v>0.49</v>
      </c>
      <c r="K94" s="35">
        <v>0.49</v>
      </c>
      <c r="L94" s="35">
        <v>0.49</v>
      </c>
      <c r="M94" s="35">
        <v>0.49</v>
      </c>
      <c r="N94" s="35">
        <v>0.49</v>
      </c>
      <c r="O94" s="35">
        <v>0.49</v>
      </c>
      <c r="P94" s="35">
        <v>0.49</v>
      </c>
      <c r="Q94" s="35">
        <v>0.49</v>
      </c>
      <c r="R94" s="35">
        <v>0.49</v>
      </c>
      <c r="S94" s="35">
        <v>0.49</v>
      </c>
      <c r="T94" s="35">
        <v>0.49</v>
      </c>
      <c r="U94" s="35">
        <v>0.49</v>
      </c>
      <c r="V94" s="35">
        <v>0.49</v>
      </c>
      <c r="W94" s="35">
        <v>0.49</v>
      </c>
      <c r="X94" s="35">
        <v>0.49</v>
      </c>
      <c r="Y94" s="35">
        <v>0.49</v>
      </c>
    </row>
    <row r="95" spans="1:25" hidden="1">
      <c r="D95" s="248">
        <f>D77</f>
        <v>1</v>
      </c>
      <c r="E95" s="248">
        <f t="shared" ref="E95:Y95" si="15">E77</f>
        <v>2</v>
      </c>
      <c r="F95" s="248">
        <f t="shared" si="15"/>
        <v>3</v>
      </c>
      <c r="G95" s="248">
        <f t="shared" si="15"/>
        <v>4</v>
      </c>
      <c r="H95" s="248">
        <f t="shared" si="15"/>
        <v>5</v>
      </c>
      <c r="I95" s="248">
        <f t="shared" si="15"/>
        <v>6</v>
      </c>
      <c r="J95" s="248">
        <f t="shared" si="15"/>
        <v>7</v>
      </c>
      <c r="K95" s="248">
        <f t="shared" si="15"/>
        <v>8</v>
      </c>
      <c r="L95" s="248">
        <f>L77</f>
        <v>9</v>
      </c>
      <c r="M95" s="248">
        <f>M77</f>
        <v>10</v>
      </c>
      <c r="N95" s="248">
        <f t="shared" si="15"/>
        <v>9</v>
      </c>
      <c r="O95" s="248">
        <f t="shared" si="15"/>
        <v>0</v>
      </c>
      <c r="P95" s="248">
        <f t="shared" si="15"/>
        <v>0</v>
      </c>
      <c r="Q95" s="248">
        <f t="shared" si="15"/>
        <v>2</v>
      </c>
      <c r="R95" s="248">
        <f t="shared" si="15"/>
        <v>3</v>
      </c>
      <c r="S95" s="248">
        <f t="shared" si="15"/>
        <v>4</v>
      </c>
      <c r="T95" s="248">
        <f t="shared" si="15"/>
        <v>5</v>
      </c>
      <c r="U95" s="248">
        <f t="shared" si="15"/>
        <v>6</v>
      </c>
      <c r="V95" s="248">
        <f t="shared" si="15"/>
        <v>7</v>
      </c>
      <c r="W95" s="248">
        <f t="shared" si="15"/>
        <v>8</v>
      </c>
      <c r="X95" s="248">
        <f t="shared" si="15"/>
        <v>9</v>
      </c>
      <c r="Y95" s="248">
        <f t="shared" si="15"/>
        <v>10</v>
      </c>
    </row>
    <row r="96" spans="1:25" hidden="1">
      <c r="C96" s="215">
        <v>0.2</v>
      </c>
      <c r="D96" s="212"/>
      <c r="E96" s="213"/>
      <c r="F96" s="213"/>
      <c r="G96" s="213"/>
      <c r="H96" s="213"/>
      <c r="I96" s="213"/>
      <c r="J96" s="213"/>
      <c r="K96" s="213"/>
      <c r="L96" s="213"/>
      <c r="M96" s="213"/>
      <c r="N96" s="213"/>
      <c r="P96" s="215">
        <v>0.2</v>
      </c>
      <c r="Q96" s="212">
        <v>28.861903109895568</v>
      </c>
      <c r="R96" s="213">
        <v>33.547787640075825</v>
      </c>
      <c r="S96" s="213">
        <v>38.976902152318125</v>
      </c>
      <c r="T96" s="213">
        <v>45.312818795363278</v>
      </c>
      <c r="U96" s="213">
        <v>52.698438109420046</v>
      </c>
      <c r="V96" s="213">
        <v>61.409811645609864</v>
      </c>
      <c r="W96" s="213">
        <v>71.743163106378219</v>
      </c>
      <c r="X96" s="213">
        <v>83.931960481167522</v>
      </c>
      <c r="Y96" s="213">
        <v>98.558733908005578</v>
      </c>
    </row>
    <row r="97" spans="1:25" hidden="1">
      <c r="C97" s="215">
        <f>C96-1%</f>
        <v>0.19</v>
      </c>
      <c r="D97" s="211"/>
      <c r="E97" s="54"/>
      <c r="F97" s="54"/>
      <c r="G97" s="54"/>
      <c r="H97" s="54"/>
      <c r="I97" s="54"/>
      <c r="J97" s="54"/>
      <c r="K97" s="54"/>
      <c r="L97" s="54"/>
      <c r="M97" s="54"/>
      <c r="N97" s="54"/>
      <c r="P97" s="215">
        <f>P96-1%</f>
        <v>0.19</v>
      </c>
      <c r="Q97" s="211">
        <v>28.616853569537309</v>
      </c>
      <c r="R97" s="54">
        <v>32.967526380214629</v>
      </c>
      <c r="S97" s="54">
        <v>37.949562868261495</v>
      </c>
      <c r="T97" s="54">
        <v>43.700601549840634</v>
      </c>
      <c r="U97" s="54">
        <v>50.326735092830134</v>
      </c>
      <c r="V97" s="54">
        <v>58.060246772091666</v>
      </c>
      <c r="W97" s="54">
        <v>67.139261241008995</v>
      </c>
      <c r="X97" s="54">
        <v>77.735775896172129</v>
      </c>
      <c r="Y97" s="54">
        <v>90.345851130666858</v>
      </c>
    </row>
    <row r="98" spans="1:25" hidden="1">
      <c r="B98" s="407"/>
      <c r="C98" s="249">
        <f t="shared" ref="C98:C109" si="16">C97-1%</f>
        <v>0.18</v>
      </c>
      <c r="D98" s="253">
        <f>D80/D$94</f>
        <v>147.69900201231201</v>
      </c>
      <c r="E98" s="54">
        <f t="shared" ref="E98:Y98" si="17">E80/E$94</f>
        <v>174.71098528372542</v>
      </c>
      <c r="F98" s="54">
        <f t="shared" si="17"/>
        <v>263.14022022982823</v>
      </c>
      <c r="G98" s="54">
        <f t="shared" si="17"/>
        <v>314.45728266185171</v>
      </c>
      <c r="H98" s="54">
        <f t="shared" si="17"/>
        <v>373.8255478512736</v>
      </c>
      <c r="I98" s="54">
        <f t="shared" si="17"/>
        <v>443.05467618848485</v>
      </c>
      <c r="J98" s="54">
        <f t="shared" si="17"/>
        <v>524.16251451963024</v>
      </c>
      <c r="K98" s="54">
        <f t="shared" si="17"/>
        <v>618.6488867439225</v>
      </c>
      <c r="L98" s="54">
        <f t="shared" ref="L98:M109" si="18">L80/L$94</f>
        <v>618.6488867439225</v>
      </c>
      <c r="M98" s="54">
        <f t="shared" si="18"/>
        <v>618.6488867439225</v>
      </c>
      <c r="N98" s="54">
        <f t="shared" si="17"/>
        <v>730.13775292632931</v>
      </c>
      <c r="O98" s="407">
        <f t="shared" si="17"/>
        <v>0</v>
      </c>
      <c r="P98" s="215">
        <f t="shared" si="17"/>
        <v>0.36734693877551022</v>
      </c>
      <c r="Q98" s="211">
        <f t="shared" si="17"/>
        <v>62.794348508634215</v>
      </c>
      <c r="R98" s="54">
        <f t="shared" si="17"/>
        <v>76.687584364288227</v>
      </c>
      <c r="S98" s="54">
        <f t="shared" si="17"/>
        <v>276.5742134497026</v>
      </c>
      <c r="T98" s="54">
        <f t="shared" si="17"/>
        <v>338.26134388698671</v>
      </c>
      <c r="U98" s="54">
        <f t="shared" si="17"/>
        <v>411.0512719922628</v>
      </c>
      <c r="V98" s="54">
        <f t="shared" si="17"/>
        <v>496.94480320845975</v>
      </c>
      <c r="W98" s="54">
        <f t="shared" si="17"/>
        <v>598.60088120262685</v>
      </c>
      <c r="X98" s="54">
        <f t="shared" si="17"/>
        <v>718.25085270902116</v>
      </c>
      <c r="Y98" s="54">
        <f t="shared" si="17"/>
        <v>859.43961012666045</v>
      </c>
    </row>
    <row r="99" spans="1:25" hidden="1">
      <c r="A99" s="1"/>
      <c r="B99" s="407"/>
      <c r="C99" s="249">
        <f t="shared" si="16"/>
        <v>0.16999999999999998</v>
      </c>
      <c r="D99" s="211">
        <f t="shared" ref="D99:Y99" si="19">D81/D$94</f>
        <v>146.12346296403348</v>
      </c>
      <c r="E99" s="54">
        <f t="shared" si="19"/>
        <v>171.03777811209625</v>
      </c>
      <c r="F99" s="54">
        <f t="shared" si="19"/>
        <v>260.5257764955104</v>
      </c>
      <c r="G99" s="54">
        <f t="shared" si="19"/>
        <v>308.10548403018652</v>
      </c>
      <c r="H99" s="54">
        <f t="shared" si="19"/>
        <v>362.58834430018737</v>
      </c>
      <c r="I99" s="54">
        <f t="shared" si="19"/>
        <v>425.50766814088792</v>
      </c>
      <c r="J99" s="54">
        <f t="shared" si="19"/>
        <v>498.51662653462159</v>
      </c>
      <c r="K99" s="54">
        <f t="shared" si="19"/>
        <v>582.73675737612098</v>
      </c>
      <c r="L99" s="54">
        <f t="shared" si="18"/>
        <v>582.73675737612098</v>
      </c>
      <c r="M99" s="54">
        <f t="shared" si="18"/>
        <v>582.73675737612098</v>
      </c>
      <c r="N99" s="54">
        <f t="shared" si="19"/>
        <v>681.27938510380295</v>
      </c>
      <c r="O99" s="407">
        <f t="shared" si="19"/>
        <v>0</v>
      </c>
      <c r="P99" s="215">
        <f t="shared" si="19"/>
        <v>0.34693877551020408</v>
      </c>
      <c r="Q99" s="211">
        <f t="shared" si="19"/>
        <v>62.140240711669286</v>
      </c>
      <c r="R99" s="54">
        <f t="shared" si="19"/>
        <v>75.150487525228272</v>
      </c>
      <c r="S99" s="54">
        <f t="shared" si="19"/>
        <v>273.86140289952806</v>
      </c>
      <c r="T99" s="54">
        <f t="shared" si="19"/>
        <v>331.65987153814808</v>
      </c>
      <c r="U99" s="54">
        <f t="shared" si="19"/>
        <v>399.28432215437908</v>
      </c>
      <c r="V99" s="54">
        <f t="shared" si="19"/>
        <v>478.40439758898492</v>
      </c>
      <c r="W99" s="54">
        <f t="shared" si="19"/>
        <v>571.25111154289539</v>
      </c>
      <c r="X99" s="54">
        <f t="shared" si="19"/>
        <v>679.60510609288656</v>
      </c>
      <c r="Y99" s="54">
        <f t="shared" si="19"/>
        <v>806.38203681960488</v>
      </c>
    </row>
    <row r="100" spans="1:25" hidden="1">
      <c r="B100" s="407"/>
      <c r="C100" s="249">
        <f t="shared" si="16"/>
        <v>0.15999999999999998</v>
      </c>
      <c r="D100" s="211">
        <f t="shared" ref="D100:Y100" si="20">D82/D$94</f>
        <v>144.54791886912821</v>
      </c>
      <c r="E100" s="54">
        <f t="shared" si="20"/>
        <v>167.39647266482268</v>
      </c>
      <c r="F100" s="54">
        <f t="shared" si="20"/>
        <v>257.95616890876079</v>
      </c>
      <c r="G100" s="54">
        <f t="shared" si="20"/>
        <v>301.85839720799811</v>
      </c>
      <c r="H100" s="54">
        <f t="shared" si="20"/>
        <v>351.59983126600213</v>
      </c>
      <c r="I100" s="54">
        <f t="shared" si="20"/>
        <v>408.47234760853945</v>
      </c>
      <c r="J100" s="54">
        <f t="shared" si="20"/>
        <v>473.81531615841055</v>
      </c>
      <c r="K100" s="54">
        <f t="shared" si="20"/>
        <v>548.43865134534451</v>
      </c>
      <c r="L100" s="54">
        <f t="shared" si="18"/>
        <v>548.43865134534451</v>
      </c>
      <c r="M100" s="54">
        <f t="shared" si="18"/>
        <v>548.43865134534451</v>
      </c>
      <c r="N100" s="54">
        <f t="shared" si="20"/>
        <v>635.00266941847985</v>
      </c>
      <c r="O100" s="407">
        <f t="shared" si="20"/>
        <v>0</v>
      </c>
      <c r="P100" s="215">
        <f t="shared" si="20"/>
        <v>0.32653061224489793</v>
      </c>
      <c r="Q100" s="211">
        <f t="shared" si="20"/>
        <v>61.486110496159668</v>
      </c>
      <c r="R100" s="54">
        <f t="shared" si="20"/>
        <v>73.626405151292261</v>
      </c>
      <c r="S100" s="54">
        <f t="shared" si="20"/>
        <v>271.19449954917008</v>
      </c>
      <c r="T100" s="54">
        <f t="shared" si="20"/>
        <v>325.16645743218629</v>
      </c>
      <c r="U100" s="54">
        <f t="shared" si="20"/>
        <v>387.77456330311912</v>
      </c>
      <c r="V100" s="54">
        <f t="shared" si="20"/>
        <v>460.3993462126939</v>
      </c>
      <c r="W100" s="54">
        <f t="shared" si="20"/>
        <v>544.89136990584802</v>
      </c>
      <c r="X100" s="54">
        <f t="shared" si="20"/>
        <v>642.65456479299792</v>
      </c>
      <c r="Y100" s="54">
        <f t="shared" si="20"/>
        <v>756.06263741975465</v>
      </c>
    </row>
    <row r="101" spans="1:25" hidden="1">
      <c r="C101" s="249">
        <f t="shared" si="16"/>
        <v>0.14999999999999997</v>
      </c>
      <c r="D101" s="211">
        <f t="shared" ref="D101:Y101" si="21">D83/D$94</f>
        <v>142.97229350655289</v>
      </c>
      <c r="E101" s="54">
        <f t="shared" si="21"/>
        <v>163.78637687004755</v>
      </c>
      <c r="F101" s="54">
        <f t="shared" si="21"/>
        <v>255.43139401251787</v>
      </c>
      <c r="G101" s="54">
        <f t="shared" si="21"/>
        <v>295.71353382047585</v>
      </c>
      <c r="H101" s="54">
        <f t="shared" si="21"/>
        <v>340.85311784383128</v>
      </c>
      <c r="I101" s="54">
        <f t="shared" si="21"/>
        <v>391.93825716353535</v>
      </c>
      <c r="J101" s="54">
        <f t="shared" si="21"/>
        <v>450.03244167873851</v>
      </c>
      <c r="K101" s="54">
        <f t="shared" si="21"/>
        <v>515.69017551046284</v>
      </c>
      <c r="L101" s="54">
        <f t="shared" si="18"/>
        <v>515.69017551046284</v>
      </c>
      <c r="M101" s="54">
        <f t="shared" si="18"/>
        <v>515.69017551046284</v>
      </c>
      <c r="N101" s="54">
        <f t="shared" si="21"/>
        <v>591.19536252335115</v>
      </c>
      <c r="O101">
        <f t="shared" si="21"/>
        <v>0</v>
      </c>
      <c r="P101" s="215">
        <f t="shared" si="21"/>
        <v>0.30612244897959179</v>
      </c>
      <c r="Q101" s="211">
        <f t="shared" si="21"/>
        <v>60.832005386291605</v>
      </c>
      <c r="R101" s="54">
        <f t="shared" si="21"/>
        <v>72.11531971117833</v>
      </c>
      <c r="S101" s="54">
        <f t="shared" si="21"/>
        <v>268.57320216572919</v>
      </c>
      <c r="T101" s="54">
        <f t="shared" si="21"/>
        <v>318.77894240969306</v>
      </c>
      <c r="U101" s="54">
        <f t="shared" si="21"/>
        <v>376.51496532534662</v>
      </c>
      <c r="V101" s="54">
        <f t="shared" si="21"/>
        <v>442.91228485350962</v>
      </c>
      <c r="W101" s="54">
        <f t="shared" si="21"/>
        <v>519.49332527192666</v>
      </c>
      <c r="X101" s="54">
        <f t="shared" si="21"/>
        <v>607.33728197511016</v>
      </c>
      <c r="Y101" s="54">
        <f t="shared" si="21"/>
        <v>708.35488369375321</v>
      </c>
    </row>
    <row r="102" spans="1:25" s="17" customFormat="1" hidden="1">
      <c r="A102"/>
      <c r="C102" s="249">
        <f t="shared" si="16"/>
        <v>0.13999999999999996</v>
      </c>
      <c r="D102" s="211">
        <f t="shared" ref="D102:Y102" si="22">D84/D$94</f>
        <v>141.39684911551802</v>
      </c>
      <c r="E102" s="54">
        <f t="shared" si="22"/>
        <v>160.20789331010428</v>
      </c>
      <c r="F102" s="54">
        <f t="shared" si="22"/>
        <v>252.95079182495726</v>
      </c>
      <c r="G102" s="54">
        <f t="shared" si="22"/>
        <v>289.67032455614509</v>
      </c>
      <c r="H102" s="54">
        <f t="shared" si="22"/>
        <v>330.34525382368383</v>
      </c>
      <c r="I102" s="54">
        <f t="shared" si="22"/>
        <v>375.88911414386428</v>
      </c>
      <c r="J102" s="54">
        <f t="shared" si="22"/>
        <v>427.13560022803068</v>
      </c>
      <c r="K102" s="54">
        <f t="shared" si="22"/>
        <v>484.4229558224522</v>
      </c>
      <c r="L102" s="54">
        <f t="shared" si="18"/>
        <v>484.4229558224522</v>
      </c>
      <c r="M102" s="54">
        <f t="shared" si="18"/>
        <v>484.4229558224522</v>
      </c>
      <c r="N102" s="54">
        <f t="shared" si="22"/>
        <v>549.73536115753507</v>
      </c>
      <c r="O102" s="17">
        <f t="shared" si="22"/>
        <v>0</v>
      </c>
      <c r="P102" s="215">
        <f t="shared" si="22"/>
        <v>0.28571428571428564</v>
      </c>
      <c r="Q102" s="211">
        <f t="shared" si="22"/>
        <v>60.177926587690813</v>
      </c>
      <c r="R102" s="54">
        <f t="shared" si="22"/>
        <v>70.617483994602367</v>
      </c>
      <c r="S102" s="54">
        <f t="shared" si="22"/>
        <v>265.99723213221688</v>
      </c>
      <c r="T102" s="54">
        <f t="shared" si="22"/>
        <v>312.49510236618488</v>
      </c>
      <c r="U102" s="54">
        <f t="shared" si="22"/>
        <v>365.50231519052039</v>
      </c>
      <c r="V102" s="54">
        <f t="shared" si="22"/>
        <v>425.93083233561413</v>
      </c>
      <c r="W102" s="54">
        <f t="shared" si="22"/>
        <v>495.02157782722833</v>
      </c>
      <c r="X102" s="54">
        <f t="shared" si="22"/>
        <v>573.58359137578566</v>
      </c>
      <c r="Y102" s="54">
        <f t="shared" si="22"/>
        <v>663.14408626745501</v>
      </c>
    </row>
    <row r="103" spans="1:25" hidden="1">
      <c r="C103" s="249">
        <f t="shared" si="16"/>
        <v>0.12999999999999995</v>
      </c>
      <c r="D103" s="211">
        <f t="shared" ref="D103:Y103" si="23">D85/D$94</f>
        <v>139.82115040843976</v>
      </c>
      <c r="E103" s="54">
        <f t="shared" si="23"/>
        <v>156.66117481760315</v>
      </c>
      <c r="F103" s="54">
        <f t="shared" si="23"/>
        <v>250.51409578589707</v>
      </c>
      <c r="G103" s="54">
        <f t="shared" si="23"/>
        <v>283.72612235224994</v>
      </c>
      <c r="H103" s="54">
        <f t="shared" si="23"/>
        <v>320.0699624664357</v>
      </c>
      <c r="I103" s="54">
        <f t="shared" si="23"/>
        <v>360.31339708241615</v>
      </c>
      <c r="J103" s="54">
        <f t="shared" si="23"/>
        <v>405.09417707152284</v>
      </c>
      <c r="K103" s="54">
        <f t="shared" si="23"/>
        <v>454.58560736222785</v>
      </c>
      <c r="L103" s="54">
        <f t="shared" si="18"/>
        <v>454.58560736222785</v>
      </c>
      <c r="M103" s="54">
        <f t="shared" si="18"/>
        <v>454.58560736222785</v>
      </c>
      <c r="N103" s="54">
        <f t="shared" si="23"/>
        <v>510.51118284494652</v>
      </c>
      <c r="O103">
        <f t="shared" si="23"/>
        <v>0</v>
      </c>
      <c r="P103" s="215">
        <f t="shared" si="23"/>
        <v>0.2653061224489795</v>
      </c>
      <c r="Q103" s="211">
        <f t="shared" si="23"/>
        <v>59.523823308925103</v>
      </c>
      <c r="R103" s="54">
        <f t="shared" si="23"/>
        <v>69.132664984416365</v>
      </c>
      <c r="S103" s="54">
        <f t="shared" si="23"/>
        <v>263.4662290765371</v>
      </c>
      <c r="T103" s="54">
        <f t="shared" si="23"/>
        <v>306.31368856120315</v>
      </c>
      <c r="U103" s="54">
        <f t="shared" si="23"/>
        <v>354.73148881313432</v>
      </c>
      <c r="V103" s="54">
        <f t="shared" si="23"/>
        <v>409.44375586763522</v>
      </c>
      <c r="W103" s="54">
        <f t="shared" si="23"/>
        <v>471.44772158952668</v>
      </c>
      <c r="X103" s="54">
        <f t="shared" si="23"/>
        <v>541.33475264859385</v>
      </c>
      <c r="Y103" s="54">
        <f t="shared" si="23"/>
        <v>620.3058858291331</v>
      </c>
    </row>
    <row r="104" spans="1:25" hidden="1">
      <c r="C104" s="249">
        <f t="shared" si="16"/>
        <v>0.11999999999999995</v>
      </c>
      <c r="D104" s="211">
        <f t="shared" ref="D104:Y104" si="24">D86/D$94</f>
        <v>138.24566780339049</v>
      </c>
      <c r="E104" s="240">
        <f t="shared" si="24"/>
        <v>153.14566859364717</v>
      </c>
      <c r="F104" s="54">
        <f t="shared" si="24"/>
        <v>248.12079510818987</v>
      </c>
      <c r="G104" s="54">
        <f t="shared" si="24"/>
        <v>277.878915234104</v>
      </c>
      <c r="H104" s="54">
        <f t="shared" si="24"/>
        <v>310.02290390819132</v>
      </c>
      <c r="I104" s="54">
        <f t="shared" si="24"/>
        <v>345.19756180347446</v>
      </c>
      <c r="J104" s="54">
        <f t="shared" si="24"/>
        <v>383.88290623994419</v>
      </c>
      <c r="K104" s="54">
        <f t="shared" si="24"/>
        <v>426.11611136842606</v>
      </c>
      <c r="L104" s="54">
        <f t="shared" si="18"/>
        <v>426.11611136842606</v>
      </c>
      <c r="M104" s="54">
        <f t="shared" si="18"/>
        <v>426.11611136842606</v>
      </c>
      <c r="N104" s="54">
        <f t="shared" si="24"/>
        <v>473.41813413887445</v>
      </c>
      <c r="O104">
        <f t="shared" si="24"/>
        <v>0</v>
      </c>
      <c r="P104" s="215">
        <f t="shared" si="24"/>
        <v>0.24489795918367338</v>
      </c>
      <c r="Q104" s="211">
        <f t="shared" si="24"/>
        <v>58.86972012101009</v>
      </c>
      <c r="R104" s="54">
        <f t="shared" si="24"/>
        <v>67.660954586232734</v>
      </c>
      <c r="S104" s="54">
        <f t="shared" si="24"/>
        <v>260.97949797526366</v>
      </c>
      <c r="T104" s="54">
        <f t="shared" si="24"/>
        <v>300.23279083837292</v>
      </c>
      <c r="U104" s="54">
        <f t="shared" si="24"/>
        <v>344.19602197064671</v>
      </c>
      <c r="V104" s="54">
        <f t="shared" si="24"/>
        <v>393.43581344787106</v>
      </c>
      <c r="W104" s="54">
        <f t="shared" si="24"/>
        <v>448.74424264555722</v>
      </c>
      <c r="X104" s="54">
        <f t="shared" si="24"/>
        <v>510.52715192522993</v>
      </c>
      <c r="Y104" s="54">
        <f t="shared" si="24"/>
        <v>579.7288030772321</v>
      </c>
    </row>
    <row r="105" spans="1:25" hidden="1">
      <c r="C105" s="249">
        <f t="shared" si="16"/>
        <v>0.10999999999999996</v>
      </c>
      <c r="D105" s="211">
        <f t="shared" ref="D105:Y105" si="25">D87/D$94</f>
        <v>136.670126048421</v>
      </c>
      <c r="E105" s="54">
        <f t="shared" si="25"/>
        <v>149.66170467104538</v>
      </c>
      <c r="F105" s="54">
        <f t="shared" si="25"/>
        <v>245.77042498864182</v>
      </c>
      <c r="G105" s="54">
        <f t="shared" si="25"/>
        <v>272.12802361559125</v>
      </c>
      <c r="H105" s="54">
        <f t="shared" si="25"/>
        <v>300.1997790711012</v>
      </c>
      <c r="I105" s="54">
        <f t="shared" si="25"/>
        <v>330.53225156960457</v>
      </c>
      <c r="J105" s="54">
        <f t="shared" si="25"/>
        <v>363.47421683809068</v>
      </c>
      <c r="K105" s="54">
        <f t="shared" si="25"/>
        <v>398.96078578071518</v>
      </c>
      <c r="L105" s="54">
        <f t="shared" si="18"/>
        <v>398.96078578071518</v>
      </c>
      <c r="M105" s="54">
        <f t="shared" si="18"/>
        <v>398.96078578071518</v>
      </c>
      <c r="N105" s="54">
        <f t="shared" si="25"/>
        <v>438.35239997282201</v>
      </c>
      <c r="O105">
        <f t="shared" si="25"/>
        <v>0</v>
      </c>
      <c r="P105" s="215">
        <f t="shared" si="25"/>
        <v>0.22448979591836726</v>
      </c>
      <c r="Q105" s="211">
        <f t="shared" si="25"/>
        <v>58.215622952723464</v>
      </c>
      <c r="R105" s="54">
        <f t="shared" si="25"/>
        <v>66.202302772504552</v>
      </c>
      <c r="S105" s="54">
        <f t="shared" si="25"/>
        <v>258.53687049559898</v>
      </c>
      <c r="T105" s="54">
        <f t="shared" si="25"/>
        <v>294.25047867584266</v>
      </c>
      <c r="U105" s="54">
        <f t="shared" si="25"/>
        <v>333.891884807868</v>
      </c>
      <c r="V105" s="54">
        <f t="shared" si="25"/>
        <v>377.89526358463132</v>
      </c>
      <c r="W105" s="54">
        <f t="shared" si="25"/>
        <v>426.87761328490006</v>
      </c>
      <c r="X105" s="54">
        <f t="shared" si="25"/>
        <v>481.11085996033671</v>
      </c>
      <c r="Y105" s="54">
        <f t="shared" si="25"/>
        <v>541.30441463937791</v>
      </c>
    </row>
    <row r="106" spans="1:25" hidden="1">
      <c r="C106" s="249">
        <f t="shared" si="16"/>
        <v>9.9999999999999964E-2</v>
      </c>
      <c r="D106" s="211">
        <f t="shared" ref="D106:Y106" si="26">D88/D$94</f>
        <v>135.09456768973641</v>
      </c>
      <c r="E106" s="54">
        <f t="shared" si="26"/>
        <v>146.20929573179146</v>
      </c>
      <c r="F106" s="54">
        <f t="shared" si="26"/>
        <v>243.46297488588874</v>
      </c>
      <c r="G106" s="54">
        <f t="shared" si="26"/>
        <v>266.47053727672204</v>
      </c>
      <c r="H106" s="54">
        <f t="shared" si="26"/>
        <v>290.59420360723425</v>
      </c>
      <c r="I106" s="54">
        <f t="shared" si="26"/>
        <v>316.30296385677929</v>
      </c>
      <c r="J106" s="54">
        <f t="shared" si="26"/>
        <v>343.83970837889353</v>
      </c>
      <c r="K106" s="54">
        <f t="shared" si="26"/>
        <v>373.06640737793947</v>
      </c>
      <c r="L106" s="54">
        <f t="shared" si="18"/>
        <v>373.06640737793947</v>
      </c>
      <c r="M106" s="54">
        <f t="shared" si="18"/>
        <v>373.06640737793947</v>
      </c>
      <c r="N106" s="54">
        <f t="shared" si="26"/>
        <v>405.21751202008846</v>
      </c>
      <c r="O106">
        <f t="shared" si="26"/>
        <v>0</v>
      </c>
      <c r="P106" s="215">
        <f t="shared" si="26"/>
        <v>0.20408163265306115</v>
      </c>
      <c r="Q106" s="211">
        <f t="shared" si="26"/>
        <v>57.5614900732986</v>
      </c>
      <c r="R106" s="54">
        <f t="shared" si="26"/>
        <v>64.756623913261407</v>
      </c>
      <c r="S106" s="54">
        <f t="shared" si="26"/>
        <v>256.1378934244712</v>
      </c>
      <c r="T106" s="54">
        <f t="shared" si="26"/>
        <v>288.3648214900125</v>
      </c>
      <c r="U106" s="54">
        <f t="shared" si="26"/>
        <v>323.81427084393829</v>
      </c>
      <c r="V106" s="54">
        <f t="shared" si="26"/>
        <v>362.80944265616188</v>
      </c>
      <c r="W106" s="54">
        <f t="shared" si="26"/>
        <v>405.82713245710102</v>
      </c>
      <c r="X106" s="54">
        <f t="shared" si="26"/>
        <v>453.02077831955052</v>
      </c>
      <c r="Y106" s="54">
        <f t="shared" si="26"/>
        <v>504.93615773031394</v>
      </c>
    </row>
    <row r="107" spans="1:25" hidden="1">
      <c r="C107" s="249">
        <f t="shared" si="16"/>
        <v>8.9999999999999969E-2</v>
      </c>
      <c r="D107" s="211">
        <f t="shared" ref="D107:Y107" si="27">D89/D$94</f>
        <v>133.51893960308831</v>
      </c>
      <c r="E107" s="54">
        <f t="shared" si="27"/>
        <v>142.78851660901319</v>
      </c>
      <c r="F107" s="54">
        <f t="shared" si="27"/>
        <v>241.19785163092445</v>
      </c>
      <c r="G107" s="54">
        <f t="shared" si="27"/>
        <v>260.90545884643353</v>
      </c>
      <c r="H107" s="54">
        <f t="shared" si="27"/>
        <v>281.20146772404524</v>
      </c>
      <c r="I107" s="54">
        <f t="shared" si="27"/>
        <v>302.49791232631617</v>
      </c>
      <c r="J107" s="54">
        <f t="shared" si="27"/>
        <v>324.95310513313717</v>
      </c>
      <c r="K107" s="54">
        <f t="shared" si="27"/>
        <v>348.38181505751379</v>
      </c>
      <c r="L107" s="54">
        <f t="shared" si="18"/>
        <v>348.38181505751379</v>
      </c>
      <c r="M107" s="54">
        <f t="shared" si="18"/>
        <v>348.38181505751379</v>
      </c>
      <c r="N107" s="240">
        <f t="shared" si="27"/>
        <v>373.92031161246967</v>
      </c>
      <c r="O107">
        <f t="shared" si="27"/>
        <v>0</v>
      </c>
      <c r="P107" s="215">
        <f t="shared" si="27"/>
        <v>0.18367346938775503</v>
      </c>
      <c r="Q107" s="211">
        <f t="shared" si="27"/>
        <v>56.90739741815235</v>
      </c>
      <c r="R107" s="54">
        <f t="shared" si="27"/>
        <v>63.324109530342788</v>
      </c>
      <c r="S107" s="54">
        <f t="shared" si="27"/>
        <v>253.78235504794969</v>
      </c>
      <c r="T107" s="54">
        <f t="shared" si="27"/>
        <v>282.5742946267124</v>
      </c>
      <c r="U107" s="54">
        <f t="shared" si="27"/>
        <v>313.95823707267044</v>
      </c>
      <c r="V107" s="54">
        <f t="shared" si="27"/>
        <v>348.16652649469643</v>
      </c>
      <c r="W107" s="54">
        <f t="shared" si="27"/>
        <v>385.55846483221603</v>
      </c>
      <c r="X107" s="54">
        <f t="shared" si="27"/>
        <v>426.21273145705004</v>
      </c>
      <c r="Y107" s="54">
        <f t="shared" si="27"/>
        <v>470.52092942128797</v>
      </c>
    </row>
    <row r="108" spans="1:25" hidden="1">
      <c r="C108" s="249">
        <f t="shared" si="16"/>
        <v>7.9999999999999974E-2</v>
      </c>
      <c r="D108" s="211">
        <f t="shared" ref="D108:Y108" si="28">D90/D$94</f>
        <v>131.94340532756738</v>
      </c>
      <c r="E108" s="54">
        <f t="shared" si="28"/>
        <v>139.39922330375413</v>
      </c>
      <c r="F108" s="54">
        <f t="shared" si="28"/>
        <v>238.97450698811053</v>
      </c>
      <c r="G108" s="54">
        <f t="shared" si="28"/>
        <v>255.43109165422442</v>
      </c>
      <c r="H108" s="54">
        <f t="shared" si="28"/>
        <v>272.01916218957797</v>
      </c>
      <c r="I108" s="54">
        <f t="shared" si="28"/>
        <v>289.10714854284845</v>
      </c>
      <c r="J108" s="54">
        <f t="shared" si="28"/>
        <v>306.79076238236206</v>
      </c>
      <c r="K108" s="54">
        <f t="shared" si="28"/>
        <v>324.85557849527521</v>
      </c>
      <c r="L108" s="54">
        <f t="shared" si="18"/>
        <v>324.85557849527521</v>
      </c>
      <c r="M108" s="54">
        <f t="shared" si="18"/>
        <v>324.85557849527521</v>
      </c>
      <c r="N108" s="54">
        <f t="shared" si="28"/>
        <v>344.36733162219537</v>
      </c>
      <c r="O108">
        <f t="shared" si="28"/>
        <v>0</v>
      </c>
      <c r="P108" s="215">
        <f t="shared" si="28"/>
        <v>0.16326530612244894</v>
      </c>
      <c r="Q108" s="211">
        <f t="shared" si="28"/>
        <v>56.253278828989394</v>
      </c>
      <c r="R108" s="54">
        <f t="shared" si="28"/>
        <v>61.904704561880322</v>
      </c>
      <c r="S108" s="54">
        <f t="shared" si="28"/>
        <v>251.46968054220756</v>
      </c>
      <c r="T108" s="54">
        <f t="shared" si="28"/>
        <v>276.877668006031</v>
      </c>
      <c r="U108" s="54">
        <f t="shared" si="28"/>
        <v>304.31798629343444</v>
      </c>
      <c r="V108" s="54">
        <f t="shared" si="28"/>
        <v>333.95381679861043</v>
      </c>
      <c r="W108" s="54">
        <f t="shared" si="28"/>
        <v>366.05289941379408</v>
      </c>
      <c r="X108" s="54">
        <f t="shared" si="28"/>
        <v>400.62585881304784</v>
      </c>
      <c r="Y108" s="54">
        <f t="shared" si="28"/>
        <v>437.96629681482079</v>
      </c>
    </row>
    <row r="109" spans="1:25" hidden="1">
      <c r="C109" s="249">
        <f t="shared" si="16"/>
        <v>6.9999999999999979E-2</v>
      </c>
      <c r="D109" s="211">
        <f t="shared" ref="D109:Y109" si="29">D91/D$94</f>
        <v>130.36792509489635</v>
      </c>
      <c r="E109" s="54">
        <f t="shared" si="29"/>
        <v>136.04153667962078</v>
      </c>
      <c r="F109" s="54">
        <f t="shared" si="29"/>
        <v>236.79280077451565</v>
      </c>
      <c r="G109" s="54">
        <f t="shared" si="29"/>
        <v>250.04576031857812</v>
      </c>
      <c r="H109" s="54">
        <f t="shared" si="29"/>
        <v>263.04101059245539</v>
      </c>
      <c r="I109" s="54">
        <f t="shared" si="29"/>
        <v>276.11981143061826</v>
      </c>
      <c r="J109" s="54">
        <f t="shared" si="29"/>
        <v>289.32701157567448</v>
      </c>
      <c r="K109" s="54">
        <f t="shared" si="29"/>
        <v>302.44051786426269</v>
      </c>
      <c r="L109" s="54">
        <f t="shared" si="18"/>
        <v>302.44051786426269</v>
      </c>
      <c r="M109" s="54">
        <f t="shared" si="18"/>
        <v>302.44051786426269</v>
      </c>
      <c r="N109" s="54">
        <f t="shared" si="29"/>
        <v>316.47197692738183</v>
      </c>
      <c r="O109">
        <f t="shared" si="29"/>
        <v>0</v>
      </c>
      <c r="P109" s="215">
        <f t="shared" si="29"/>
        <v>0.14285714285714282</v>
      </c>
      <c r="Q109" s="211">
        <f t="shared" si="29"/>
        <v>56.253278828989394</v>
      </c>
      <c r="R109" s="54">
        <f t="shared" si="29"/>
        <v>61.904704561880322</v>
      </c>
      <c r="S109" s="54">
        <f t="shared" si="29"/>
        <v>251.46968054220756</v>
      </c>
      <c r="T109" s="54">
        <f t="shared" si="29"/>
        <v>276.877668006031</v>
      </c>
      <c r="U109" s="54">
        <f t="shared" si="29"/>
        <v>304.31798629343444</v>
      </c>
      <c r="V109" s="54">
        <f t="shared" si="29"/>
        <v>333.95381679861043</v>
      </c>
      <c r="W109" s="54">
        <f t="shared" si="29"/>
        <v>366.05289941379408</v>
      </c>
      <c r="X109" s="54">
        <f t="shared" si="29"/>
        <v>400.62585881304784</v>
      </c>
      <c r="Y109" s="54">
        <f t="shared" si="29"/>
        <v>437.96629681482079</v>
      </c>
    </row>
    <row r="110" spans="1:25" hidden="1">
      <c r="P110" s="247"/>
    </row>
    <row r="111" spans="1:25" hidden="1">
      <c r="B111" s="2" t="s">
        <v>139</v>
      </c>
      <c r="C111" s="29">
        <v>46</v>
      </c>
      <c r="D111" s="29">
        <v>47.38</v>
      </c>
      <c r="E111" s="29">
        <v>48.801400000000001</v>
      </c>
      <c r="F111" s="29">
        <v>50.265442000000007</v>
      </c>
      <c r="G111" s="29">
        <v>51.773405260000004</v>
      </c>
      <c r="H111" s="29">
        <v>53.326607417800005</v>
      </c>
      <c r="I111" s="29">
        <v>54.926405640334011</v>
      </c>
      <c r="J111" s="29">
        <v>56.574197809544032</v>
      </c>
      <c r="K111" s="29">
        <v>58.271423743830354</v>
      </c>
      <c r="L111" s="29">
        <v>58.271423743830354</v>
      </c>
      <c r="M111" s="29">
        <v>58.271423743830354</v>
      </c>
      <c r="N111" s="29">
        <v>60.019566456145263</v>
      </c>
      <c r="P111" s="247"/>
    </row>
    <row r="112" spans="1:25" hidden="1">
      <c r="B112" s="2" t="s">
        <v>161</v>
      </c>
      <c r="C112" s="98">
        <f>C111*7</f>
        <v>322</v>
      </c>
      <c r="D112" s="98">
        <f t="shared" ref="D112:N112" si="30">D111*7</f>
        <v>331.66</v>
      </c>
      <c r="E112" s="98">
        <f t="shared" si="30"/>
        <v>341.60980000000001</v>
      </c>
      <c r="F112" s="98">
        <f t="shared" si="30"/>
        <v>351.85809400000005</v>
      </c>
      <c r="G112" s="98">
        <f t="shared" si="30"/>
        <v>362.41383682000003</v>
      </c>
      <c r="H112" s="98">
        <f t="shared" si="30"/>
        <v>373.28625192460004</v>
      </c>
      <c r="I112" s="98">
        <f t="shared" si="30"/>
        <v>384.48483948233809</v>
      </c>
      <c r="J112" s="98">
        <f t="shared" si="30"/>
        <v>396.01938466680821</v>
      </c>
      <c r="K112" s="98">
        <f t="shared" si="30"/>
        <v>407.89996620681245</v>
      </c>
      <c r="L112" s="98">
        <f>L111*7</f>
        <v>407.89996620681245</v>
      </c>
      <c r="M112" s="98">
        <f>M111*7</f>
        <v>407.89996620681245</v>
      </c>
      <c r="N112" s="98">
        <f t="shared" si="30"/>
        <v>420.13696519301686</v>
      </c>
      <c r="P112" s="247"/>
    </row>
    <row r="113" spans="1:25" hidden="1">
      <c r="B113" s="2"/>
      <c r="P113" s="247"/>
    </row>
    <row r="114" spans="1:25" ht="20.25" hidden="1" thickBot="1">
      <c r="C114" s="66" t="s">
        <v>162</v>
      </c>
      <c r="P114" s="247"/>
    </row>
    <row r="115" spans="1:25" hidden="1">
      <c r="D115" s="248">
        <v>2</v>
      </c>
      <c r="E115" s="248">
        <f t="shared" ref="E115:K115" si="31">D115+1</f>
        <v>3</v>
      </c>
      <c r="F115" s="248">
        <f t="shared" si="31"/>
        <v>4</v>
      </c>
      <c r="G115" s="248">
        <f t="shared" si="31"/>
        <v>5</v>
      </c>
      <c r="H115" s="248">
        <f t="shared" si="31"/>
        <v>6</v>
      </c>
      <c r="I115" s="248">
        <f t="shared" si="31"/>
        <v>7</v>
      </c>
      <c r="J115" s="248">
        <f t="shared" si="31"/>
        <v>8</v>
      </c>
      <c r="K115" s="248">
        <f t="shared" si="31"/>
        <v>9</v>
      </c>
      <c r="L115" s="248">
        <f>K115+1</f>
        <v>10</v>
      </c>
      <c r="M115" s="248">
        <f>L115+1</f>
        <v>11</v>
      </c>
      <c r="N115" s="248">
        <f>K115+1</f>
        <v>10</v>
      </c>
      <c r="O115" s="251"/>
      <c r="P115" s="251"/>
      <c r="Q115" s="248">
        <v>2</v>
      </c>
      <c r="R115" s="248">
        <f t="shared" ref="R115:Y115" si="32">Q115+1</f>
        <v>3</v>
      </c>
      <c r="S115" s="248">
        <f t="shared" si="32"/>
        <v>4</v>
      </c>
      <c r="T115" s="248">
        <f t="shared" si="32"/>
        <v>5</v>
      </c>
      <c r="U115" s="248">
        <f t="shared" si="32"/>
        <v>6</v>
      </c>
      <c r="V115" s="248">
        <f t="shared" si="32"/>
        <v>7</v>
      </c>
      <c r="W115" s="248">
        <f t="shared" si="32"/>
        <v>8</v>
      </c>
      <c r="X115" s="248">
        <f t="shared" si="32"/>
        <v>9</v>
      </c>
      <c r="Y115" s="248">
        <f t="shared" si="32"/>
        <v>10</v>
      </c>
    </row>
    <row r="116" spans="1:25" hidden="1">
      <c r="C116" s="215">
        <v>0.2</v>
      </c>
      <c r="D116" s="212"/>
      <c r="E116" s="213"/>
      <c r="F116" s="213"/>
      <c r="G116" s="213"/>
      <c r="H116" s="213"/>
      <c r="I116" s="213"/>
      <c r="J116" s="213"/>
      <c r="K116" s="213"/>
      <c r="L116" s="213"/>
      <c r="M116" s="213"/>
      <c r="N116" s="213"/>
      <c r="P116" s="215">
        <v>0.2</v>
      </c>
      <c r="Q116" s="212">
        <v>28.861903109895568</v>
      </c>
      <c r="R116" s="213">
        <v>33.547787640075825</v>
      </c>
      <c r="S116" s="213">
        <v>38.976902152318125</v>
      </c>
      <c r="T116" s="213">
        <v>45.312818795363278</v>
      </c>
      <c r="U116" s="213">
        <v>52.698438109420046</v>
      </c>
      <c r="V116" s="213">
        <v>61.409811645609864</v>
      </c>
      <c r="W116" s="213">
        <v>71.743163106378219</v>
      </c>
      <c r="X116" s="213">
        <v>83.931960481167522</v>
      </c>
      <c r="Y116" s="213">
        <v>98.558733908005578</v>
      </c>
    </row>
    <row r="117" spans="1:25" hidden="1">
      <c r="C117" s="215">
        <f>C116-1%</f>
        <v>0.19</v>
      </c>
      <c r="D117" s="211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P117" s="215">
        <f>P116-1%</f>
        <v>0.19</v>
      </c>
      <c r="Q117" s="211">
        <v>28.616853569537309</v>
      </c>
      <c r="R117" s="54">
        <v>32.967526380214629</v>
      </c>
      <c r="S117" s="54">
        <v>37.949562868261495</v>
      </c>
      <c r="T117" s="54">
        <v>43.700601549840634</v>
      </c>
      <c r="U117" s="54">
        <v>50.326735092830134</v>
      </c>
      <c r="V117" s="54">
        <v>58.060246772091666</v>
      </c>
      <c r="W117" s="54">
        <v>67.139261241008995</v>
      </c>
      <c r="X117" s="54">
        <v>77.735775896172129</v>
      </c>
      <c r="Y117" s="54">
        <v>90.345851130666858</v>
      </c>
    </row>
    <row r="118" spans="1:25" hidden="1">
      <c r="B118" s="407"/>
      <c r="C118" s="249">
        <f t="shared" ref="C118:C129" si="33">C117-1%</f>
        <v>0.18</v>
      </c>
      <c r="D118" s="252">
        <f>D98/D$111</f>
        <v>3.1173280289639509</v>
      </c>
      <c r="E118" s="252">
        <f t="shared" ref="E118:Y118" si="34">E98/E$111</f>
        <v>3.5800404349818944</v>
      </c>
      <c r="F118" s="252">
        <f t="shared" si="34"/>
        <v>5.2350125605148001</v>
      </c>
      <c r="G118" s="252">
        <f t="shared" si="34"/>
        <v>6.0737222340829984</v>
      </c>
      <c r="H118" s="252">
        <f t="shared" si="34"/>
        <v>7.0101130739941571</v>
      </c>
      <c r="I118" s="254">
        <f t="shared" si="34"/>
        <v>8.0663329599550071</v>
      </c>
      <c r="J118" s="254">
        <f t="shared" si="34"/>
        <v>9.2650454591369282</v>
      </c>
      <c r="K118" s="254">
        <f t="shared" si="34"/>
        <v>10.616677043341053</v>
      </c>
      <c r="L118" s="254">
        <f t="shared" ref="L118:M129" si="35">L98/L$111</f>
        <v>10.616677043341053</v>
      </c>
      <c r="M118" s="254">
        <f t="shared" si="35"/>
        <v>10.616677043341053</v>
      </c>
      <c r="N118" s="254">
        <f t="shared" si="34"/>
        <v>12.164995451272079</v>
      </c>
      <c r="O118" s="253" t="e">
        <f t="shared" si="34"/>
        <v>#DIV/0!</v>
      </c>
      <c r="P118" s="253" t="e">
        <f t="shared" si="34"/>
        <v>#DIV/0!</v>
      </c>
      <c r="Q118" s="253" t="e">
        <f t="shared" si="34"/>
        <v>#DIV/0!</v>
      </c>
      <c r="R118" s="253" t="e">
        <f t="shared" si="34"/>
        <v>#DIV/0!</v>
      </c>
      <c r="S118" s="253" t="e">
        <f t="shared" si="34"/>
        <v>#DIV/0!</v>
      </c>
      <c r="T118" s="253" t="e">
        <f t="shared" si="34"/>
        <v>#DIV/0!</v>
      </c>
      <c r="U118" s="253" t="e">
        <f t="shared" si="34"/>
        <v>#DIV/0!</v>
      </c>
      <c r="V118" s="253" t="e">
        <f t="shared" si="34"/>
        <v>#DIV/0!</v>
      </c>
      <c r="W118" s="253" t="e">
        <f t="shared" si="34"/>
        <v>#DIV/0!</v>
      </c>
      <c r="X118" s="253" t="e">
        <f t="shared" si="34"/>
        <v>#DIV/0!</v>
      </c>
      <c r="Y118" s="253" t="e">
        <f t="shared" si="34"/>
        <v>#DIV/0!</v>
      </c>
    </row>
    <row r="119" spans="1:25" hidden="1">
      <c r="A119" s="1"/>
      <c r="B119" s="407"/>
      <c r="C119" s="249">
        <f t="shared" si="33"/>
        <v>0.16999999999999998</v>
      </c>
      <c r="D119" s="252">
        <f t="shared" ref="D119:N119" si="36">D99/D$111</f>
        <v>3.0840747776283974</v>
      </c>
      <c r="E119" s="252">
        <f t="shared" si="36"/>
        <v>3.5047719555606243</v>
      </c>
      <c r="F119" s="252">
        <f t="shared" si="36"/>
        <v>5.1829998131819943</v>
      </c>
      <c r="G119" s="252">
        <f t="shared" si="36"/>
        <v>5.9510376511438006</v>
      </c>
      <c r="H119" s="252">
        <f t="shared" si="36"/>
        <v>6.7993889327967674</v>
      </c>
      <c r="I119" s="254">
        <f t="shared" si="36"/>
        <v>7.7468689818731855</v>
      </c>
      <c r="J119" s="254">
        <f t="shared" si="36"/>
        <v>8.8117312456266443</v>
      </c>
      <c r="K119" s="254">
        <f t="shared" si="36"/>
        <v>10.000386466236288</v>
      </c>
      <c r="L119" s="254">
        <f t="shared" si="35"/>
        <v>10.000386466236288</v>
      </c>
      <c r="M119" s="254">
        <f t="shared" si="35"/>
        <v>10.000386466236288</v>
      </c>
      <c r="N119" s="254">
        <f t="shared" si="36"/>
        <v>11.350954785746346</v>
      </c>
      <c r="O119" s="407">
        <f t="shared" ref="O119:Y119" si="37">O98/O$94</f>
        <v>0</v>
      </c>
      <c r="P119" s="215">
        <f t="shared" si="37"/>
        <v>0.74968763015410256</v>
      </c>
      <c r="Q119" s="211">
        <f t="shared" si="37"/>
        <v>128.15173165027392</v>
      </c>
      <c r="R119" s="54">
        <f t="shared" si="37"/>
        <v>156.50527421283311</v>
      </c>
      <c r="S119" s="54">
        <f t="shared" si="37"/>
        <v>564.43717030551556</v>
      </c>
      <c r="T119" s="54">
        <f t="shared" si="37"/>
        <v>690.32927323874844</v>
      </c>
      <c r="U119" s="54">
        <f t="shared" si="37"/>
        <v>838.88014692298532</v>
      </c>
      <c r="V119" s="54">
        <f t="shared" si="37"/>
        <v>1014.1730677723668</v>
      </c>
      <c r="W119" s="54">
        <f t="shared" si="37"/>
        <v>1221.6344514339323</v>
      </c>
      <c r="X119" s="54">
        <f t="shared" si="37"/>
        <v>1465.8180667531044</v>
      </c>
      <c r="Y119" s="54">
        <f t="shared" si="37"/>
        <v>1753.9583880135929</v>
      </c>
    </row>
    <row r="120" spans="1:25" hidden="1">
      <c r="B120" s="407"/>
      <c r="C120" s="249">
        <f t="shared" si="33"/>
        <v>0.15999999999999998</v>
      </c>
      <c r="D120" s="252">
        <f t="shared" ref="D120:N120" si="38">D100/D$111</f>
        <v>3.0508214197789827</v>
      </c>
      <c r="E120" s="252">
        <f t="shared" si="38"/>
        <v>3.4301571812452649</v>
      </c>
      <c r="F120" s="252">
        <f t="shared" si="38"/>
        <v>5.1318790533814616</v>
      </c>
      <c r="G120" s="252">
        <f t="shared" si="38"/>
        <v>5.830375570084688</v>
      </c>
      <c r="H120" s="252">
        <f t="shared" si="38"/>
        <v>6.5933283269139835</v>
      </c>
      <c r="I120" s="254">
        <f t="shared" si="38"/>
        <v>7.4367208785383667</v>
      </c>
      <c r="J120" s="254">
        <f t="shared" si="38"/>
        <v>8.3751132937580639</v>
      </c>
      <c r="K120" s="254">
        <f t="shared" si="38"/>
        <v>9.4117942571020841</v>
      </c>
      <c r="L120" s="254">
        <f t="shared" si="35"/>
        <v>9.4117942571020841</v>
      </c>
      <c r="M120" s="254">
        <f t="shared" si="35"/>
        <v>9.4117942571020841</v>
      </c>
      <c r="N120" s="254">
        <f t="shared" si="38"/>
        <v>10.579927628808512</v>
      </c>
      <c r="O120" s="407">
        <f t="shared" ref="O120:Y120" si="39">O99/O$94</f>
        <v>0</v>
      </c>
      <c r="P120" s="215">
        <f t="shared" si="39"/>
        <v>0.70803831736776346</v>
      </c>
      <c r="Q120" s="211">
        <f t="shared" si="39"/>
        <v>126.81681777891691</v>
      </c>
      <c r="R120" s="54">
        <f t="shared" si="39"/>
        <v>153.36834188822095</v>
      </c>
      <c r="S120" s="54">
        <f t="shared" si="39"/>
        <v>558.90082224393484</v>
      </c>
      <c r="T120" s="54">
        <f t="shared" si="39"/>
        <v>676.85688069009814</v>
      </c>
      <c r="U120" s="54">
        <f t="shared" si="39"/>
        <v>814.86596358036547</v>
      </c>
      <c r="V120" s="54">
        <f t="shared" si="39"/>
        <v>976.33550528364276</v>
      </c>
      <c r="W120" s="54">
        <f t="shared" si="39"/>
        <v>1165.8185949855008</v>
      </c>
      <c r="X120" s="54">
        <f t="shared" si="39"/>
        <v>1386.9491961079318</v>
      </c>
      <c r="Y120" s="54">
        <f t="shared" si="39"/>
        <v>1645.6776261624589</v>
      </c>
    </row>
    <row r="121" spans="1:25" hidden="1">
      <c r="C121" s="249">
        <f t="shared" si="33"/>
        <v>0.14999999999999997</v>
      </c>
      <c r="D121" s="252">
        <f t="shared" ref="D121:N121" si="40">D101/D$111</f>
        <v>3.0175663466980347</v>
      </c>
      <c r="E121" s="252">
        <f t="shared" si="40"/>
        <v>3.3561819306423084</v>
      </c>
      <c r="F121" s="252">
        <f t="shared" si="40"/>
        <v>5.0816502123370926</v>
      </c>
      <c r="G121" s="252">
        <f t="shared" si="40"/>
        <v>5.7116879281058868</v>
      </c>
      <c r="H121" s="252">
        <f t="shared" si="40"/>
        <v>6.3918020355830318</v>
      </c>
      <c r="I121" s="254">
        <f t="shared" si="40"/>
        <v>7.1356982601410941</v>
      </c>
      <c r="J121" s="254">
        <f t="shared" si="40"/>
        <v>7.954729525176198</v>
      </c>
      <c r="K121" s="254">
        <f t="shared" si="40"/>
        <v>8.8497953607159445</v>
      </c>
      <c r="L121" s="254">
        <f t="shared" si="35"/>
        <v>8.8497953607159445</v>
      </c>
      <c r="M121" s="254">
        <f t="shared" si="35"/>
        <v>8.8497953607159445</v>
      </c>
      <c r="N121" s="254">
        <f t="shared" si="40"/>
        <v>9.8500438678663595</v>
      </c>
      <c r="O121">
        <f t="shared" ref="O121:Y121" si="41">O100/O$94</f>
        <v>0</v>
      </c>
      <c r="P121" s="215">
        <f t="shared" si="41"/>
        <v>0.66638900458142436</v>
      </c>
      <c r="Q121" s="211">
        <f t="shared" si="41"/>
        <v>125.4818581554279</v>
      </c>
      <c r="R121" s="54">
        <f t="shared" si="41"/>
        <v>150.25796969651483</v>
      </c>
      <c r="S121" s="54">
        <f t="shared" si="41"/>
        <v>553.45816234524511</v>
      </c>
      <c r="T121" s="54">
        <f t="shared" si="41"/>
        <v>663.60501516772717</v>
      </c>
      <c r="U121" s="54">
        <f t="shared" si="41"/>
        <v>791.37665980228394</v>
      </c>
      <c r="V121" s="54">
        <f t="shared" si="41"/>
        <v>939.59050247488551</v>
      </c>
      <c r="W121" s="54">
        <f t="shared" si="41"/>
        <v>1112.0232038894858</v>
      </c>
      <c r="X121" s="54">
        <f t="shared" si="41"/>
        <v>1311.5399281489754</v>
      </c>
      <c r="Y121" s="54">
        <f t="shared" si="41"/>
        <v>1542.9849743260299</v>
      </c>
    </row>
    <row r="122" spans="1:25" s="17" customFormat="1" hidden="1">
      <c r="A122"/>
      <c r="C122" s="249">
        <f t="shared" si="33"/>
        <v>0.13999999999999996</v>
      </c>
      <c r="D122" s="252">
        <f t="shared" ref="D122:N122" si="42">D102/D$111</f>
        <v>2.9843150931937106</v>
      </c>
      <c r="E122" s="252">
        <f t="shared" si="42"/>
        <v>3.282854453153071</v>
      </c>
      <c r="F122" s="252">
        <f t="shared" si="42"/>
        <v>5.0323001601171082</v>
      </c>
      <c r="G122" s="252">
        <f t="shared" si="42"/>
        <v>5.5949637289928003</v>
      </c>
      <c r="H122" s="252">
        <f t="shared" si="42"/>
        <v>6.1947547353896955</v>
      </c>
      <c r="I122" s="254">
        <f t="shared" si="42"/>
        <v>6.8435046816141609</v>
      </c>
      <c r="J122" s="254">
        <f t="shared" si="42"/>
        <v>7.5500071899556511</v>
      </c>
      <c r="K122" s="254">
        <f t="shared" si="42"/>
        <v>8.3132164052151172</v>
      </c>
      <c r="L122" s="254">
        <f t="shared" si="35"/>
        <v>8.3132164052151172</v>
      </c>
      <c r="M122" s="254">
        <f t="shared" si="35"/>
        <v>8.3132164052151172</v>
      </c>
      <c r="N122" s="254">
        <f t="shared" si="42"/>
        <v>9.1592691120022067</v>
      </c>
      <c r="O122" s="17">
        <f t="shared" ref="O122:Y122" si="43">O101/O$94</f>
        <v>0</v>
      </c>
      <c r="P122" s="215">
        <f t="shared" si="43"/>
        <v>0.62473969179508526</v>
      </c>
      <c r="Q122" s="211">
        <f t="shared" si="43"/>
        <v>124.14694976794206</v>
      </c>
      <c r="R122" s="54">
        <f t="shared" si="43"/>
        <v>147.17412185954763</v>
      </c>
      <c r="S122" s="54">
        <f t="shared" si="43"/>
        <v>548.10857584842688</v>
      </c>
      <c r="T122" s="54">
        <f t="shared" si="43"/>
        <v>650.56927022386344</v>
      </c>
      <c r="U122" s="54">
        <f t="shared" si="43"/>
        <v>768.39788841907477</v>
      </c>
      <c r="V122" s="54">
        <f t="shared" si="43"/>
        <v>903.90262215001962</v>
      </c>
      <c r="W122" s="54">
        <f t="shared" si="43"/>
        <v>1060.1904597386258</v>
      </c>
      <c r="X122" s="54">
        <f t="shared" si="43"/>
        <v>1239.4638407655309</v>
      </c>
      <c r="Y122" s="54">
        <f t="shared" si="43"/>
        <v>1445.6222116199046</v>
      </c>
    </row>
    <row r="123" spans="1:25" hidden="1">
      <c r="C123" s="249">
        <f t="shared" si="33"/>
        <v>0.12999999999999995</v>
      </c>
      <c r="D123" s="252">
        <f t="shared" ref="D123:N123" si="44">D103/D$111</f>
        <v>2.9510584721072131</v>
      </c>
      <c r="E123" s="252">
        <f t="shared" si="44"/>
        <v>3.2101778805034926</v>
      </c>
      <c r="F123" s="252">
        <f t="shared" si="44"/>
        <v>4.983823593670917</v>
      </c>
      <c r="G123" s="252">
        <f t="shared" si="44"/>
        <v>5.4801518448981756</v>
      </c>
      <c r="H123" s="252">
        <f t="shared" si="44"/>
        <v>6.0020687226316749</v>
      </c>
      <c r="I123" s="254">
        <f t="shared" si="44"/>
        <v>6.5599303810593392</v>
      </c>
      <c r="J123" s="254">
        <f t="shared" si="44"/>
        <v>7.1604051450321</v>
      </c>
      <c r="K123" s="254">
        <f t="shared" si="44"/>
        <v>7.8011755703902521</v>
      </c>
      <c r="L123" s="254">
        <f t="shared" si="35"/>
        <v>7.8011755703902521</v>
      </c>
      <c r="M123" s="254">
        <f t="shared" si="35"/>
        <v>7.8011755703902521</v>
      </c>
      <c r="N123" s="254">
        <f t="shared" si="44"/>
        <v>8.5057459256718193</v>
      </c>
      <c r="O123">
        <f t="shared" ref="O123:Y123" si="45">O102/O$94</f>
        <v>0</v>
      </c>
      <c r="P123" s="215">
        <f t="shared" si="45"/>
        <v>0.58309037900874627</v>
      </c>
      <c r="Q123" s="211">
        <f t="shared" si="45"/>
        <v>122.81209507692003</v>
      </c>
      <c r="R123" s="54">
        <f t="shared" si="45"/>
        <v>144.11731427469871</v>
      </c>
      <c r="S123" s="54">
        <f t="shared" si="45"/>
        <v>542.85149414738135</v>
      </c>
      <c r="T123" s="54">
        <f t="shared" si="45"/>
        <v>637.7451068697651</v>
      </c>
      <c r="U123" s="54">
        <f t="shared" si="45"/>
        <v>745.92309222555184</v>
      </c>
      <c r="V123" s="54">
        <f t="shared" si="45"/>
        <v>869.24659660329417</v>
      </c>
      <c r="W123" s="54">
        <f t="shared" si="45"/>
        <v>1010.2481180147518</v>
      </c>
      <c r="X123" s="54">
        <f t="shared" si="45"/>
        <v>1170.5787579097666</v>
      </c>
      <c r="Y123" s="54">
        <f t="shared" si="45"/>
        <v>1353.3552780968471</v>
      </c>
    </row>
    <row r="124" spans="1:25" hidden="1">
      <c r="C124" s="249">
        <f t="shared" si="33"/>
        <v>0.11999999999999995</v>
      </c>
      <c r="D124" s="252">
        <f t="shared" ref="D124:N124" si="46">D104/D$111</f>
        <v>2.9178064120597402</v>
      </c>
      <c r="E124" s="252">
        <f t="shared" si="46"/>
        <v>3.1381408851722936</v>
      </c>
      <c r="F124" s="252">
        <f t="shared" si="46"/>
        <v>4.9362103512029165</v>
      </c>
      <c r="G124" s="252">
        <f t="shared" si="46"/>
        <v>5.367213414660065</v>
      </c>
      <c r="H124" s="252">
        <f t="shared" si="46"/>
        <v>5.813662614597682</v>
      </c>
      <c r="I124" s="254">
        <f t="shared" si="46"/>
        <v>6.2847287707824471</v>
      </c>
      <c r="J124" s="254">
        <f t="shared" si="46"/>
        <v>6.7854767915981551</v>
      </c>
      <c r="K124" s="254">
        <f t="shared" si="46"/>
        <v>7.3126085479169758</v>
      </c>
      <c r="L124" s="254">
        <f t="shared" si="35"/>
        <v>7.3126085479169758</v>
      </c>
      <c r="M124" s="254">
        <f t="shared" si="35"/>
        <v>7.3126085479169758</v>
      </c>
      <c r="N124" s="254">
        <f t="shared" si="46"/>
        <v>7.8877299869333237</v>
      </c>
      <c r="O124">
        <f t="shared" ref="O124:Y124" si="47">O103/O$94</f>
        <v>0</v>
      </c>
      <c r="P124" s="215">
        <f t="shared" si="47"/>
        <v>0.54144106622240717</v>
      </c>
      <c r="Q124" s="211">
        <f t="shared" si="47"/>
        <v>121.47719042637776</v>
      </c>
      <c r="R124" s="54">
        <f t="shared" si="47"/>
        <v>141.0870713967681</v>
      </c>
      <c r="S124" s="54">
        <f t="shared" si="47"/>
        <v>537.68618178885129</v>
      </c>
      <c r="T124" s="54">
        <f t="shared" si="47"/>
        <v>625.12997665551666</v>
      </c>
      <c r="U124" s="54">
        <f t="shared" si="47"/>
        <v>723.94181390435574</v>
      </c>
      <c r="V124" s="54">
        <f t="shared" si="47"/>
        <v>835.59950177068413</v>
      </c>
      <c r="W124" s="54">
        <f t="shared" si="47"/>
        <v>962.13820732556462</v>
      </c>
      <c r="X124" s="54">
        <f t="shared" si="47"/>
        <v>1104.764801323661</v>
      </c>
      <c r="Y124" s="54">
        <f t="shared" si="47"/>
        <v>1265.9303792431288</v>
      </c>
    </row>
    <row r="125" spans="1:25" hidden="1">
      <c r="C125" s="249">
        <f t="shared" si="33"/>
        <v>0.10999999999999996</v>
      </c>
      <c r="D125" s="252">
        <f t="shared" ref="D125:N125" si="48">D105/D$111</f>
        <v>2.8845531035968972</v>
      </c>
      <c r="E125" s="252">
        <f t="shared" si="48"/>
        <v>3.066750229932858</v>
      </c>
      <c r="F125" s="252">
        <f t="shared" si="48"/>
        <v>4.8894511857399321</v>
      </c>
      <c r="G125" s="252">
        <f t="shared" si="48"/>
        <v>5.2561353121162506</v>
      </c>
      <c r="H125" s="252">
        <f t="shared" si="48"/>
        <v>5.6294557934112426</v>
      </c>
      <c r="I125" s="254">
        <f t="shared" si="48"/>
        <v>6.0177295003422797</v>
      </c>
      <c r="J125" s="254">
        <f t="shared" si="48"/>
        <v>6.4247347892005431</v>
      </c>
      <c r="K125" s="254">
        <f t="shared" si="48"/>
        <v>6.8465940961834875</v>
      </c>
      <c r="L125" s="254">
        <f t="shared" si="35"/>
        <v>6.8465940961834875</v>
      </c>
      <c r="M125" s="254">
        <f t="shared" si="35"/>
        <v>6.8465940961834875</v>
      </c>
      <c r="N125" s="254">
        <f t="shared" si="48"/>
        <v>7.3034916087425374</v>
      </c>
      <c r="O125">
        <f t="shared" ref="O125:Y125" si="49">O104/O$94</f>
        <v>0</v>
      </c>
      <c r="P125" s="215">
        <f t="shared" si="49"/>
        <v>0.49979175343606813</v>
      </c>
      <c r="Q125" s="211">
        <f t="shared" si="49"/>
        <v>120.14228596124508</v>
      </c>
      <c r="R125" s="54">
        <f t="shared" si="49"/>
        <v>138.08358078823008</v>
      </c>
      <c r="S125" s="54">
        <f t="shared" si="49"/>
        <v>532.61122035768096</v>
      </c>
      <c r="T125" s="54">
        <f t="shared" si="49"/>
        <v>612.7199813028019</v>
      </c>
      <c r="U125" s="54">
        <f t="shared" si="49"/>
        <v>702.44086116458516</v>
      </c>
      <c r="V125" s="54">
        <f t="shared" si="49"/>
        <v>802.93023152626745</v>
      </c>
      <c r="W125" s="54">
        <f t="shared" si="49"/>
        <v>915.8045768276678</v>
      </c>
      <c r="X125" s="54">
        <f t="shared" si="49"/>
        <v>1041.8921467861835</v>
      </c>
      <c r="Y125" s="54">
        <f t="shared" si="49"/>
        <v>1183.1200062800656</v>
      </c>
    </row>
    <row r="126" spans="1:25" hidden="1">
      <c r="C126" s="249">
        <f t="shared" si="33"/>
        <v>9.9999999999999964E-2</v>
      </c>
      <c r="D126" s="252">
        <f t="shared" ref="D126:N126" si="50">D106/D$111</f>
        <v>2.8512994446968425</v>
      </c>
      <c r="E126" s="252">
        <f t="shared" si="50"/>
        <v>2.9960061746546502</v>
      </c>
      <c r="F126" s="252">
        <f t="shared" si="50"/>
        <v>4.843545887568018</v>
      </c>
      <c r="G126" s="252">
        <f t="shared" si="50"/>
        <v>5.1468613265543972</v>
      </c>
      <c r="H126" s="252">
        <f t="shared" si="50"/>
        <v>5.4493285374504472</v>
      </c>
      <c r="I126" s="254">
        <f t="shared" si="50"/>
        <v>5.7586685341832942</v>
      </c>
      <c r="J126" s="254">
        <f t="shared" si="50"/>
        <v>6.0776771336011413</v>
      </c>
      <c r="K126" s="254">
        <f t="shared" si="50"/>
        <v>6.4022188477493467</v>
      </c>
      <c r="L126" s="254">
        <f t="shared" si="35"/>
        <v>6.4022188477493467</v>
      </c>
      <c r="M126" s="254">
        <f t="shared" si="35"/>
        <v>6.4022188477493467</v>
      </c>
      <c r="N126" s="254">
        <f t="shared" si="50"/>
        <v>6.7514235098010973</v>
      </c>
      <c r="O126">
        <f t="shared" ref="O126:Y126" si="51">O105/O$94</f>
        <v>0</v>
      </c>
      <c r="P126" s="215">
        <f t="shared" si="51"/>
        <v>0.45814244064972914</v>
      </c>
      <c r="Q126" s="211">
        <f t="shared" si="51"/>
        <v>118.8073937810683</v>
      </c>
      <c r="R126" s="54">
        <f t="shared" si="51"/>
        <v>135.10674035205011</v>
      </c>
      <c r="S126" s="54">
        <f t="shared" si="51"/>
        <v>527.62626631754893</v>
      </c>
      <c r="T126" s="54">
        <f t="shared" si="51"/>
        <v>600.51118097110748</v>
      </c>
      <c r="U126" s="54">
        <f t="shared" si="51"/>
        <v>681.41200981197551</v>
      </c>
      <c r="V126" s="54">
        <f t="shared" si="51"/>
        <v>771.21482364210476</v>
      </c>
      <c r="W126" s="54">
        <f t="shared" si="51"/>
        <v>871.17880262224503</v>
      </c>
      <c r="X126" s="54">
        <f t="shared" si="51"/>
        <v>981.85889787823817</v>
      </c>
      <c r="Y126" s="54">
        <f t="shared" si="51"/>
        <v>1104.7028870191386</v>
      </c>
    </row>
    <row r="127" spans="1:25" hidden="1">
      <c r="C127" s="249">
        <f t="shared" si="33"/>
        <v>8.9999999999999969E-2</v>
      </c>
      <c r="D127" s="252">
        <f t="shared" ref="D127:N127" si="52">D107/D$111</f>
        <v>2.8180443141217455</v>
      </c>
      <c r="E127" s="252">
        <f t="shared" si="52"/>
        <v>2.9259102527594121</v>
      </c>
      <c r="F127" s="252">
        <f t="shared" si="52"/>
        <v>4.7984826559552465</v>
      </c>
      <c r="G127" s="252">
        <f t="shared" si="52"/>
        <v>5.0393721938164342</v>
      </c>
      <c r="H127" s="252">
        <f t="shared" si="52"/>
        <v>5.2731925269669864</v>
      </c>
      <c r="I127" s="254">
        <f t="shared" si="52"/>
        <v>5.5073312881078715</v>
      </c>
      <c r="J127" s="254">
        <f t="shared" si="52"/>
        <v>5.7438393775743082</v>
      </c>
      <c r="K127" s="254">
        <f t="shared" si="52"/>
        <v>5.9786048233358926</v>
      </c>
      <c r="L127" s="254">
        <f t="shared" si="35"/>
        <v>5.9786048233358926</v>
      </c>
      <c r="M127" s="254">
        <f t="shared" si="35"/>
        <v>5.9786048233358926</v>
      </c>
      <c r="N127" s="254">
        <f t="shared" si="52"/>
        <v>6.2299735518030364</v>
      </c>
      <c r="O127">
        <f t="shared" ref="O127:Y127" si="53">O106/O$94</f>
        <v>0</v>
      </c>
      <c r="P127" s="215">
        <f t="shared" si="53"/>
        <v>0.4164931278633901</v>
      </c>
      <c r="Q127" s="211">
        <f t="shared" si="53"/>
        <v>117.47242872101755</v>
      </c>
      <c r="R127" s="54">
        <f t="shared" si="53"/>
        <v>132.15637533318656</v>
      </c>
      <c r="S127" s="54">
        <f t="shared" si="53"/>
        <v>522.73039474381881</v>
      </c>
      <c r="T127" s="54">
        <f t="shared" si="53"/>
        <v>588.49963569390309</v>
      </c>
      <c r="U127" s="54">
        <f t="shared" si="53"/>
        <v>660.84545070191484</v>
      </c>
      <c r="V127" s="54">
        <f t="shared" si="53"/>
        <v>740.42743399216715</v>
      </c>
      <c r="W127" s="54">
        <f t="shared" si="53"/>
        <v>828.21863766755314</v>
      </c>
      <c r="X127" s="54">
        <f t="shared" si="53"/>
        <v>924.53220065214396</v>
      </c>
      <c r="Y127" s="54">
        <f t="shared" si="53"/>
        <v>1030.4819545516611</v>
      </c>
    </row>
    <row r="128" spans="1:25" hidden="1">
      <c r="C128" s="249">
        <f t="shared" si="33"/>
        <v>7.9999999999999974E-2</v>
      </c>
      <c r="D128" s="252">
        <f t="shared" ref="D128:N128" si="54">D108/D$111</f>
        <v>2.7847911635197842</v>
      </c>
      <c r="E128" s="252">
        <f t="shared" si="54"/>
        <v>2.8564595135335078</v>
      </c>
      <c r="F128" s="252">
        <f t="shared" si="54"/>
        <v>4.7542505840913627</v>
      </c>
      <c r="G128" s="252">
        <f t="shared" si="54"/>
        <v>4.9336351428205125</v>
      </c>
      <c r="H128" s="252">
        <f t="shared" si="54"/>
        <v>5.101002583164143</v>
      </c>
      <c r="I128" s="254">
        <f t="shared" si="54"/>
        <v>5.2635366391160483</v>
      </c>
      <c r="J128" s="254">
        <f t="shared" si="54"/>
        <v>5.4228035793837917</v>
      </c>
      <c r="K128" s="254">
        <f t="shared" si="54"/>
        <v>5.5748694235340386</v>
      </c>
      <c r="L128" s="254">
        <f t="shared" si="35"/>
        <v>5.5748694235340386</v>
      </c>
      <c r="M128" s="254">
        <f t="shared" si="35"/>
        <v>5.5748694235340386</v>
      </c>
      <c r="N128" s="254">
        <f t="shared" si="54"/>
        <v>5.7375844571255881</v>
      </c>
      <c r="O128">
        <f t="shared" ref="O128:Y128" si="55">O107/O$94</f>
        <v>0</v>
      </c>
      <c r="P128" s="215">
        <f t="shared" si="55"/>
        <v>0.37484381507705111</v>
      </c>
      <c r="Q128" s="211">
        <f t="shared" si="55"/>
        <v>116.13754575133133</v>
      </c>
      <c r="R128" s="54">
        <f t="shared" si="55"/>
        <v>129.23287659253631</v>
      </c>
      <c r="S128" s="54">
        <f t="shared" si="55"/>
        <v>517.92317356724425</v>
      </c>
      <c r="T128" s="54">
        <f t="shared" si="55"/>
        <v>576.68223393206608</v>
      </c>
      <c r="U128" s="54">
        <f t="shared" si="55"/>
        <v>640.73109606667435</v>
      </c>
      <c r="V128" s="54">
        <f t="shared" si="55"/>
        <v>710.54393162182942</v>
      </c>
      <c r="W128" s="54">
        <f t="shared" si="55"/>
        <v>786.85400986166542</v>
      </c>
      <c r="X128" s="54">
        <f t="shared" si="55"/>
        <v>869.82190093275517</v>
      </c>
      <c r="Y128" s="54">
        <f t="shared" si="55"/>
        <v>960.24679473732238</v>
      </c>
    </row>
    <row r="129" spans="1:25" hidden="1">
      <c r="C129" s="249">
        <f t="shared" si="33"/>
        <v>6.9999999999999979E-2</v>
      </c>
      <c r="D129" s="252">
        <f t="shared" ref="D129:N129" si="56">D109/D$111</f>
        <v>2.7515391535436122</v>
      </c>
      <c r="E129" s="252">
        <f t="shared" si="56"/>
        <v>2.7876564336191332</v>
      </c>
      <c r="F129" s="252">
        <f t="shared" si="56"/>
        <v>4.7108468831233123</v>
      </c>
      <c r="G129" s="252">
        <f t="shared" si="56"/>
        <v>4.8296178136801604</v>
      </c>
      <c r="H129" s="252">
        <f t="shared" si="56"/>
        <v>4.9326410084856507</v>
      </c>
      <c r="I129" s="254">
        <f t="shared" si="56"/>
        <v>5.0270868485130888</v>
      </c>
      <c r="J129" s="254">
        <f t="shared" si="56"/>
        <v>5.1141160242287196</v>
      </c>
      <c r="K129" s="254">
        <f t="shared" si="56"/>
        <v>5.1902029920160375</v>
      </c>
      <c r="L129" s="254">
        <f t="shared" si="35"/>
        <v>5.1902029920160375</v>
      </c>
      <c r="M129" s="254">
        <f t="shared" si="35"/>
        <v>5.1902029920160375</v>
      </c>
      <c r="N129" s="254">
        <f t="shared" si="56"/>
        <v>5.2728134442393824</v>
      </c>
      <c r="O129">
        <f t="shared" ref="O129:Y129" si="57">O108/O$94</f>
        <v>0</v>
      </c>
      <c r="P129" s="215">
        <f t="shared" si="57"/>
        <v>0.33319450229071212</v>
      </c>
      <c r="Q129" s="211">
        <f t="shared" si="57"/>
        <v>114.80260985508041</v>
      </c>
      <c r="R129" s="54">
        <f t="shared" si="57"/>
        <v>126.33613175893943</v>
      </c>
      <c r="S129" s="54">
        <f t="shared" si="57"/>
        <v>513.20342967797467</v>
      </c>
      <c r="T129" s="54">
        <f t="shared" si="57"/>
        <v>565.05646531843058</v>
      </c>
      <c r="U129" s="54">
        <f t="shared" si="57"/>
        <v>621.05711488456006</v>
      </c>
      <c r="V129" s="54">
        <f t="shared" si="57"/>
        <v>681.53840162981726</v>
      </c>
      <c r="W129" s="54">
        <f t="shared" si="57"/>
        <v>747.04673349753898</v>
      </c>
      <c r="X129" s="54">
        <f t="shared" si="57"/>
        <v>817.60379349601601</v>
      </c>
      <c r="Y129" s="54">
        <f t="shared" si="57"/>
        <v>893.80876900983833</v>
      </c>
    </row>
    <row r="130" spans="1:25" hidden="1">
      <c r="P130" s="247"/>
    </row>
    <row r="131" spans="1:25" hidden="1">
      <c r="C131" s="203"/>
      <c r="D131" s="203"/>
      <c r="E131" s="203"/>
      <c r="F131" s="203"/>
      <c r="G131" s="203"/>
      <c r="H131" s="203"/>
      <c r="I131" s="203"/>
      <c r="J131" s="203"/>
      <c r="K131" s="203"/>
      <c r="L131" s="203"/>
      <c r="M131" s="203"/>
      <c r="O131" s="203">
        <f>N90/49%</f>
        <v>344.36733162219537</v>
      </c>
      <c r="P131" s="203">
        <f>N89/49%</f>
        <v>373.92031161246967</v>
      </c>
      <c r="Q131" s="203">
        <f>N91/49%</f>
        <v>316.47197692738183</v>
      </c>
      <c r="R131" s="203"/>
      <c r="S131" s="203"/>
      <c r="T131" s="203"/>
      <c r="U131" s="203"/>
      <c r="V131" s="203"/>
      <c r="W131" s="203"/>
      <c r="X131" s="203"/>
    </row>
    <row r="132" spans="1:25" hidden="1">
      <c r="C132" s="407"/>
      <c r="D132" s="304">
        <v>2</v>
      </c>
      <c r="E132" s="217">
        <f t="shared" ref="E132:K132" si="58">D132+1</f>
        <v>3</v>
      </c>
      <c r="F132" s="217">
        <f t="shared" si="58"/>
        <v>4</v>
      </c>
      <c r="G132" s="217">
        <f t="shared" si="58"/>
        <v>5</v>
      </c>
      <c r="H132" s="217">
        <f t="shared" si="58"/>
        <v>6</v>
      </c>
      <c r="I132" s="217">
        <f t="shared" si="58"/>
        <v>7</v>
      </c>
      <c r="J132" s="217">
        <f t="shared" si="58"/>
        <v>8</v>
      </c>
      <c r="K132" s="217">
        <f t="shared" si="58"/>
        <v>9</v>
      </c>
      <c r="L132" s="217">
        <f>K132+1</f>
        <v>10</v>
      </c>
      <c r="M132" s="217">
        <f>L132+1</f>
        <v>11</v>
      </c>
      <c r="N132" s="217">
        <f>K132+1</f>
        <v>10</v>
      </c>
      <c r="P132" s="407"/>
      <c r="Q132" s="217">
        <v>2</v>
      </c>
      <c r="R132" s="217">
        <f t="shared" ref="R132:Y132" si="59">Q132+1</f>
        <v>3</v>
      </c>
      <c r="S132" s="217">
        <f t="shared" si="59"/>
        <v>4</v>
      </c>
      <c r="T132" s="217">
        <f t="shared" si="59"/>
        <v>5</v>
      </c>
      <c r="U132" s="217">
        <f t="shared" si="59"/>
        <v>6</v>
      </c>
      <c r="V132" s="217">
        <f t="shared" si="59"/>
        <v>7</v>
      </c>
      <c r="W132" s="217">
        <f t="shared" si="59"/>
        <v>8</v>
      </c>
      <c r="X132" s="217">
        <f t="shared" si="59"/>
        <v>9</v>
      </c>
      <c r="Y132" s="217">
        <f t="shared" si="59"/>
        <v>10</v>
      </c>
    </row>
    <row r="133" spans="1:25" hidden="1">
      <c r="C133" s="407"/>
      <c r="D133" s="206">
        <f>SUM('Call Rights'!$J$59:$L$59)</f>
        <v>-25.80830186055363</v>
      </c>
      <c r="E133" s="206">
        <f>SUM('Call Rights'!$J$59:$L$59)</f>
        <v>-25.80830186055363</v>
      </c>
      <c r="F133" s="206">
        <v>-90</v>
      </c>
      <c r="G133" s="206">
        <v>-90</v>
      </c>
      <c r="H133" s="206">
        <f t="shared" ref="H133:M133" si="60">G133</f>
        <v>-90</v>
      </c>
      <c r="I133" s="206">
        <f t="shared" si="60"/>
        <v>-90</v>
      </c>
      <c r="J133" s="206">
        <f t="shared" si="60"/>
        <v>-90</v>
      </c>
      <c r="K133" s="206">
        <f t="shared" si="60"/>
        <v>-90</v>
      </c>
      <c r="L133" s="206">
        <f t="shared" si="60"/>
        <v>-90</v>
      </c>
      <c r="M133" s="206">
        <f t="shared" si="60"/>
        <v>-90</v>
      </c>
      <c r="N133" s="206">
        <f>K133</f>
        <v>-90</v>
      </c>
      <c r="P133" s="407"/>
      <c r="Q133" s="206">
        <f t="shared" ref="Q133:X133" si="61">D133</f>
        <v>-25.80830186055363</v>
      </c>
      <c r="R133" s="206">
        <f t="shared" si="61"/>
        <v>-25.80830186055363</v>
      </c>
      <c r="S133" s="206">
        <f t="shared" si="61"/>
        <v>-90</v>
      </c>
      <c r="T133" s="206">
        <f t="shared" si="61"/>
        <v>-90</v>
      </c>
      <c r="U133" s="206">
        <f t="shared" si="61"/>
        <v>-90</v>
      </c>
      <c r="V133" s="206">
        <f t="shared" si="61"/>
        <v>-90</v>
      </c>
      <c r="W133" s="206">
        <f t="shared" si="61"/>
        <v>-90</v>
      </c>
      <c r="X133" s="206">
        <f t="shared" si="61"/>
        <v>-90</v>
      </c>
      <c r="Y133" s="206">
        <f>N133</f>
        <v>-90</v>
      </c>
    </row>
    <row r="134" spans="1:25" hidden="1">
      <c r="C134" s="218">
        <v>0.2</v>
      </c>
      <c r="D134" s="225">
        <f t="shared" ref="D134:N134" si="62">(D78+D$57)/-D$57/(D$24-1)</f>
        <v>-1</v>
      </c>
      <c r="E134" s="225">
        <f t="shared" si="62"/>
        <v>-0.5</v>
      </c>
      <c r="F134" s="225">
        <f t="shared" si="62"/>
        <v>-0.33333333333333331</v>
      </c>
      <c r="G134" s="225">
        <f t="shared" si="62"/>
        <v>-0.25</v>
      </c>
      <c r="H134" s="225">
        <f t="shared" si="62"/>
        <v>-0.2</v>
      </c>
      <c r="I134" s="225" t="e">
        <f t="shared" si="62"/>
        <v>#DIV/0!</v>
      </c>
      <c r="J134" s="225" t="e">
        <f t="shared" si="62"/>
        <v>#DIV/0!</v>
      </c>
      <c r="K134" s="225" t="e">
        <f t="shared" si="62"/>
        <v>#DIV/0!</v>
      </c>
      <c r="L134" s="225" t="e">
        <f>(L78+L$57)/-L$57/(L$24-1)</f>
        <v>#DIV/0!</v>
      </c>
      <c r="M134" s="225" t="e">
        <f>(M78+M$57)/-M$57/(M$24-1)</f>
        <v>#DIV/0!</v>
      </c>
      <c r="N134" s="225" t="e">
        <f t="shared" si="62"/>
        <v>#DIV/0!</v>
      </c>
      <c r="P134" s="218">
        <v>0.2</v>
      </c>
      <c r="Q134" s="225">
        <f t="shared" ref="Q134:Y134" si="63">(Q78+Q$57)/-Q$57/(Q$24-1)</f>
        <v>0.11831856531441054</v>
      </c>
      <c r="R134" s="225">
        <f t="shared" si="63"/>
        <v>0.1499417865875072</v>
      </c>
      <c r="S134" s="225">
        <f t="shared" si="63"/>
        <v>0.17008222603352649</v>
      </c>
      <c r="T134" s="225">
        <f t="shared" si="63"/>
        <v>0.18893646161025687</v>
      </c>
      <c r="U134" s="225" t="e">
        <f t="shared" si="63"/>
        <v>#DIV/0!</v>
      </c>
      <c r="V134" s="225" t="e">
        <f t="shared" si="63"/>
        <v>#DIV/0!</v>
      </c>
      <c r="W134" s="225" t="e">
        <f t="shared" si="63"/>
        <v>#DIV/0!</v>
      </c>
      <c r="X134" s="225" t="e">
        <f t="shared" si="63"/>
        <v>#DIV/0!</v>
      </c>
      <c r="Y134" s="225" t="e">
        <f t="shared" si="63"/>
        <v>#DIV/0!</v>
      </c>
    </row>
    <row r="135" spans="1:25" hidden="1">
      <c r="C135" s="218">
        <f>C134-1%</f>
        <v>0.19</v>
      </c>
      <c r="D135" s="225">
        <f t="shared" ref="D135:N135" si="64">(D79+D$57)/-D$57/(D$24-1)</f>
        <v>-1</v>
      </c>
      <c r="E135" s="225">
        <f t="shared" si="64"/>
        <v>-0.5</v>
      </c>
      <c r="F135" s="225">
        <f t="shared" si="64"/>
        <v>-0.33333333333333331</v>
      </c>
      <c r="G135" s="225">
        <f t="shared" si="64"/>
        <v>-0.25</v>
      </c>
      <c r="H135" s="225">
        <f t="shared" si="64"/>
        <v>-0.2</v>
      </c>
      <c r="I135" s="225" t="e">
        <f t="shared" si="64"/>
        <v>#DIV/0!</v>
      </c>
      <c r="J135" s="225" t="e">
        <f t="shared" si="64"/>
        <v>#DIV/0!</v>
      </c>
      <c r="K135" s="225" t="e">
        <f t="shared" si="64"/>
        <v>#DIV/0!</v>
      </c>
      <c r="L135" s="225" t="e">
        <f>(L79+L$57)/-L$57/(L$24-1)</f>
        <v>#DIV/0!</v>
      </c>
      <c r="M135" s="225" t="e">
        <f>(M79+M$57)/-M$57/(M$24-1)</f>
        <v>#DIV/0!</v>
      </c>
      <c r="N135" s="225" t="e">
        <f t="shared" si="64"/>
        <v>#DIV/0!</v>
      </c>
      <c r="P135" s="218">
        <f>P134-1%</f>
        <v>0.19</v>
      </c>
      <c r="Q135" s="225">
        <f t="shared" ref="Q135:Y135" si="65">(Q79+Q$57)/-Q$57/(Q$24-1)</f>
        <v>0.10882357638866483</v>
      </c>
      <c r="R135" s="225">
        <f t="shared" si="65"/>
        <v>0.1387000306789542</v>
      </c>
      <c r="S135" s="225">
        <f t="shared" si="65"/>
        <v>0.15681337828565181</v>
      </c>
      <c r="T135" s="225">
        <f t="shared" si="65"/>
        <v>0.17331922675465003</v>
      </c>
      <c r="U135" s="225" t="e">
        <f t="shared" si="65"/>
        <v>#DIV/0!</v>
      </c>
      <c r="V135" s="225" t="e">
        <f t="shared" si="65"/>
        <v>#DIV/0!</v>
      </c>
      <c r="W135" s="225" t="e">
        <f t="shared" si="65"/>
        <v>#DIV/0!</v>
      </c>
      <c r="X135" s="225" t="e">
        <f t="shared" si="65"/>
        <v>#DIV/0!</v>
      </c>
      <c r="Y135" s="225" t="e">
        <f t="shared" si="65"/>
        <v>#DIV/0!</v>
      </c>
    </row>
    <row r="136" spans="1:25" hidden="1">
      <c r="B136" s="99"/>
      <c r="C136" s="218">
        <f t="shared" ref="C136:C147" si="66">C135-1%</f>
        <v>0.18</v>
      </c>
      <c r="D136" s="225">
        <f t="shared" ref="D136:N136" si="67">(D80+D$133)/-D$133/(D$132-1)</f>
        <v>0.14458520215978005</v>
      </c>
      <c r="E136" s="225">
        <f t="shared" si="67"/>
        <v>0.17695653215665541</v>
      </c>
      <c r="F136" s="225">
        <f t="shared" si="67"/>
        <v>0.14421743671339196</v>
      </c>
      <c r="G136" s="225">
        <f t="shared" si="67"/>
        <v>0.17801130140085372</v>
      </c>
      <c r="H136" s="225">
        <f t="shared" si="67"/>
        <v>0.20705448543805346</v>
      </c>
      <c r="I136" s="225">
        <f t="shared" si="67"/>
        <v>0.23536442839325478</v>
      </c>
      <c r="J136" s="225">
        <f t="shared" si="67"/>
        <v>0.26482481288034737</v>
      </c>
      <c r="K136" s="225">
        <f t="shared" si="67"/>
        <v>0.29602493681183617</v>
      </c>
      <c r="L136" s="225">
        <f t="shared" ref="L136:M147" si="68">(L80+L$133)/-L$133/(L$132-1)</f>
        <v>0.2631332771660766</v>
      </c>
      <c r="M136" s="225">
        <f t="shared" si="68"/>
        <v>0.23681994944946894</v>
      </c>
      <c r="N136" s="225">
        <f t="shared" si="67"/>
        <v>0.33057715917765607</v>
      </c>
      <c r="O136" s="99"/>
      <c r="P136" s="218">
        <f t="shared" ref="P136:P147" si="69">P135-1%</f>
        <v>0.18</v>
      </c>
      <c r="Q136" s="225">
        <f t="shared" ref="Q136:Y136" si="70">(Q80+Q$133)/-Q$133/(Q$132-1)</f>
        <v>0.19222221343666182</v>
      </c>
      <c r="R136" s="225">
        <f t="shared" si="70"/>
        <v>0.22800055853219825</v>
      </c>
      <c r="S136" s="225">
        <f t="shared" si="70"/>
        <v>0.16859764663094171</v>
      </c>
      <c r="T136" s="225">
        <f t="shared" si="70"/>
        <v>0.21041127362395412</v>
      </c>
      <c r="U136" s="225">
        <f t="shared" si="70"/>
        <v>0.24758916283601948</v>
      </c>
      <c r="V136" s="225">
        <f t="shared" si="70"/>
        <v>0.28426472883730602</v>
      </c>
      <c r="W136" s="225">
        <f t="shared" si="70"/>
        <v>0.32272132030045581</v>
      </c>
      <c r="X136" s="225">
        <f t="shared" si="70"/>
        <v>0.36380960809363944</v>
      </c>
      <c r="Y136" s="225">
        <f t="shared" si="70"/>
        <v>0.40879680118773287</v>
      </c>
    </row>
    <row r="137" spans="1:25" hidden="1">
      <c r="C137" s="218">
        <f t="shared" si="66"/>
        <v>0.16999999999999998</v>
      </c>
      <c r="D137" s="225">
        <f t="shared" ref="D137:N137" si="71">(D81+D$133)/-D$133/(D$132-1)</f>
        <v>0.13237564992506562</v>
      </c>
      <c r="E137" s="225">
        <f t="shared" si="71"/>
        <v>0.16272387480679912</v>
      </c>
      <c r="F137" s="225">
        <f t="shared" si="71"/>
        <v>0.13947270549185217</v>
      </c>
      <c r="G137" s="225">
        <f t="shared" si="71"/>
        <v>0.16936579770775384</v>
      </c>
      <c r="H137" s="225">
        <f t="shared" si="71"/>
        <v>0.19481841934909291</v>
      </c>
      <c r="I137" s="225">
        <f t="shared" si="71"/>
        <v>0.21944214331302789</v>
      </c>
      <c r="J137" s="225">
        <f t="shared" si="71"/>
        <v>0.24487801111422949</v>
      </c>
      <c r="K137" s="225">
        <f t="shared" si="71"/>
        <v>0.27158473765874902</v>
      </c>
      <c r="L137" s="225">
        <f t="shared" si="68"/>
        <v>0.24140865569666581</v>
      </c>
      <c r="M137" s="225">
        <f t="shared" si="68"/>
        <v>0.21726779012699921</v>
      </c>
      <c r="N137" s="225">
        <f t="shared" si="71"/>
        <v>0.30102086259365862</v>
      </c>
      <c r="P137" s="218">
        <f t="shared" si="69"/>
        <v>0.16999999999999998</v>
      </c>
      <c r="Q137" s="225">
        <f t="shared" ref="Q137:Y137" si="72">(Q81+Q$133)/-Q$133/(Q$132-1)</f>
        <v>0.17980323204669671</v>
      </c>
      <c r="R137" s="225">
        <f t="shared" si="72"/>
        <v>0.2134087916036938</v>
      </c>
      <c r="S137" s="225">
        <f t="shared" si="72"/>
        <v>0.16367439785469909</v>
      </c>
      <c r="T137" s="225">
        <f t="shared" si="72"/>
        <v>0.20142593626025712</v>
      </c>
      <c r="U137" s="225">
        <f t="shared" si="72"/>
        <v>0.23477626190143494</v>
      </c>
      <c r="V137" s="225">
        <f t="shared" si="72"/>
        <v>0.26744102744185666</v>
      </c>
      <c r="W137" s="225">
        <f t="shared" si="72"/>
        <v>0.30144927723177573</v>
      </c>
      <c r="X137" s="225">
        <f t="shared" si="72"/>
        <v>0.33750903053543674</v>
      </c>
      <c r="Y137" s="225">
        <f t="shared" si="72"/>
        <v>0.37670024449581035</v>
      </c>
    </row>
    <row r="138" spans="1:25" hidden="1">
      <c r="C138" s="218">
        <f t="shared" si="66"/>
        <v>0.15999999999999998</v>
      </c>
      <c r="D138" s="225">
        <f t="shared" ref="D138:N138" si="73">(D82+D$133)/-D$133/(D$132-1)</f>
        <v>0.12016605858179803</v>
      </c>
      <c r="E138" s="225">
        <f t="shared" si="73"/>
        <v>0.14861482777631987</v>
      </c>
      <c r="F138" s="225">
        <f t="shared" si="73"/>
        <v>0.13480934357515845</v>
      </c>
      <c r="G138" s="225">
        <f t="shared" si="73"/>
        <v>0.1608628184219974</v>
      </c>
      <c r="H138" s="225">
        <f t="shared" si="73"/>
        <v>0.18285314960075785</v>
      </c>
      <c r="I138" s="225">
        <f t="shared" si="73"/>
        <v>0.2039841672744154</v>
      </c>
      <c r="J138" s="225">
        <f t="shared" si="73"/>
        <v>0.22566588082162092</v>
      </c>
      <c r="K138" s="225">
        <f t="shared" si="73"/>
        <v>0.24824297105447057</v>
      </c>
      <c r="L138" s="225">
        <f t="shared" si="68"/>
        <v>0.22066041871508496</v>
      </c>
      <c r="M138" s="225">
        <f t="shared" si="68"/>
        <v>0.19859437684357645</v>
      </c>
      <c r="N138" s="225">
        <f t="shared" si="73"/>
        <v>0.27302630619142604</v>
      </c>
      <c r="P138" s="218">
        <f t="shared" si="69"/>
        <v>0.15999999999999998</v>
      </c>
      <c r="Q138" s="225">
        <f t="shared" ref="Q138:Y138" si="74">(Q82+Q$133)/-Q$133/(Q$132-1)</f>
        <v>0.16738382501513166</v>
      </c>
      <c r="R138" s="225">
        <f t="shared" si="74"/>
        <v>0.19894057189548262</v>
      </c>
      <c r="S138" s="225">
        <f t="shared" si="74"/>
        <v>0.15883446214479011</v>
      </c>
      <c r="T138" s="225">
        <f t="shared" si="74"/>
        <v>0.1925876781715869</v>
      </c>
      <c r="U138" s="225">
        <f t="shared" si="74"/>
        <v>0.22224341337450748</v>
      </c>
      <c r="V138" s="225">
        <f t="shared" si="74"/>
        <v>0.25110311045225925</v>
      </c>
      <c r="W138" s="225">
        <f t="shared" si="74"/>
        <v>0.28094725595851672</v>
      </c>
      <c r="X138" s="225">
        <f t="shared" si="74"/>
        <v>0.31236213437301247</v>
      </c>
      <c r="Y138" s="225">
        <f t="shared" si="74"/>
        <v>0.34626011399466639</v>
      </c>
    </row>
    <row r="139" spans="1:25" hidden="1">
      <c r="A139" s="238"/>
      <c r="B139" s="238"/>
      <c r="C139" s="218">
        <f t="shared" si="66"/>
        <v>0.14999999999999997</v>
      </c>
      <c r="D139" s="225">
        <f t="shared" ref="D139:N139" si="75">(D83+D$133)/-D$133/(D$132-1)</f>
        <v>0.10795583745924076</v>
      </c>
      <c r="E139" s="225">
        <f t="shared" si="75"/>
        <v>0.13462670947903296</v>
      </c>
      <c r="F139" s="225">
        <f t="shared" si="75"/>
        <v>0.13022734468938427</v>
      </c>
      <c r="G139" s="225">
        <f t="shared" si="75"/>
        <v>0.15249897658898104</v>
      </c>
      <c r="H139" s="225">
        <f t="shared" si="75"/>
        <v>0.17115117276328293</v>
      </c>
      <c r="I139" s="225">
        <f t="shared" si="75"/>
        <v>0.18898101112987464</v>
      </c>
      <c r="J139" s="225">
        <f t="shared" si="75"/>
        <v>0.20716808955965377</v>
      </c>
      <c r="K139" s="225">
        <f t="shared" si="75"/>
        <v>0.22595581388906494</v>
      </c>
      <c r="L139" s="225">
        <f t="shared" si="68"/>
        <v>0.20084961234583551</v>
      </c>
      <c r="M139" s="225">
        <f t="shared" si="68"/>
        <v>0.18076465111125195</v>
      </c>
      <c r="N139" s="225">
        <f t="shared" si="75"/>
        <v>0.24652558967461979</v>
      </c>
      <c r="P139" s="218">
        <f t="shared" si="69"/>
        <v>0.14999999999999997</v>
      </c>
      <c r="Q139" s="225">
        <f t="shared" ref="Q139:Y139" si="76">(Q83+Q$133)/-Q$133/(Q$132-1)</f>
        <v>0.15496489464276067</v>
      </c>
      <c r="R139" s="225">
        <f t="shared" si="76"/>
        <v>0.18459573298170026</v>
      </c>
      <c r="S139" s="225">
        <f t="shared" si="76"/>
        <v>0.15407729281928631</v>
      </c>
      <c r="T139" s="225">
        <f t="shared" si="76"/>
        <v>0.18389356050208222</v>
      </c>
      <c r="U139" s="225">
        <f t="shared" si="76"/>
        <v>0.20998296224315519</v>
      </c>
      <c r="V139" s="225">
        <f t="shared" si="76"/>
        <v>0.23523522144114764</v>
      </c>
      <c r="W139" s="225">
        <f t="shared" si="76"/>
        <v>0.26119322124324457</v>
      </c>
      <c r="X139" s="225">
        <f t="shared" si="76"/>
        <v>0.28832676134417218</v>
      </c>
      <c r="Y139" s="225">
        <f t="shared" si="76"/>
        <v>0.317399867913505</v>
      </c>
    </row>
    <row r="140" spans="1:25" hidden="1">
      <c r="C140" s="218">
        <f t="shared" si="66"/>
        <v>0.13999999999999996</v>
      </c>
      <c r="D140" s="225">
        <f t="shared" ref="D140:N140" si="77">(D84+D$133)/-D$133/(D$132-1)</f>
        <v>9.5747018765571942E-2</v>
      </c>
      <c r="E140" s="225">
        <f t="shared" si="77"/>
        <v>0.12076107980964068</v>
      </c>
      <c r="F140" s="225">
        <f t="shared" si="77"/>
        <v>0.12572551108973723</v>
      </c>
      <c r="G140" s="225">
        <f t="shared" si="77"/>
        <v>0.14427349731253084</v>
      </c>
      <c r="H140" s="225">
        <f t="shared" si="77"/>
        <v>0.15970927638578902</v>
      </c>
      <c r="I140" s="225">
        <f t="shared" si="77"/>
        <v>0.17441789987128423</v>
      </c>
      <c r="J140" s="225">
        <f t="shared" si="77"/>
        <v>0.18935943509799213</v>
      </c>
      <c r="K140" s="225">
        <f t="shared" si="77"/>
        <v>0.20467673382361329</v>
      </c>
      <c r="L140" s="225">
        <f t="shared" si="68"/>
        <v>0.18193487450987847</v>
      </c>
      <c r="M140" s="225">
        <f t="shared" si="68"/>
        <v>0.16374138705889063</v>
      </c>
      <c r="N140" s="225">
        <f t="shared" si="77"/>
        <v>0.22144484810764464</v>
      </c>
      <c r="P140" s="218">
        <f t="shared" si="69"/>
        <v>0.13999999999999996</v>
      </c>
      <c r="Q140" s="225">
        <f t="shared" ref="Q140:Y140" si="78">(Q84+Q$133)/-Q$133/(Q$132-1)</f>
        <v>0.14254646381976049</v>
      </c>
      <c r="R140" s="225">
        <f t="shared" si="78"/>
        <v>0.17037667461265657</v>
      </c>
      <c r="S140" s="225">
        <f t="shared" si="78"/>
        <v>0.1494023842399492</v>
      </c>
      <c r="T140" s="225">
        <f t="shared" si="78"/>
        <v>0.1753405559984183</v>
      </c>
      <c r="U140" s="225">
        <f t="shared" si="78"/>
        <v>0.19799140987412223</v>
      </c>
      <c r="V140" s="225">
        <f t="shared" si="78"/>
        <v>0.21982612563787207</v>
      </c>
      <c r="W140" s="225">
        <f t="shared" si="78"/>
        <v>0.24215963989736805</v>
      </c>
      <c r="X140" s="225">
        <f t="shared" si="78"/>
        <v>0.26535549968629857</v>
      </c>
      <c r="Y140" s="225">
        <f t="shared" si="78"/>
        <v>0.2900501262605592</v>
      </c>
    </row>
    <row r="141" spans="1:25" hidden="1">
      <c r="C141" s="218">
        <f t="shared" si="66"/>
        <v>0.12999999999999995</v>
      </c>
      <c r="D141" s="225">
        <f t="shared" ref="D141:N141" si="79">(D85+D$133)/-D$133/(D$132-1)</f>
        <v>8.3536229263868209E-2</v>
      </c>
      <c r="E141" s="225">
        <f t="shared" si="79"/>
        <v>0.10701853095204975</v>
      </c>
      <c r="F141" s="225">
        <f t="shared" si="79"/>
        <v>0.12130335901885024</v>
      </c>
      <c r="G141" s="225">
        <f t="shared" si="79"/>
        <v>0.136182777646118</v>
      </c>
      <c r="H141" s="225">
        <f t="shared" si="79"/>
        <v>0.14852062579678552</v>
      </c>
      <c r="I141" s="225">
        <f t="shared" si="79"/>
        <v>0.16028437883404428</v>
      </c>
      <c r="J141" s="225">
        <f t="shared" si="79"/>
        <v>0.17221610597626377</v>
      </c>
      <c r="K141" s="225">
        <f t="shared" si="79"/>
        <v>0.18437076056596063</v>
      </c>
      <c r="L141" s="225">
        <f t="shared" si="68"/>
        <v>0.16388512050307613</v>
      </c>
      <c r="M141" s="225">
        <f t="shared" si="68"/>
        <v>0.14749660845276852</v>
      </c>
      <c r="N141" s="225">
        <f t="shared" si="79"/>
        <v>0.19771664147410342</v>
      </c>
      <c r="P141" s="218">
        <f t="shared" si="69"/>
        <v>0.12999999999999995</v>
      </c>
      <c r="Q141" s="225">
        <f t="shared" ref="Q141:Y141" si="80">(Q85+Q$133)/-Q$133/(Q$132-1)</f>
        <v>0.13012756821295282</v>
      </c>
      <c r="R141" s="225">
        <f t="shared" si="80"/>
        <v>0.15628118474040012</v>
      </c>
      <c r="S141" s="225">
        <f t="shared" si="80"/>
        <v>0.14480908239815996</v>
      </c>
      <c r="T141" s="225">
        <f t="shared" si="80"/>
        <v>0.16692696498608203</v>
      </c>
      <c r="U141" s="225">
        <f t="shared" si="80"/>
        <v>0.18626317670763512</v>
      </c>
      <c r="V141" s="225">
        <f t="shared" si="80"/>
        <v>0.20486563032433566</v>
      </c>
      <c r="W141" s="225">
        <f t="shared" si="80"/>
        <v>0.22382441837915565</v>
      </c>
      <c r="X141" s="225">
        <f t="shared" si="80"/>
        <v>0.24340837333029303</v>
      </c>
      <c r="Y141" s="225">
        <f t="shared" si="80"/>
        <v>0.26413565932873484</v>
      </c>
    </row>
    <row r="142" spans="1:25" hidden="1">
      <c r="C142" s="218">
        <f t="shared" si="66"/>
        <v>0.11999999999999995</v>
      </c>
      <c r="D142" s="225">
        <f t="shared" ref="D142:N142" si="81">(D86+D$133)/-D$133/(D$132-1)</f>
        <v>7.1327114432820068E-2</v>
      </c>
      <c r="E142" s="239">
        <f t="shared" si="81"/>
        <v>9.3396920964105484E-2</v>
      </c>
      <c r="F142" s="225">
        <f t="shared" si="81"/>
        <v>0.11695996149264087</v>
      </c>
      <c r="G142" s="225">
        <f t="shared" si="81"/>
        <v>0.12822407906864158</v>
      </c>
      <c r="H142" s="225">
        <f t="shared" si="81"/>
        <v>0.13758049536669723</v>
      </c>
      <c r="I142" s="225">
        <f t="shared" si="81"/>
        <v>0.14656815793278238</v>
      </c>
      <c r="J142" s="225">
        <f t="shared" si="81"/>
        <v>0.15571845088503597</v>
      </c>
      <c r="K142" s="225">
        <f t="shared" si="81"/>
        <v>0.16499568690351218</v>
      </c>
      <c r="L142" s="225">
        <f t="shared" si="68"/>
        <v>0.14666283280312195</v>
      </c>
      <c r="M142" s="225">
        <f t="shared" si="68"/>
        <v>0.13199654952280976</v>
      </c>
      <c r="N142" s="225">
        <f t="shared" si="81"/>
        <v>0.1752776367012944</v>
      </c>
      <c r="P142" s="218">
        <f t="shared" si="69"/>
        <v>0.11999999999999995</v>
      </c>
      <c r="Q142" s="225">
        <f t="shared" ref="Q142:Y142" si="82">(Q86+Q$133)/-Q$133/(Q$132-1)</f>
        <v>0.11770867433104895</v>
      </c>
      <c r="R142" s="225">
        <f t="shared" si="82"/>
        <v>0.14231013583128549</v>
      </c>
      <c r="S142" s="225">
        <f t="shared" si="82"/>
        <v>0.14029612595510807</v>
      </c>
      <c r="T142" s="225">
        <f t="shared" si="82"/>
        <v>0.15865018753000756</v>
      </c>
      <c r="U142" s="225">
        <f t="shared" si="82"/>
        <v>0.17479122392359309</v>
      </c>
      <c r="V142" s="225">
        <f t="shared" si="82"/>
        <v>0.19033990479529039</v>
      </c>
      <c r="W142" s="225">
        <f t="shared" si="82"/>
        <v>0.20616615697829052</v>
      </c>
      <c r="X142" s="225">
        <f t="shared" si="82"/>
        <v>0.22244208950467034</v>
      </c>
      <c r="Y142" s="225">
        <f t="shared" si="82"/>
        <v>0.23958902902202928</v>
      </c>
    </row>
    <row r="143" spans="1:25" hidden="1">
      <c r="C143" s="218">
        <f t="shared" si="66"/>
        <v>0.10999999999999996</v>
      </c>
      <c r="D143" s="225">
        <f t="shared" ref="D143:N143" si="83">(D87+D$133)/-D$133/(D$132-1)</f>
        <v>5.9117541222754429E-2</v>
      </c>
      <c r="E143" s="225">
        <f t="shared" si="83"/>
        <v>7.9897528631257625E-2</v>
      </c>
      <c r="F143" s="225">
        <f t="shared" si="83"/>
        <v>0.112694474979387</v>
      </c>
      <c r="G143" s="225">
        <f t="shared" si="83"/>
        <v>0.1203964765878881</v>
      </c>
      <c r="H143" s="225">
        <f t="shared" si="83"/>
        <v>0.1268842038774213</v>
      </c>
      <c r="I143" s="225">
        <f t="shared" si="83"/>
        <v>0.13326074679464117</v>
      </c>
      <c r="J143" s="225">
        <f t="shared" si="83"/>
        <v>0.13984502579470545</v>
      </c>
      <c r="K143" s="225">
        <f t="shared" si="83"/>
        <v>0.14651497921187559</v>
      </c>
      <c r="L143" s="225">
        <f t="shared" si="68"/>
        <v>0.13023553707722274</v>
      </c>
      <c r="M143" s="225">
        <f t="shared" si="68"/>
        <v>0.11721198336950048</v>
      </c>
      <c r="N143" s="225">
        <f t="shared" si="83"/>
        <v>0.15406503208232442</v>
      </c>
      <c r="P143" s="218">
        <f t="shared" si="69"/>
        <v>0.10999999999999996</v>
      </c>
      <c r="Q143" s="225">
        <f t="shared" ref="Q143:Y143" si="84">(Q87+Q$133)/-Q$133/(Q$132-1)</f>
        <v>0.10528989473864495</v>
      </c>
      <c r="R143" s="225">
        <f t="shared" si="84"/>
        <v>0.12846305297033897</v>
      </c>
      <c r="S143" s="225">
        <f t="shared" si="84"/>
        <v>0.13586320941793886</v>
      </c>
      <c r="T143" s="225">
        <f t="shared" si="84"/>
        <v>0.15050759597545249</v>
      </c>
      <c r="U143" s="225">
        <f t="shared" si="84"/>
        <v>0.16357116345745623</v>
      </c>
      <c r="V143" s="225">
        <f t="shared" si="84"/>
        <v>0.17623829473420249</v>
      </c>
      <c r="W143" s="225">
        <f t="shared" si="84"/>
        <v>0.18915877858666827</v>
      </c>
      <c r="X143" s="225">
        <f t="shared" si="84"/>
        <v>0.20242266858411806</v>
      </c>
      <c r="Y143" s="225">
        <f t="shared" si="84"/>
        <v>0.21634464589295704</v>
      </c>
    </row>
    <row r="144" spans="1:25" hidden="1">
      <c r="C144" s="218">
        <f t="shared" si="66"/>
        <v>9.9999999999999964E-2</v>
      </c>
      <c r="D144" s="225">
        <f t="shared" ref="D144:N144" si="85">(D88+D$133)/-D$133/(D$132-1)</f>
        <v>4.6907839343122308E-2</v>
      </c>
      <c r="E144" s="225">
        <f t="shared" si="85"/>
        <v>6.6520403092708721E-2</v>
      </c>
      <c r="F144" s="225">
        <f t="shared" si="85"/>
        <v>0.10850688034846473</v>
      </c>
      <c r="G144" s="225">
        <f t="shared" si="85"/>
        <v>0.11269600907109387</v>
      </c>
      <c r="H144" s="225">
        <f t="shared" si="85"/>
        <v>0.11642479948343287</v>
      </c>
      <c r="I144" s="225">
        <f t="shared" si="85"/>
        <v>0.12034898572189233</v>
      </c>
      <c r="J144" s="225">
        <f t="shared" si="85"/>
        <v>0.12457374143755209</v>
      </c>
      <c r="K144" s="225">
        <f t="shared" si="85"/>
        <v>0.12889241613220881</v>
      </c>
      <c r="L144" s="225">
        <f t="shared" si="68"/>
        <v>0.11457103656196338</v>
      </c>
      <c r="M144" s="225">
        <f t="shared" si="68"/>
        <v>0.10311393290576705</v>
      </c>
      <c r="N144" s="225">
        <f t="shared" si="85"/>
        <v>0.13402047023437447</v>
      </c>
      <c r="P144" s="218">
        <f t="shared" si="69"/>
        <v>9.9999999999999964E-2</v>
      </c>
      <c r="Q144" s="225">
        <f t="shared" ref="Q144:Y144" si="86">(Q88+Q$133)/-Q$133/(Q$132-1)</f>
        <v>9.2870437129615444E-2</v>
      </c>
      <c r="R144" s="225">
        <f t="shared" si="86"/>
        <v>0.1147391232663111</v>
      </c>
      <c r="S144" s="225">
        <f t="shared" si="86"/>
        <v>0.13150951028885513</v>
      </c>
      <c r="T144" s="225">
        <f t="shared" si="86"/>
        <v>0.14249656258362814</v>
      </c>
      <c r="U144" s="225">
        <f t="shared" si="86"/>
        <v>0.15259776158562166</v>
      </c>
      <c r="V144" s="225">
        <f t="shared" si="86"/>
        <v>0.16254930907688761</v>
      </c>
      <c r="W144" s="225">
        <f t="shared" si="86"/>
        <v>0.17278618238726901</v>
      </c>
      <c r="X144" s="225">
        <f t="shared" si="86"/>
        <v>0.18330580746747185</v>
      </c>
      <c r="Y144" s="225">
        <f t="shared" si="86"/>
        <v>0.19434409541710351</v>
      </c>
    </row>
    <row r="145" spans="2:27" hidden="1">
      <c r="C145" s="218">
        <f t="shared" si="66"/>
        <v>8.9999999999999969E-2</v>
      </c>
      <c r="D145" s="225">
        <f t="shared" ref="D145:N145" si="87">(D89+D$133)/-D$133/(D$132-1)</f>
        <v>3.469759711051458E-2</v>
      </c>
      <c r="E145" s="225">
        <f t="shared" si="87"/>
        <v>5.3265834306039622E-2</v>
      </c>
      <c r="F145" s="225">
        <f t="shared" si="87"/>
        <v>0.10439610110797398</v>
      </c>
      <c r="G145" s="225">
        <f t="shared" si="87"/>
        <v>0.10512131898542339</v>
      </c>
      <c r="H145" s="225">
        <f t="shared" si="87"/>
        <v>0.10619715374396037</v>
      </c>
      <c r="I145" s="225">
        <f t="shared" si="87"/>
        <v>0.1078221797035091</v>
      </c>
      <c r="J145" s="225">
        <f t="shared" si="87"/>
        <v>0.10988416113529713</v>
      </c>
      <c r="K145" s="225">
        <f t="shared" si="87"/>
        <v>0.11209317969191912</v>
      </c>
      <c r="L145" s="225">
        <f t="shared" si="68"/>
        <v>9.9638381948372545E-2</v>
      </c>
      <c r="M145" s="225">
        <f t="shared" si="68"/>
        <v>8.9674543753535299E-2</v>
      </c>
      <c r="N145" s="239">
        <f t="shared" si="87"/>
        <v>0.11508759591371621</v>
      </c>
      <c r="P145" s="218">
        <f t="shared" si="69"/>
        <v>8.9999999999999969E-2</v>
      </c>
      <c r="Q145" s="225">
        <f t="shared" ref="Q145:Y145" si="88">(Q89+Q$133)/-Q$133/(Q$132-1)</f>
        <v>8.0451743224320749E-2</v>
      </c>
      <c r="R145" s="225">
        <f t="shared" si="88"/>
        <v>0.10114016484931075</v>
      </c>
      <c r="S145" s="225">
        <f t="shared" si="88"/>
        <v>0.12723464434627904</v>
      </c>
      <c r="T145" s="225">
        <f t="shared" si="88"/>
        <v>0.13461501213080299</v>
      </c>
      <c r="U145" s="225">
        <f t="shared" si="88"/>
        <v>0.14186563592357446</v>
      </c>
      <c r="V145" s="225">
        <f t="shared" si="88"/>
        <v>0.14926221848592822</v>
      </c>
      <c r="W145" s="225">
        <f t="shared" si="88"/>
        <v>0.15702166312346963</v>
      </c>
      <c r="X145" s="225">
        <f t="shared" si="88"/>
        <v>0.16506144224160349</v>
      </c>
      <c r="Y145" s="225">
        <f t="shared" si="88"/>
        <v>0.17352500668695195</v>
      </c>
    </row>
    <row r="146" spans="2:27" hidden="1">
      <c r="C146" s="218">
        <f t="shared" si="66"/>
        <v>7.9999999999999974E-2</v>
      </c>
      <c r="D146" s="225">
        <f t="shared" ref="D146:N146" si="89">(D90+D$133)/-D$133/(D$132-1)</f>
        <v>2.2488081862019765E-2</v>
      </c>
      <c r="E146" s="225">
        <f t="shared" si="89"/>
        <v>4.0133264315298088E-2</v>
      </c>
      <c r="F146" s="225">
        <f t="shared" si="89"/>
        <v>0.10036114231175618</v>
      </c>
      <c r="G146" s="225">
        <f t="shared" si="89"/>
        <v>9.7670096973805437E-2</v>
      </c>
      <c r="H146" s="225">
        <f t="shared" si="89"/>
        <v>9.6198643273095991E-2</v>
      </c>
      <c r="I146" s="225">
        <f t="shared" si="89"/>
        <v>9.5671301455547655E-2</v>
      </c>
      <c r="J146" s="225">
        <f t="shared" si="89"/>
        <v>9.5757894551360953E-2</v>
      </c>
      <c r="K146" s="225">
        <f t="shared" si="89"/>
        <v>9.608226869817342E-2</v>
      </c>
      <c r="L146" s="225">
        <f t="shared" si="68"/>
        <v>8.5406461065043043E-2</v>
      </c>
      <c r="M146" s="225">
        <f t="shared" si="68"/>
        <v>7.6865814958538739E-2</v>
      </c>
      <c r="N146" s="225">
        <f t="shared" si="89"/>
        <v>9.7209867277624359E-2</v>
      </c>
      <c r="P146" s="218">
        <f t="shared" si="69"/>
        <v>7.9999999999999974E-2</v>
      </c>
      <c r="Q146" s="225">
        <f t="shared" ref="Q146:Y146" si="90">(Q90+Q$133)/-Q$133/(Q$132-1)</f>
        <v>6.8032556932186669E-2</v>
      </c>
      <c r="R146" s="225">
        <f t="shared" si="90"/>
        <v>8.7665655013201615E-2</v>
      </c>
      <c r="S146" s="225">
        <f t="shared" si="90"/>
        <v>0.12303756839141371</v>
      </c>
      <c r="T146" s="225">
        <f t="shared" si="90"/>
        <v>0.12686127034154218</v>
      </c>
      <c r="U146" s="225">
        <f t="shared" si="90"/>
        <v>0.13136847396396195</v>
      </c>
      <c r="V146" s="225">
        <f t="shared" si="90"/>
        <v>0.1363655004283687</v>
      </c>
      <c r="W146" s="225">
        <f t="shared" si="90"/>
        <v>0.14185066779803032</v>
      </c>
      <c r="X146" s="225">
        <f t="shared" si="90"/>
        <v>0.14764815391443531</v>
      </c>
      <c r="Y146" s="225">
        <f t="shared" si="90"/>
        <v>0.15383146350526195</v>
      </c>
    </row>
    <row r="147" spans="2:27" hidden="1">
      <c r="C147" s="218">
        <f t="shared" si="66"/>
        <v>6.9999999999999979E-2</v>
      </c>
      <c r="D147" s="225">
        <f t="shared" ref="D147:N147" si="91">(D91+D$133)/-D$133/(D$132-1)</f>
        <v>1.0278985415584866E-2</v>
      </c>
      <c r="E147" s="225">
        <f t="shared" si="91"/>
        <v>2.7123161433382559E-2</v>
      </c>
      <c r="F147" s="225">
        <f t="shared" si="91"/>
        <v>9.6401749553750596E-2</v>
      </c>
      <c r="G147" s="225">
        <f t="shared" si="91"/>
        <v>9.0340062655842449E-2</v>
      </c>
      <c r="H147" s="225">
        <f t="shared" si="91"/>
        <v>8.6422433756229183E-2</v>
      </c>
      <c r="I147" s="225">
        <f t="shared" si="91"/>
        <v>8.3886495557412857E-2</v>
      </c>
      <c r="J147" s="225">
        <f t="shared" si="91"/>
        <v>8.2174977257270632E-2</v>
      </c>
      <c r="K147" s="225">
        <f t="shared" si="91"/>
        <v>8.0827574657623205E-2</v>
      </c>
      <c r="L147" s="225">
        <f t="shared" si="68"/>
        <v>7.1846733028998411E-2</v>
      </c>
      <c r="M147" s="225">
        <f t="shared" si="68"/>
        <v>6.4662059726098564E-2</v>
      </c>
      <c r="N147" s="225">
        <f t="shared" si="91"/>
        <v>8.0334899622737155E-2</v>
      </c>
      <c r="P147" s="218">
        <f t="shared" si="69"/>
        <v>6.9999999999999979E-2</v>
      </c>
      <c r="Q147" s="225">
        <f t="shared" ref="Q147:Y147" si="92">(Q91+Q$133)/-Q$133/(Q$132-1)</f>
        <v>6.8032556932186669E-2</v>
      </c>
      <c r="R147" s="225">
        <f t="shared" si="92"/>
        <v>8.7665655013201615E-2</v>
      </c>
      <c r="S147" s="225">
        <f t="shared" si="92"/>
        <v>0.12303756839141371</v>
      </c>
      <c r="T147" s="225">
        <f t="shared" si="92"/>
        <v>0.12686127034154218</v>
      </c>
      <c r="U147" s="225">
        <f t="shared" si="92"/>
        <v>0.13136847396396195</v>
      </c>
      <c r="V147" s="225">
        <f t="shared" si="92"/>
        <v>0.1363655004283687</v>
      </c>
      <c r="W147" s="225">
        <f t="shared" si="92"/>
        <v>0.14185066779803032</v>
      </c>
      <c r="X147" s="225">
        <f t="shared" si="92"/>
        <v>0.14764815391443531</v>
      </c>
      <c r="Y147" s="225">
        <f t="shared" si="92"/>
        <v>0.15383146350526195</v>
      </c>
    </row>
    <row r="148" spans="2:27" hidden="1"/>
    <row r="149" spans="2:27" ht="24" outlineLevel="1" thickBot="1">
      <c r="B149" s="237" t="s">
        <v>163</v>
      </c>
      <c r="C149" s="237"/>
      <c r="D149" s="237"/>
      <c r="E149" s="237"/>
      <c r="F149" s="237"/>
      <c r="G149" s="237"/>
      <c r="H149" s="237"/>
      <c r="I149" s="237"/>
      <c r="J149" s="237"/>
      <c r="K149" s="237"/>
      <c r="L149" s="237"/>
      <c r="M149" s="237"/>
      <c r="N149" s="237"/>
      <c r="O149" s="237"/>
      <c r="P149" s="237"/>
      <c r="Q149" s="237"/>
      <c r="R149" s="237"/>
      <c r="S149" s="237"/>
      <c r="T149" s="237"/>
      <c r="U149" s="237"/>
      <c r="V149" s="237"/>
      <c r="W149" s="237"/>
      <c r="X149" s="237"/>
      <c r="Y149" s="237"/>
      <c r="Z149" s="237"/>
      <c r="AA149" s="237"/>
    </row>
    <row r="150" spans="2:27" outlineLevel="1">
      <c r="B150" s="2"/>
    </row>
    <row r="151" spans="2:27" outlineLevel="1">
      <c r="G151" s="58">
        <v>1</v>
      </c>
      <c r="H151" s="58">
        <f>G151+1</f>
        <v>2</v>
      </c>
      <c r="I151" s="58">
        <f t="shared" ref="I151:R151" si="93">H151+1</f>
        <v>3</v>
      </c>
      <c r="J151" s="58">
        <f t="shared" si="93"/>
        <v>4</v>
      </c>
      <c r="K151" s="58">
        <f t="shared" si="93"/>
        <v>5</v>
      </c>
      <c r="L151" s="58">
        <f>K151+1</f>
        <v>6</v>
      </c>
      <c r="M151" s="58">
        <f>L151+1</f>
        <v>7</v>
      </c>
      <c r="N151" s="58">
        <f>K151+1</f>
        <v>6</v>
      </c>
      <c r="O151" s="58">
        <f>N151+1</f>
        <v>7</v>
      </c>
      <c r="P151" s="58">
        <f t="shared" si="93"/>
        <v>8</v>
      </c>
      <c r="Q151" s="58">
        <f t="shared" si="93"/>
        <v>9</v>
      </c>
      <c r="R151" s="58">
        <f t="shared" si="93"/>
        <v>10</v>
      </c>
    </row>
    <row r="152" spans="2:27" outlineLevel="1">
      <c r="B152" s="2" t="s">
        <v>164</v>
      </c>
      <c r="G152">
        <f>Calculation_FSL!K1496</f>
        <v>25</v>
      </c>
      <c r="H152">
        <f>Calculation_FSL!L1496</f>
        <v>0</v>
      </c>
      <c r="I152">
        <f>Calculation_FSL!M1496</f>
        <v>0</v>
      </c>
      <c r="J152">
        <v>85</v>
      </c>
      <c r="K152">
        <f>Calculation_FSL!O1496</f>
        <v>0</v>
      </c>
      <c r="L152">
        <f>Calculation_FSL!P1496</f>
        <v>0</v>
      </c>
      <c r="M152">
        <f>Calculation_FSL!Q1496</f>
        <v>0</v>
      </c>
      <c r="N152">
        <f>Calculation_FSL!P1496</f>
        <v>0</v>
      </c>
      <c r="O152">
        <f>Calculation_FSL!Q1496</f>
        <v>0</v>
      </c>
      <c r="P152">
        <f>Calculation_FSL!R1496</f>
        <v>0</v>
      </c>
      <c r="Q152">
        <f>Calculation_FSL!S1496</f>
        <v>0</v>
      </c>
      <c r="R152">
        <f>Calculation_FSL!T1496</f>
        <v>0</v>
      </c>
    </row>
    <row r="153" spans="2:27" outlineLevel="1"/>
    <row r="154" spans="2:27" outlineLevel="1">
      <c r="B154" s="2" t="s">
        <v>165</v>
      </c>
      <c r="G154">
        <f>G152</f>
        <v>25</v>
      </c>
    </row>
    <row r="155" spans="2:27" outlineLevel="1"/>
    <row r="156" spans="2:27" outlineLevel="1">
      <c r="B156" s="2" t="s">
        <v>166</v>
      </c>
      <c r="G156">
        <f>G154</f>
        <v>25</v>
      </c>
    </row>
    <row r="159" spans="2:27" ht="24" thickBot="1">
      <c r="B159" s="237" t="s">
        <v>167</v>
      </c>
      <c r="C159" s="237"/>
      <c r="D159" s="237"/>
      <c r="E159" s="237"/>
      <c r="F159" s="237"/>
      <c r="G159" s="237"/>
      <c r="H159" s="237"/>
      <c r="I159" s="237"/>
      <c r="J159" s="237"/>
      <c r="K159" s="237"/>
      <c r="L159" s="237"/>
      <c r="M159" s="237"/>
      <c r="N159" s="237"/>
      <c r="O159" s="237"/>
      <c r="P159" s="237"/>
      <c r="Q159" s="237"/>
      <c r="R159" s="237"/>
      <c r="S159" s="237"/>
      <c r="T159" s="237"/>
      <c r="U159" s="237"/>
      <c r="V159" s="237"/>
      <c r="W159" s="237"/>
      <c r="X159" s="237"/>
      <c r="Y159" s="237"/>
      <c r="Z159" s="237"/>
      <c r="AA159" s="237"/>
    </row>
    <row r="161" spans="1:37" ht="20.25" thickBot="1">
      <c r="C161" s="66" t="s">
        <v>1100</v>
      </c>
      <c r="P161" s="66" t="s">
        <v>158</v>
      </c>
      <c r="Z161" s="66" t="s">
        <v>1100</v>
      </c>
    </row>
    <row r="162" spans="1:37" ht="15.75" thickTop="1"/>
    <row r="163" spans="1:37">
      <c r="D163" s="214">
        <v>1</v>
      </c>
      <c r="E163" s="214">
        <f t="shared" ref="E163:K163" si="94">D163+1</f>
        <v>2</v>
      </c>
      <c r="F163" s="214">
        <f t="shared" si="94"/>
        <v>3</v>
      </c>
      <c r="G163" s="214">
        <f t="shared" si="94"/>
        <v>4</v>
      </c>
      <c r="H163" s="214">
        <f t="shared" si="94"/>
        <v>5</v>
      </c>
      <c r="I163" s="214">
        <f t="shared" si="94"/>
        <v>6</v>
      </c>
      <c r="J163" s="214">
        <f t="shared" si="94"/>
        <v>7</v>
      </c>
      <c r="K163" s="214">
        <f t="shared" si="94"/>
        <v>8</v>
      </c>
      <c r="L163" s="214">
        <f>K163+1</f>
        <v>9</v>
      </c>
      <c r="M163" s="214">
        <f>L163+1</f>
        <v>10</v>
      </c>
      <c r="N163" s="214">
        <f>M163+1</f>
        <v>11</v>
      </c>
      <c r="Q163" s="214">
        <v>2</v>
      </c>
      <c r="R163" s="214">
        <f t="shared" ref="R163:X163" si="95">Q163+1</f>
        <v>3</v>
      </c>
      <c r="S163" s="214">
        <f t="shared" si="95"/>
        <v>4</v>
      </c>
      <c r="T163" s="214">
        <f t="shared" si="95"/>
        <v>5</v>
      </c>
      <c r="U163" s="214">
        <f t="shared" si="95"/>
        <v>6</v>
      </c>
      <c r="V163" s="214">
        <f t="shared" si="95"/>
        <v>7</v>
      </c>
      <c r="W163" s="214">
        <f t="shared" si="95"/>
        <v>8</v>
      </c>
      <c r="X163" s="214">
        <f t="shared" si="95"/>
        <v>9</v>
      </c>
      <c r="AA163" s="214">
        <v>1</v>
      </c>
      <c r="AB163" s="214">
        <f t="shared" ref="AB163:AK163" si="96">AA163+1</f>
        <v>2</v>
      </c>
      <c r="AC163" s="214">
        <f t="shared" si="96"/>
        <v>3</v>
      </c>
      <c r="AD163" s="214">
        <f t="shared" si="96"/>
        <v>4</v>
      </c>
      <c r="AE163" s="214">
        <f t="shared" si="96"/>
        <v>5</v>
      </c>
      <c r="AF163" s="214">
        <f t="shared" si="96"/>
        <v>6</v>
      </c>
      <c r="AG163" s="214">
        <f t="shared" si="96"/>
        <v>7</v>
      </c>
      <c r="AH163" s="214">
        <f t="shared" si="96"/>
        <v>8</v>
      </c>
      <c r="AI163" s="214">
        <f t="shared" si="96"/>
        <v>9</v>
      </c>
      <c r="AJ163" s="214">
        <f t="shared" si="96"/>
        <v>10</v>
      </c>
      <c r="AK163" s="214">
        <f t="shared" si="96"/>
        <v>11</v>
      </c>
    </row>
    <row r="164" spans="1:37" hidden="1">
      <c r="C164" s="215">
        <v>0.2</v>
      </c>
      <c r="D164" s="212"/>
      <c r="E164" s="213"/>
      <c r="F164" s="213"/>
      <c r="G164" s="213"/>
      <c r="H164" s="213"/>
      <c r="I164" s="213"/>
      <c r="J164" s="213"/>
      <c r="K164" s="213"/>
      <c r="L164" s="213"/>
      <c r="M164" s="213"/>
      <c r="N164" s="213"/>
      <c r="P164" s="215">
        <v>0.2</v>
      </c>
      <c r="Q164" s="212">
        <v>28.861903109895568</v>
      </c>
      <c r="R164" s="213">
        <v>33.547787640075825</v>
      </c>
      <c r="S164" s="213">
        <v>38.976902152318125</v>
      </c>
      <c r="T164" s="213">
        <v>45.312818795363278</v>
      </c>
      <c r="U164" s="213">
        <v>52.698438109420046</v>
      </c>
      <c r="V164" s="213">
        <v>61.409811645609864</v>
      </c>
      <c r="W164" s="213">
        <v>71.743163106378219</v>
      </c>
      <c r="X164" s="213">
        <v>83.931960481167522</v>
      </c>
      <c r="Z164" s="215">
        <v>0.2</v>
      </c>
      <c r="AA164" s="212"/>
      <c r="AB164" s="213"/>
      <c r="AC164" s="213"/>
      <c r="AD164" s="213"/>
      <c r="AE164" s="213"/>
      <c r="AF164" s="213"/>
      <c r="AG164" s="213"/>
      <c r="AH164" s="213"/>
      <c r="AI164" s="213"/>
      <c r="AJ164" s="213"/>
      <c r="AK164" s="213"/>
    </row>
    <row r="165" spans="1:37" hidden="1">
      <c r="C165" s="215">
        <f>C164-1%</f>
        <v>0.19</v>
      </c>
      <c r="D165" s="211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P165" s="215">
        <f>P164-1%</f>
        <v>0.19</v>
      </c>
      <c r="Q165" s="211">
        <v>28.616853569537309</v>
      </c>
      <c r="R165" s="54">
        <v>32.967526380214629</v>
      </c>
      <c r="S165" s="54">
        <v>37.949562868261495</v>
      </c>
      <c r="T165" s="54">
        <v>43.700601549840634</v>
      </c>
      <c r="U165" s="54">
        <v>50.326735092830134</v>
      </c>
      <c r="V165" s="54">
        <v>58.060246772091666</v>
      </c>
      <c r="W165" s="54">
        <v>67.139261241008995</v>
      </c>
      <c r="X165" s="54">
        <v>77.735775896172129</v>
      </c>
      <c r="Z165" s="215">
        <f>Z164-1%</f>
        <v>0.19</v>
      </c>
      <c r="AA165" s="211"/>
      <c r="AB165" s="54"/>
      <c r="AC165" s="54"/>
      <c r="AD165" s="54"/>
      <c r="AE165" s="54"/>
      <c r="AF165" s="54"/>
      <c r="AG165" s="54"/>
      <c r="AH165" s="54"/>
      <c r="AI165" s="54"/>
      <c r="AJ165" s="54"/>
      <c r="AK165" s="54"/>
    </row>
    <row r="166" spans="1:37">
      <c r="B166" s="407"/>
      <c r="C166" s="215">
        <f t="shared" ref="C166:C177" si="97">C165-1%</f>
        <v>0.18</v>
      </c>
      <c r="D166" s="211"/>
      <c r="E166" s="54"/>
      <c r="F166" s="408">
        <v>47.732176189535451</v>
      </c>
      <c r="G166" s="408">
        <v>56.747903313970113</v>
      </c>
      <c r="H166" s="408">
        <v>67.310514516463783</v>
      </c>
      <c r="I166" s="408">
        <v>79.617524763615052</v>
      </c>
      <c r="J166" s="408">
        <v>94.100563974708251</v>
      </c>
      <c r="K166" s="408">
        <v>110.9706026672922</v>
      </c>
      <c r="L166" s="408">
        <v>130.78140826506774</v>
      </c>
      <c r="M166" s="408">
        <v>154.18014605300147</v>
      </c>
      <c r="N166" s="408">
        <v>181.80043091176583</v>
      </c>
      <c r="O166" s="407"/>
      <c r="P166" s="215">
        <f t="shared" ref="P166:P177" si="98">P165-1%</f>
        <v>0.18</v>
      </c>
      <c r="Q166" s="211">
        <v>30.769230769230766</v>
      </c>
      <c r="R166" s="54">
        <v>37.576916338501228</v>
      </c>
      <c r="S166" s="54">
        <v>135.52136459035427</v>
      </c>
      <c r="T166" s="54">
        <v>165.74805850462349</v>
      </c>
      <c r="U166" s="54">
        <v>201.41512327620876</v>
      </c>
      <c r="V166" s="54">
        <v>243.50295357214526</v>
      </c>
      <c r="W166" s="54">
        <v>293.31443178928714</v>
      </c>
      <c r="X166" s="54">
        <v>351.94291782742039</v>
      </c>
      <c r="Z166" s="215">
        <f t="shared" ref="Z166:Z177" si="99">Z165-1%</f>
        <v>0.18</v>
      </c>
      <c r="AA166" s="211"/>
      <c r="AB166" s="54"/>
      <c r="AC166" s="54"/>
      <c r="AD166" s="54"/>
      <c r="AE166" s="54"/>
      <c r="AF166" s="54"/>
      <c r="AG166" s="54">
        <v>272.60131030538599</v>
      </c>
      <c r="AH166" s="54">
        <v>319.26938525185136</v>
      </c>
      <c r="AI166" s="54">
        <v>373.93458414930171</v>
      </c>
      <c r="AJ166" s="54">
        <v>438.26800490528353</v>
      </c>
      <c r="AK166" s="54">
        <v>514.06546306324594</v>
      </c>
    </row>
    <row r="167" spans="1:37">
      <c r="A167" s="1"/>
      <c r="B167" s="407"/>
      <c r="C167" s="215">
        <f t="shared" si="97"/>
        <v>0.16999999999999998</v>
      </c>
      <c r="D167" s="211"/>
      <c r="E167" s="54"/>
      <c r="F167" s="408">
        <v>46.850172383923777</v>
      </c>
      <c r="G167" s="408">
        <v>55.138280765143115</v>
      </c>
      <c r="H167" s="408">
        <v>64.758961208811257</v>
      </c>
      <c r="I167" s="408">
        <v>75.858793160116434</v>
      </c>
      <c r="J167" s="408">
        <v>88.801370476527964</v>
      </c>
      <c r="K167" s="408">
        <v>103.72873447830337</v>
      </c>
      <c r="L167" s="408">
        <v>121.09830679597802</v>
      </c>
      <c r="M167" s="408">
        <v>141.44362981827703</v>
      </c>
      <c r="N167" s="408">
        <v>165.24234924176946</v>
      </c>
      <c r="O167" s="407"/>
      <c r="P167" s="215">
        <f t="shared" si="98"/>
        <v>0.16999999999999998</v>
      </c>
      <c r="Q167" s="211">
        <v>30.448717948717949</v>
      </c>
      <c r="R167" s="54">
        <v>36.823738887361856</v>
      </c>
      <c r="S167" s="54">
        <v>134.19208742076876</v>
      </c>
      <c r="T167" s="54">
        <v>162.51333705369257</v>
      </c>
      <c r="U167" s="54">
        <v>195.64931785564573</v>
      </c>
      <c r="V167" s="54">
        <v>234.4181548186026</v>
      </c>
      <c r="W167" s="54">
        <v>279.91304465601871</v>
      </c>
      <c r="X167" s="54">
        <v>333.00650198551443</v>
      </c>
      <c r="Z167" s="215">
        <f t="shared" si="99"/>
        <v>0.16999999999999998</v>
      </c>
      <c r="AA167" s="211"/>
      <c r="AB167" s="54"/>
      <c r="AC167" s="54"/>
      <c r="AD167" s="54"/>
      <c r="AE167" s="54"/>
      <c r="AF167" s="54"/>
      <c r="AG167" s="54">
        <v>257.45041973589161</v>
      </c>
      <c r="AH167" s="54">
        <v>298.50947141228062</v>
      </c>
      <c r="AI167" s="54">
        <v>346.14029463025213</v>
      </c>
      <c r="AJ167" s="54">
        <v>401.69978407546591</v>
      </c>
      <c r="AK167" s="54">
        <v>466.55154710235223</v>
      </c>
    </row>
    <row r="168" spans="1:37">
      <c r="B168" s="407"/>
      <c r="C168" s="215">
        <f t="shared" si="97"/>
        <v>0.15999999999999998</v>
      </c>
      <c r="D168" s="211"/>
      <c r="E168" s="54"/>
      <c r="F168" s="408">
        <v>45.974757798338409</v>
      </c>
      <c r="G168" s="408">
        <v>53.553720185560792</v>
      </c>
      <c r="H168" s="408">
        <v>62.268955594009547</v>
      </c>
      <c r="I168" s="408">
        <v>72.222176891112142</v>
      </c>
      <c r="J168" s="408">
        <v>83.719196840219396</v>
      </c>
      <c r="K168" s="408">
        <v>96.845665031462261</v>
      </c>
      <c r="L168" s="408">
        <v>111.97487090316362</v>
      </c>
      <c r="M168" s="408">
        <v>129.54871315868576</v>
      </c>
      <c r="N168" s="408">
        <v>149.92083546242606</v>
      </c>
      <c r="O168" s="407"/>
      <c r="P168" s="215">
        <f t="shared" si="98"/>
        <v>0.15999999999999998</v>
      </c>
      <c r="Q168" s="211">
        <v>30.128194143118236</v>
      </c>
      <c r="R168" s="54">
        <v>36.076938524133205</v>
      </c>
      <c r="S168" s="54">
        <v>132.88530477909333</v>
      </c>
      <c r="T168" s="54">
        <v>159.33156414177128</v>
      </c>
      <c r="U168" s="54">
        <v>190.00953601852837</v>
      </c>
      <c r="V168" s="54">
        <v>225.59567964422001</v>
      </c>
      <c r="W168" s="54">
        <v>266.99677125386552</v>
      </c>
      <c r="X168" s="54">
        <v>314.90073674856899</v>
      </c>
      <c r="Z168" s="215">
        <f t="shared" si="99"/>
        <v>0.15999999999999998</v>
      </c>
      <c r="AA168" s="211"/>
      <c r="AB168" s="54"/>
      <c r="AC168" s="54"/>
      <c r="AD168" s="54"/>
      <c r="AE168" s="54"/>
      <c r="AF168" s="54"/>
      <c r="AG168" s="54">
        <v>242.89794324647917</v>
      </c>
      <c r="AH168" s="54">
        <v>278.74227581916341</v>
      </c>
      <c r="AI168" s="54">
        <v>319.91731271334663</v>
      </c>
      <c r="AJ168" s="54">
        <v>367.50832879905687</v>
      </c>
      <c r="AK168" s="54">
        <v>422.53277916504953</v>
      </c>
    </row>
    <row r="169" spans="1:37">
      <c r="C169" s="215">
        <f t="shared" si="97"/>
        <v>0.14999999999999997</v>
      </c>
      <c r="D169" s="211"/>
      <c r="E169" s="54"/>
      <c r="F169" s="408">
        <v>45.105918614710674</v>
      </c>
      <c r="G169" s="408">
        <v>51.994168978409903</v>
      </c>
      <c r="H169" s="408">
        <v>59.839551900000146</v>
      </c>
      <c r="I169" s="408">
        <v>68.705230807098275</v>
      </c>
      <c r="J169" s="408">
        <v>78.847580394796694</v>
      </c>
      <c r="K169" s="408">
        <v>90.305028909224703</v>
      </c>
      <c r="L169" s="408">
        <v>103.38493334000573</v>
      </c>
      <c r="M169" s="408">
        <v>118.45033010835138</v>
      </c>
      <c r="N169" s="408">
        <v>135.75201755749936</v>
      </c>
      <c r="P169" s="215">
        <f t="shared" si="98"/>
        <v>0.14999999999999997</v>
      </c>
      <c r="Q169" s="211">
        <v>29.807682639282888</v>
      </c>
      <c r="R169" s="54">
        <v>35.336506658477383</v>
      </c>
      <c r="S169" s="54">
        <v>131.60086906120731</v>
      </c>
      <c r="T169" s="54">
        <v>156.2016817807496</v>
      </c>
      <c r="U169" s="54">
        <v>184.49233300941984</v>
      </c>
      <c r="V169" s="54">
        <v>217.02701957821972</v>
      </c>
      <c r="W169" s="54">
        <v>254.55172938324407</v>
      </c>
      <c r="X169" s="54">
        <v>297.59526816780397</v>
      </c>
      <c r="Z169" s="215">
        <f t="shared" si="99"/>
        <v>0.14999999999999997</v>
      </c>
      <c r="AA169" s="211"/>
      <c r="AB169" s="54"/>
      <c r="AC169" s="54"/>
      <c r="AD169" s="54"/>
      <c r="AE169" s="54"/>
      <c r="AF169" s="54"/>
      <c r="AG169" s="54">
        <v>228.92486357287325</v>
      </c>
      <c r="AH169" s="54">
        <v>259.93416175239679</v>
      </c>
      <c r="AI169" s="54">
        <v>295.19126569031403</v>
      </c>
      <c r="AJ169" s="54">
        <v>335.56236381442631</v>
      </c>
      <c r="AK169" s="54">
        <v>381.78203308338442</v>
      </c>
    </row>
    <row r="170" spans="1:37" s="17" customFormat="1">
      <c r="A170"/>
      <c r="C170" s="215">
        <f t="shared" si="97"/>
        <v>0.13999999999999996</v>
      </c>
      <c r="D170" s="211"/>
      <c r="E170" s="54"/>
      <c r="F170" s="486">
        <v>44.243565915897911</v>
      </c>
      <c r="G170" s="408">
        <v>50.459627579561094</v>
      </c>
      <c r="H170" s="408">
        <v>57.469477209807771</v>
      </c>
      <c r="I170" s="408">
        <v>65.304220576478883</v>
      </c>
      <c r="J170" s="408">
        <v>74.179628728561141</v>
      </c>
      <c r="K170" s="408">
        <v>84.094580101627173</v>
      </c>
      <c r="L170" s="408">
        <v>95.30133790516588</v>
      </c>
      <c r="M170" s="408">
        <v>108.10008967503529</v>
      </c>
      <c r="N170" s="408">
        <v>122.65924114323097</v>
      </c>
      <c r="P170" s="215">
        <f t="shared" si="98"/>
        <v>0.13999999999999996</v>
      </c>
      <c r="Q170" s="211">
        <v>29.487184027968496</v>
      </c>
      <c r="R170" s="54">
        <v>34.602567157355161</v>
      </c>
      <c r="S170" s="54">
        <v>130.33864374478628</v>
      </c>
      <c r="T170" s="54">
        <v>153.12260015943059</v>
      </c>
      <c r="U170" s="54">
        <v>179.096134443355</v>
      </c>
      <c r="V170" s="54">
        <v>208.70610784445091</v>
      </c>
      <c r="W170" s="54">
        <v>242.56057313534188</v>
      </c>
      <c r="X170" s="54">
        <v>281.05595977413498</v>
      </c>
      <c r="Y170"/>
      <c r="Z170" s="215">
        <f t="shared" si="99"/>
        <v>0.13999999999999996</v>
      </c>
      <c r="AA170" s="211"/>
      <c r="AB170" s="54"/>
      <c r="AC170" s="54"/>
      <c r="AD170" s="54"/>
      <c r="AE170" s="54"/>
      <c r="AF170" s="54"/>
      <c r="AG170" s="54">
        <v>215.51322435182379</v>
      </c>
      <c r="AH170" s="54">
        <v>242.04499785891633</v>
      </c>
      <c r="AI170" s="54">
        <v>271.88588668230767</v>
      </c>
      <c r="AJ170" s="54">
        <v>305.73191593713364</v>
      </c>
      <c r="AK170" s="54">
        <v>344.09067475238703</v>
      </c>
    </row>
    <row r="171" spans="1:37">
      <c r="C171" s="215">
        <f t="shared" si="97"/>
        <v>0.12999999999999995</v>
      </c>
      <c r="D171" s="211"/>
      <c r="E171" s="54"/>
      <c r="F171" s="408">
        <v>43.387787084447893</v>
      </c>
      <c r="G171" s="486">
        <v>48.94960481685122</v>
      </c>
      <c r="H171" s="408">
        <v>55.158142642379573</v>
      </c>
      <c r="I171" s="408">
        <v>62.017143211901264</v>
      </c>
      <c r="J171" s="408">
        <v>69.707826545663366</v>
      </c>
      <c r="K171" s="408">
        <v>78.199187994638365</v>
      </c>
      <c r="L171" s="408">
        <v>87.698060169380184</v>
      </c>
      <c r="M171" s="408">
        <v>98.45484852665713</v>
      </c>
      <c r="N171" s="408">
        <v>110.57127903734985</v>
      </c>
      <c r="P171" s="215">
        <f t="shared" si="98"/>
        <v>0.12999999999999995</v>
      </c>
      <c r="Q171" s="211">
        <v>29.1666734213733</v>
      </c>
      <c r="R171" s="54">
        <v>33.875005842364018</v>
      </c>
      <c r="S171" s="54">
        <v>129.09845224750319</v>
      </c>
      <c r="T171" s="54">
        <v>150.09370739498954</v>
      </c>
      <c r="U171" s="54">
        <v>173.81842951843581</v>
      </c>
      <c r="V171" s="54">
        <v>200.62744037514125</v>
      </c>
      <c r="W171" s="54">
        <v>231.00938357886807</v>
      </c>
      <c r="X171" s="54">
        <v>265.25402879781097</v>
      </c>
      <c r="Z171" s="215">
        <f t="shared" si="99"/>
        <v>0.12999999999999995</v>
      </c>
      <c r="AA171" s="211"/>
      <c r="AB171" s="54"/>
      <c r="AC171" s="54"/>
      <c r="AD171" s="54"/>
      <c r="AE171" s="54"/>
      <c r="AF171" s="54"/>
      <c r="AG171" s="54">
        <v>202.64274002879142</v>
      </c>
      <c r="AH171" s="54">
        <v>225.0364904392585</v>
      </c>
      <c r="AI171" s="54">
        <v>249.93651005763434</v>
      </c>
      <c r="AJ171" s="54">
        <v>277.90015075072949</v>
      </c>
      <c r="AK171" s="54">
        <v>309.25058532321748</v>
      </c>
    </row>
    <row r="172" spans="1:37">
      <c r="C172" s="215">
        <f t="shared" si="97"/>
        <v>0.11999999999999995</v>
      </c>
      <c r="D172" s="211"/>
      <c r="E172" s="54"/>
      <c r="F172" s="408">
        <v>42.538518744161351</v>
      </c>
      <c r="G172" s="408">
        <v>47.4639450610971</v>
      </c>
      <c r="H172" s="486">
        <v>52.904249663459495</v>
      </c>
      <c r="I172" s="408">
        <v>58.840759976391979</v>
      </c>
      <c r="J172" s="408">
        <v>65.426335732973143</v>
      </c>
      <c r="K172" s="408">
        <v>72.605838892033418</v>
      </c>
      <c r="L172" s="408">
        <v>80.551546639258916</v>
      </c>
      <c r="M172" s="408">
        <v>89.473124901980597</v>
      </c>
      <c r="N172" s="408">
        <v>99.420012835048681</v>
      </c>
      <c r="P172" s="215">
        <f t="shared" si="98"/>
        <v>0.11999999999999995</v>
      </c>
      <c r="Q172" s="211">
        <v>28.846162859294942</v>
      </c>
      <c r="R172" s="54">
        <v>33.15386774725404</v>
      </c>
      <c r="S172" s="54">
        <v>127.87995400787918</v>
      </c>
      <c r="T172" s="54">
        <v>147.11406751080273</v>
      </c>
      <c r="U172" s="54">
        <v>168.6560507656169</v>
      </c>
      <c r="V172" s="54">
        <v>192.78354858945681</v>
      </c>
      <c r="W172" s="54">
        <v>219.88467889632304</v>
      </c>
      <c r="X172" s="54">
        <v>250.15830444336265</v>
      </c>
      <c r="Z172" s="215">
        <f t="shared" si="99"/>
        <v>0.11999999999999995</v>
      </c>
      <c r="AA172" s="211"/>
      <c r="AB172" s="54"/>
      <c r="AC172" s="54"/>
      <c r="AD172" s="54"/>
      <c r="AE172" s="54"/>
      <c r="AF172" s="306"/>
      <c r="AG172" s="306">
        <v>190.29959497464037</v>
      </c>
      <c r="AH172" s="54">
        <v>208.87464882135376</v>
      </c>
      <c r="AI172" s="54">
        <v>229.2754551320273</v>
      </c>
      <c r="AJ172" s="54">
        <v>251.94990495126575</v>
      </c>
      <c r="AK172" s="54">
        <v>277.07814270476939</v>
      </c>
    </row>
    <row r="173" spans="1:37">
      <c r="C173" s="215">
        <f t="shared" si="97"/>
        <v>0.10999999999999996</v>
      </c>
      <c r="D173" s="211"/>
      <c r="E173" s="54"/>
      <c r="F173" s="408">
        <v>41.695848055453048</v>
      </c>
      <c r="G173" s="408">
        <v>46.002672417501834</v>
      </c>
      <c r="H173" s="408">
        <v>50.707022115465385</v>
      </c>
      <c r="I173" s="486">
        <v>55.772100060569933</v>
      </c>
      <c r="J173" s="486">
        <v>61.328238664566328</v>
      </c>
      <c r="K173" s="486">
        <v>67.30251490287813</v>
      </c>
      <c r="L173" s="486">
        <v>73.837706201503806</v>
      </c>
      <c r="M173" s="408">
        <v>81.115016362171133</v>
      </c>
      <c r="N173" s="408">
        <v>89.142115847902488</v>
      </c>
      <c r="P173" s="215">
        <f t="shared" si="98"/>
        <v>0.10999999999999996</v>
      </c>
      <c r="Q173" s="211">
        <v>28.525655246834496</v>
      </c>
      <c r="R173" s="54">
        <v>32.439128358527228</v>
      </c>
      <c r="S173" s="54">
        <v>126.68306654284349</v>
      </c>
      <c r="T173" s="54">
        <v>144.18273455116289</v>
      </c>
      <c r="U173" s="54">
        <v>163.60702355585531</v>
      </c>
      <c r="V173" s="54">
        <v>185.16867915646935</v>
      </c>
      <c r="W173" s="54">
        <v>209.17003050960102</v>
      </c>
      <c r="X173" s="54">
        <v>235.744321380565</v>
      </c>
      <c r="Z173" s="215">
        <f t="shared" si="99"/>
        <v>0.10999999999999996</v>
      </c>
      <c r="AA173" s="211"/>
      <c r="AB173" s="54"/>
      <c r="AC173" s="54"/>
      <c r="AD173" s="54"/>
      <c r="AE173" s="54"/>
      <c r="AF173" s="54"/>
      <c r="AG173" s="54">
        <v>178.26206871557201</v>
      </c>
      <c r="AH173" s="306">
        <v>193.27837131505609</v>
      </c>
      <c r="AI173" s="306">
        <v>209.54178729085439</v>
      </c>
      <c r="AJ173" s="306">
        <v>227.4203620055255</v>
      </c>
      <c r="AK173" s="306">
        <v>246.98201332890295</v>
      </c>
    </row>
    <row r="174" spans="1:37">
      <c r="C174" s="215">
        <f t="shared" si="97"/>
        <v>9.9999999999999964E-2</v>
      </c>
      <c r="D174" s="211"/>
      <c r="E174" s="54"/>
      <c r="F174" s="408">
        <v>40.162788715336816</v>
      </c>
      <c r="G174" s="408">
        <v>43.540142772844696</v>
      </c>
      <c r="H174" s="408">
        <v>47.180010069080076</v>
      </c>
      <c r="I174" s="408">
        <v>51.011450562904116</v>
      </c>
      <c r="J174" s="408">
        <v>55.155798875084962</v>
      </c>
      <c r="K174" s="408">
        <v>59.5095316677249</v>
      </c>
      <c r="L174" s="408">
        <v>64.202853395230946</v>
      </c>
      <c r="M174" s="486">
        <v>69.257129253225543</v>
      </c>
      <c r="N174" s="486">
        <v>74.745822758348339</v>
      </c>
      <c r="P174" s="215">
        <f t="shared" si="98"/>
        <v>9.9999999999999964E-2</v>
      </c>
      <c r="Q174" s="211">
        <v>28.205130135916313</v>
      </c>
      <c r="R174" s="54">
        <v>31.730745717498088</v>
      </c>
      <c r="S174" s="54">
        <v>125.50756777799089</v>
      </c>
      <c r="T174" s="54">
        <v>141.29876253010613</v>
      </c>
      <c r="U174" s="54">
        <v>158.66899271352975</v>
      </c>
      <c r="V174" s="54">
        <v>177.77662690151931</v>
      </c>
      <c r="W174" s="54">
        <v>198.85529490397948</v>
      </c>
      <c r="X174" s="54">
        <v>221.98018137657974</v>
      </c>
      <c r="Z174" s="215">
        <f t="shared" si="99"/>
        <v>9.9999999999999964E-2</v>
      </c>
      <c r="AA174" s="211"/>
      <c r="AB174" s="54"/>
      <c r="AC174" s="54"/>
      <c r="AD174" s="54"/>
      <c r="AE174" s="54"/>
      <c r="AF174" s="54"/>
      <c r="AG174" s="54">
        <v>167.12242117992395</v>
      </c>
      <c r="AH174" s="54">
        <v>178.95409551888991</v>
      </c>
      <c r="AI174" s="54">
        <v>191.56452325502752</v>
      </c>
      <c r="AJ174" s="54">
        <v>205.26109088653644</v>
      </c>
      <c r="AK174" s="54">
        <v>220.0307821002111</v>
      </c>
    </row>
    <row r="175" spans="1:37" hidden="1">
      <c r="C175" s="215">
        <f t="shared" si="97"/>
        <v>8.9999999999999969E-2</v>
      </c>
      <c r="D175" s="211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P175" s="215">
        <f t="shared" si="98"/>
        <v>8.9999999999999969E-2</v>
      </c>
      <c r="Q175" s="211">
        <v>27.884624734894651</v>
      </c>
      <c r="R175" s="54">
        <v>31.028813669867965</v>
      </c>
      <c r="S175" s="54">
        <v>124.35335397349535</v>
      </c>
      <c r="T175" s="54">
        <v>138.46140436708907</v>
      </c>
      <c r="U175" s="54">
        <v>153.83953616560851</v>
      </c>
      <c r="V175" s="54">
        <v>170.60159798240124</v>
      </c>
      <c r="W175" s="54">
        <v>188.92364776778587</v>
      </c>
      <c r="X175" s="54">
        <v>208.84423841395451</v>
      </c>
      <c r="Z175" s="215">
        <f t="shared" si="99"/>
        <v>8.9999999999999969E-2</v>
      </c>
      <c r="AA175" s="211"/>
      <c r="AB175" s="54"/>
      <c r="AC175" s="54"/>
      <c r="AD175" s="54"/>
      <c r="AE175" s="54"/>
      <c r="AF175" s="54"/>
      <c r="AG175" s="54"/>
      <c r="AH175" s="54"/>
      <c r="AI175" s="54"/>
      <c r="AJ175" s="54"/>
      <c r="AK175" s="54"/>
    </row>
    <row r="176" spans="1:37" hidden="1">
      <c r="C176" s="215">
        <f t="shared" si="97"/>
        <v>7.9999999999999974E-2</v>
      </c>
      <c r="D176" s="211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P176" s="215">
        <f t="shared" si="98"/>
        <v>7.9999999999999974E-2</v>
      </c>
      <c r="Q176" s="211">
        <v>27.564106626204804</v>
      </c>
      <c r="R176" s="54">
        <v>30.333305235321358</v>
      </c>
      <c r="S176" s="54">
        <v>123.2201434656817</v>
      </c>
      <c r="T176" s="54">
        <v>135.67005732295519</v>
      </c>
      <c r="U176" s="54">
        <v>149.11581328378287</v>
      </c>
      <c r="V176" s="54">
        <v>163.6373702313191</v>
      </c>
      <c r="W176" s="54">
        <v>179.36592071275911</v>
      </c>
      <c r="X176" s="54">
        <v>196.30667081839343</v>
      </c>
      <c r="Z176" s="215">
        <f t="shared" si="99"/>
        <v>7.9999999999999974E-2</v>
      </c>
      <c r="AA176" s="211"/>
      <c r="AB176" s="54"/>
      <c r="AC176" s="54"/>
      <c r="AD176" s="54"/>
      <c r="AE176" s="54"/>
      <c r="AF176" s="54"/>
      <c r="AG176" s="54"/>
      <c r="AH176" s="54"/>
      <c r="AI176" s="54"/>
      <c r="AJ176" s="54"/>
      <c r="AK176" s="54"/>
    </row>
    <row r="177" spans="1:37" hidden="1">
      <c r="C177" s="215">
        <f t="shared" si="97"/>
        <v>6.9999999999999979E-2</v>
      </c>
      <c r="D177" s="211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P177" s="215">
        <f t="shared" si="98"/>
        <v>6.9999999999999979E-2</v>
      </c>
      <c r="Q177" s="211">
        <v>27.564106626204804</v>
      </c>
      <c r="R177" s="54">
        <v>30.333305235321358</v>
      </c>
      <c r="S177" s="54">
        <v>123.2201434656817</v>
      </c>
      <c r="T177" s="54">
        <v>135.67005732295519</v>
      </c>
      <c r="U177" s="54">
        <v>149.11581328378287</v>
      </c>
      <c r="V177" s="54">
        <v>163.6373702313191</v>
      </c>
      <c r="W177" s="54">
        <v>179.36592071275911</v>
      </c>
      <c r="X177" s="54">
        <v>196.30667081839343</v>
      </c>
      <c r="Z177" s="215">
        <f t="shared" si="99"/>
        <v>6.9999999999999979E-2</v>
      </c>
      <c r="AA177" s="211"/>
      <c r="AB177" s="54"/>
      <c r="AC177" s="54"/>
      <c r="AD177" s="54"/>
      <c r="AE177" s="54"/>
      <c r="AF177" s="54"/>
      <c r="AG177" s="54"/>
      <c r="AH177" s="54"/>
      <c r="AI177" s="54"/>
      <c r="AJ177" s="54"/>
      <c r="AK177" s="54"/>
    </row>
    <row r="178" spans="1:37">
      <c r="P178" s="247"/>
    </row>
    <row r="179" spans="1:37" ht="20.25" hidden="1" thickBot="1">
      <c r="C179" s="66" t="s">
        <v>159</v>
      </c>
      <c r="P179" s="247"/>
      <c r="Z179" s="66" t="s">
        <v>159</v>
      </c>
    </row>
    <row r="180" spans="1:37" hidden="1">
      <c r="D180" s="35">
        <f>'Call Rights'!L58</f>
        <v>0.18329961999544131</v>
      </c>
      <c r="E180" s="35">
        <f>'Call Rights'!M58</f>
        <v>0.24</v>
      </c>
      <c r="F180" s="35">
        <f>'Call Rights'!N58</f>
        <v>0.24</v>
      </c>
      <c r="G180" s="35">
        <f>'Call Rights'!O58</f>
        <v>0.24</v>
      </c>
      <c r="H180" s="35">
        <f>'Call Rights'!P58</f>
        <v>0.24</v>
      </c>
      <c r="I180" s="35">
        <f>'Call Rights'!Q58</f>
        <v>0.24</v>
      </c>
      <c r="J180" s="35">
        <f>'Call Rights'!R58</f>
        <v>0.24</v>
      </c>
      <c r="K180" s="35">
        <f>'Call Rights'!S58</f>
        <v>0.24</v>
      </c>
      <c r="L180" s="35">
        <f>'Call Rights'!T58</f>
        <v>0.24</v>
      </c>
      <c r="M180" s="35">
        <f>'Call Rights'!U58</f>
        <v>0.24</v>
      </c>
      <c r="N180" s="35">
        <f>'Call Rights'!U58</f>
        <v>0.24</v>
      </c>
      <c r="O180" s="35">
        <f>'Call Rights'!U58</f>
        <v>0.24</v>
      </c>
      <c r="P180" s="35">
        <f>'Call Rights'!V58</f>
        <v>0.24</v>
      </c>
      <c r="Q180" s="35">
        <f>'Call Rights'!W58</f>
        <v>0</v>
      </c>
      <c r="R180" s="35">
        <f>'Call Rights'!X58</f>
        <v>0</v>
      </c>
      <c r="S180" s="35">
        <f>'Call Rights'!Y58</f>
        <v>0</v>
      </c>
      <c r="T180" s="35">
        <f>'Call Rights'!Z58</f>
        <v>0</v>
      </c>
      <c r="U180" s="35">
        <f>'Call Rights'!AA58</f>
        <v>0</v>
      </c>
      <c r="V180" s="35">
        <f>'Call Rights'!AB58</f>
        <v>0</v>
      </c>
      <c r="W180" s="35">
        <f>'Call Rights'!AC58</f>
        <v>0</v>
      </c>
      <c r="X180" s="35">
        <f>'Call Rights'!AD58</f>
        <v>0</v>
      </c>
      <c r="AA180" s="35">
        <f>'Call Rights'!AI58</f>
        <v>0</v>
      </c>
      <c r="AB180" s="35">
        <f>'Call Rights'!AJ58</f>
        <v>0</v>
      </c>
      <c r="AC180" s="35">
        <f>'Call Rights'!AK58</f>
        <v>0</v>
      </c>
      <c r="AD180" s="35">
        <f>'Call Rights'!AL58</f>
        <v>0</v>
      </c>
      <c r="AE180" s="35">
        <f>'Call Rights'!AM58</f>
        <v>0</v>
      </c>
      <c r="AF180" s="35">
        <f>'Call Rights'!AN58</f>
        <v>0</v>
      </c>
      <c r="AG180" s="35">
        <f>'Call Rights'!AO58</f>
        <v>0</v>
      </c>
      <c r="AH180" s="35">
        <f>'Call Rights'!AP58</f>
        <v>0</v>
      </c>
      <c r="AI180" s="35">
        <f>'Call Rights'!AQ58</f>
        <v>0</v>
      </c>
      <c r="AJ180" s="35">
        <f>'Call Rights'!AR58</f>
        <v>0</v>
      </c>
      <c r="AK180" s="35">
        <f>'Call Rights'!AR58</f>
        <v>0</v>
      </c>
    </row>
    <row r="181" spans="1:37" hidden="1">
      <c r="D181" s="248">
        <f>D163</f>
        <v>1</v>
      </c>
      <c r="E181" s="248">
        <f t="shared" ref="E181:K181" si="100">D181+1</f>
        <v>2</v>
      </c>
      <c r="F181" s="248">
        <f t="shared" si="100"/>
        <v>3</v>
      </c>
      <c r="G181" s="248">
        <f t="shared" si="100"/>
        <v>4</v>
      </c>
      <c r="H181" s="248">
        <f t="shared" si="100"/>
        <v>5</v>
      </c>
      <c r="I181" s="248">
        <f t="shared" si="100"/>
        <v>6</v>
      </c>
      <c r="J181" s="248">
        <f t="shared" si="100"/>
        <v>7</v>
      </c>
      <c r="K181" s="248">
        <f t="shared" si="100"/>
        <v>8</v>
      </c>
      <c r="L181" s="248">
        <f>K181+1</f>
        <v>9</v>
      </c>
      <c r="M181" s="248">
        <f>L181+1</f>
        <v>10</v>
      </c>
      <c r="N181" s="248">
        <f>M181+1</f>
        <v>11</v>
      </c>
      <c r="O181" s="251"/>
      <c r="P181" s="251"/>
      <c r="Q181" s="248">
        <v>2</v>
      </c>
      <c r="R181" s="248">
        <f t="shared" ref="R181:X181" si="101">Q181+1</f>
        <v>3</v>
      </c>
      <c r="S181" s="248">
        <f t="shared" si="101"/>
        <v>4</v>
      </c>
      <c r="T181" s="248">
        <f t="shared" si="101"/>
        <v>5</v>
      </c>
      <c r="U181" s="248">
        <f t="shared" si="101"/>
        <v>6</v>
      </c>
      <c r="V181" s="248">
        <f t="shared" si="101"/>
        <v>7</v>
      </c>
      <c r="W181" s="248">
        <f t="shared" si="101"/>
        <v>8</v>
      </c>
      <c r="X181" s="248">
        <f t="shared" si="101"/>
        <v>9</v>
      </c>
      <c r="AA181" s="248">
        <f>AA163</f>
        <v>1</v>
      </c>
      <c r="AB181" s="248">
        <f t="shared" ref="AB181:AK181" si="102">AA181+1</f>
        <v>2</v>
      </c>
      <c r="AC181" s="248">
        <f t="shared" si="102"/>
        <v>3</v>
      </c>
      <c r="AD181" s="248">
        <f t="shared" si="102"/>
        <v>4</v>
      </c>
      <c r="AE181" s="248">
        <f t="shared" si="102"/>
        <v>5</v>
      </c>
      <c r="AF181" s="248">
        <f t="shared" si="102"/>
        <v>6</v>
      </c>
      <c r="AG181" s="248">
        <f t="shared" si="102"/>
        <v>7</v>
      </c>
      <c r="AH181" s="248">
        <f t="shared" si="102"/>
        <v>8</v>
      </c>
      <c r="AI181" s="248">
        <f t="shared" si="102"/>
        <v>9</v>
      </c>
      <c r="AJ181" s="248">
        <f t="shared" si="102"/>
        <v>10</v>
      </c>
      <c r="AK181" s="248">
        <f t="shared" si="102"/>
        <v>11</v>
      </c>
    </row>
    <row r="182" spans="1:37" hidden="1">
      <c r="C182" s="215">
        <v>0.2</v>
      </c>
      <c r="D182" s="212"/>
      <c r="E182" s="213"/>
      <c r="F182" s="213"/>
      <c r="G182" s="213"/>
      <c r="H182" s="213"/>
      <c r="I182" s="213"/>
      <c r="J182" s="213"/>
      <c r="K182" s="213"/>
      <c r="L182" s="213"/>
      <c r="M182" s="213"/>
      <c r="N182" s="213"/>
      <c r="P182" s="215">
        <v>0.2</v>
      </c>
      <c r="Q182" s="212">
        <v>28.861903109895568</v>
      </c>
      <c r="R182" s="213">
        <v>33.547787640075825</v>
      </c>
      <c r="S182" s="213">
        <v>38.976902152318125</v>
      </c>
      <c r="T182" s="213">
        <v>45.312818795363278</v>
      </c>
      <c r="U182" s="213">
        <v>52.698438109420046</v>
      </c>
      <c r="V182" s="213">
        <v>61.409811645609864</v>
      </c>
      <c r="W182" s="213">
        <v>71.743163106378219</v>
      </c>
      <c r="X182" s="213">
        <v>83.931960481167522</v>
      </c>
      <c r="Z182" s="215">
        <v>0.2</v>
      </c>
      <c r="AA182" s="212"/>
      <c r="AB182" s="213"/>
      <c r="AC182" s="213"/>
      <c r="AD182" s="213"/>
      <c r="AE182" s="213"/>
      <c r="AF182" s="213"/>
      <c r="AG182" s="213"/>
      <c r="AH182" s="213"/>
      <c r="AI182" s="213"/>
      <c r="AJ182" s="213"/>
      <c r="AK182" s="213"/>
    </row>
    <row r="183" spans="1:37" hidden="1">
      <c r="C183" s="215">
        <f>C182-1%</f>
        <v>0.19</v>
      </c>
      <c r="D183" s="211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P183" s="215">
        <f>P182-1%</f>
        <v>0.19</v>
      </c>
      <c r="Q183" s="211">
        <v>28.616853569537309</v>
      </c>
      <c r="R183" s="54">
        <v>32.967526380214629</v>
      </c>
      <c r="S183" s="54">
        <v>37.949562868261495</v>
      </c>
      <c r="T183" s="54">
        <v>43.700601549840634</v>
      </c>
      <c r="U183" s="54">
        <v>50.326735092830134</v>
      </c>
      <c r="V183" s="54">
        <v>58.060246772091666</v>
      </c>
      <c r="W183" s="54">
        <v>67.139261241008995</v>
      </c>
      <c r="X183" s="54">
        <v>77.735775896172129</v>
      </c>
      <c r="Z183" s="215">
        <f>Z182-1%</f>
        <v>0.19</v>
      </c>
      <c r="AA183" s="211"/>
      <c r="AB183" s="54"/>
      <c r="AC183" s="54"/>
      <c r="AD183" s="54"/>
      <c r="AE183" s="54"/>
      <c r="AF183" s="54"/>
      <c r="AG183" s="54"/>
      <c r="AH183" s="54"/>
      <c r="AI183" s="54"/>
      <c r="AJ183" s="54"/>
      <c r="AK183" s="54"/>
    </row>
    <row r="184" spans="1:37" hidden="1">
      <c r="B184" s="407"/>
      <c r="C184" s="249">
        <f t="shared" ref="C184:C195" si="103">C183-1%</f>
        <v>0.18</v>
      </c>
      <c r="D184" s="253">
        <f>D166/D$94</f>
        <v>0</v>
      </c>
      <c r="E184" s="54">
        <f t="shared" ref="E184:X184" si="104">E166/E$94</f>
        <v>0</v>
      </c>
      <c r="F184" s="54">
        <f t="shared" si="104"/>
        <v>97.412604468439696</v>
      </c>
      <c r="G184" s="54">
        <f t="shared" si="104"/>
        <v>115.81204757953084</v>
      </c>
      <c r="H184" s="54">
        <f t="shared" si="104"/>
        <v>137.36839697237508</v>
      </c>
      <c r="I184" s="54">
        <f t="shared" si="104"/>
        <v>162.48474441554092</v>
      </c>
      <c r="J184" s="54">
        <f t="shared" si="104"/>
        <v>192.04196729532296</v>
      </c>
      <c r="K184" s="54">
        <f t="shared" si="104"/>
        <v>226.47061768835144</v>
      </c>
      <c r="L184" s="54">
        <f t="shared" ref="L184:N195" si="105">L166/L$94</f>
        <v>266.90083319401577</v>
      </c>
      <c r="M184" s="54">
        <f t="shared" si="105"/>
        <v>314.65335929183971</v>
      </c>
      <c r="N184" s="54">
        <f t="shared" si="105"/>
        <v>371.02128757503232</v>
      </c>
      <c r="O184" s="407">
        <f t="shared" si="104"/>
        <v>0</v>
      </c>
      <c r="P184" s="215">
        <f t="shared" si="104"/>
        <v>0.36734693877551022</v>
      </c>
      <c r="Q184" s="211">
        <f t="shared" si="104"/>
        <v>62.794348508634215</v>
      </c>
      <c r="R184" s="54">
        <f t="shared" si="104"/>
        <v>76.687584364288227</v>
      </c>
      <c r="S184" s="54">
        <f t="shared" si="104"/>
        <v>276.5742134497026</v>
      </c>
      <c r="T184" s="54">
        <f t="shared" si="104"/>
        <v>338.26134388698671</v>
      </c>
      <c r="U184" s="54">
        <f t="shared" si="104"/>
        <v>411.0512719922628</v>
      </c>
      <c r="V184" s="54">
        <f t="shared" si="104"/>
        <v>496.94480320845975</v>
      </c>
      <c r="W184" s="54">
        <f t="shared" si="104"/>
        <v>598.60088120262685</v>
      </c>
      <c r="X184" s="54">
        <f t="shared" si="104"/>
        <v>718.25085270902116</v>
      </c>
      <c r="Z184" s="249">
        <f t="shared" ref="Z184:Z195" si="106">Z183-1%</f>
        <v>0.18</v>
      </c>
      <c r="AA184" s="253" t="e">
        <f>AA166/AA$94</f>
        <v>#DIV/0!</v>
      </c>
      <c r="AB184" s="54" t="e">
        <f t="shared" ref="AB184:AK184" si="107">AB166/AB$94</f>
        <v>#DIV/0!</v>
      </c>
      <c r="AC184" s="54" t="e">
        <f t="shared" si="107"/>
        <v>#DIV/0!</v>
      </c>
      <c r="AD184" s="54" t="e">
        <f t="shared" si="107"/>
        <v>#DIV/0!</v>
      </c>
      <c r="AE184" s="54" t="e">
        <f t="shared" si="107"/>
        <v>#DIV/0!</v>
      </c>
      <c r="AF184" s="54" t="e">
        <f t="shared" si="107"/>
        <v>#DIV/0!</v>
      </c>
      <c r="AG184" s="54" t="e">
        <f t="shared" si="107"/>
        <v>#DIV/0!</v>
      </c>
      <c r="AH184" s="54" t="e">
        <f t="shared" si="107"/>
        <v>#DIV/0!</v>
      </c>
      <c r="AI184" s="54" t="e">
        <f t="shared" si="107"/>
        <v>#DIV/0!</v>
      </c>
      <c r="AJ184" s="54" t="e">
        <f t="shared" si="107"/>
        <v>#DIV/0!</v>
      </c>
      <c r="AK184" s="54" t="e">
        <f t="shared" si="107"/>
        <v>#DIV/0!</v>
      </c>
    </row>
    <row r="185" spans="1:37" hidden="1">
      <c r="A185" s="1"/>
      <c r="B185" s="407"/>
      <c r="C185" s="249">
        <f t="shared" si="103"/>
        <v>0.16999999999999998</v>
      </c>
      <c r="D185" s="211">
        <f t="shared" ref="D185:X185" si="108">D167/D$94</f>
        <v>0</v>
      </c>
      <c r="E185" s="54">
        <f t="shared" si="108"/>
        <v>0</v>
      </c>
      <c r="F185" s="54">
        <f t="shared" si="108"/>
        <v>95.612596701885266</v>
      </c>
      <c r="G185" s="54">
        <f t="shared" si="108"/>
        <v>112.52710360233289</v>
      </c>
      <c r="H185" s="54">
        <f t="shared" si="108"/>
        <v>132.16114532410461</v>
      </c>
      <c r="I185" s="54">
        <f t="shared" si="108"/>
        <v>154.81386359207437</v>
      </c>
      <c r="J185" s="54">
        <f t="shared" si="108"/>
        <v>181.22728668679176</v>
      </c>
      <c r="K185" s="54">
        <f t="shared" si="108"/>
        <v>211.69129485368035</v>
      </c>
      <c r="L185" s="54">
        <f t="shared" si="105"/>
        <v>247.13940162444493</v>
      </c>
      <c r="M185" s="54">
        <f t="shared" si="105"/>
        <v>288.66046901689191</v>
      </c>
      <c r="N185" s="54">
        <f t="shared" si="105"/>
        <v>337.22928416687648</v>
      </c>
      <c r="O185" s="407">
        <f t="shared" si="108"/>
        <v>0</v>
      </c>
      <c r="P185" s="215">
        <f t="shared" si="108"/>
        <v>0.34693877551020408</v>
      </c>
      <c r="Q185" s="211">
        <f t="shared" si="108"/>
        <v>62.140240711669286</v>
      </c>
      <c r="R185" s="54">
        <f t="shared" si="108"/>
        <v>75.150487525228272</v>
      </c>
      <c r="S185" s="54">
        <f t="shared" si="108"/>
        <v>273.86140289952806</v>
      </c>
      <c r="T185" s="54">
        <f t="shared" si="108"/>
        <v>331.65987153814808</v>
      </c>
      <c r="U185" s="54">
        <f t="shared" si="108"/>
        <v>399.28432215437908</v>
      </c>
      <c r="V185" s="54">
        <f t="shared" si="108"/>
        <v>478.40439758898492</v>
      </c>
      <c r="W185" s="54">
        <f t="shared" si="108"/>
        <v>571.25111154289539</v>
      </c>
      <c r="X185" s="54">
        <f t="shared" si="108"/>
        <v>679.60510609288656</v>
      </c>
      <c r="Z185" s="249">
        <f t="shared" si="106"/>
        <v>0.16999999999999998</v>
      </c>
      <c r="AA185" s="211" t="e">
        <f t="shared" ref="AA185:AK185" si="109">AA167/AA$94</f>
        <v>#DIV/0!</v>
      </c>
      <c r="AB185" s="54" t="e">
        <f t="shared" si="109"/>
        <v>#DIV/0!</v>
      </c>
      <c r="AC185" s="54" t="e">
        <f t="shared" si="109"/>
        <v>#DIV/0!</v>
      </c>
      <c r="AD185" s="54" t="e">
        <f t="shared" si="109"/>
        <v>#DIV/0!</v>
      </c>
      <c r="AE185" s="54" t="e">
        <f t="shared" si="109"/>
        <v>#DIV/0!</v>
      </c>
      <c r="AF185" s="54" t="e">
        <f t="shared" si="109"/>
        <v>#DIV/0!</v>
      </c>
      <c r="AG185" s="54" t="e">
        <f t="shared" si="109"/>
        <v>#DIV/0!</v>
      </c>
      <c r="AH185" s="54" t="e">
        <f t="shared" si="109"/>
        <v>#DIV/0!</v>
      </c>
      <c r="AI185" s="54" t="e">
        <f t="shared" si="109"/>
        <v>#DIV/0!</v>
      </c>
      <c r="AJ185" s="54" t="e">
        <f t="shared" si="109"/>
        <v>#DIV/0!</v>
      </c>
      <c r="AK185" s="54" t="e">
        <f t="shared" si="109"/>
        <v>#DIV/0!</v>
      </c>
    </row>
    <row r="186" spans="1:37" hidden="1">
      <c r="B186" s="407"/>
      <c r="C186" s="249">
        <f t="shared" si="103"/>
        <v>0.15999999999999998</v>
      </c>
      <c r="D186" s="211">
        <f t="shared" ref="D186:X186" si="110">D168/D$94</f>
        <v>0</v>
      </c>
      <c r="E186" s="54">
        <f t="shared" si="110"/>
        <v>0</v>
      </c>
      <c r="F186" s="54">
        <f t="shared" si="110"/>
        <v>93.826036323139618</v>
      </c>
      <c r="G186" s="54">
        <f t="shared" si="110"/>
        <v>109.29330650114447</v>
      </c>
      <c r="H186" s="54">
        <f t="shared" si="110"/>
        <v>127.07950121226439</v>
      </c>
      <c r="I186" s="54">
        <f t="shared" si="110"/>
        <v>147.39219773696357</v>
      </c>
      <c r="J186" s="54">
        <f t="shared" si="110"/>
        <v>170.85550375554979</v>
      </c>
      <c r="K186" s="54">
        <f t="shared" si="110"/>
        <v>197.64421434992298</v>
      </c>
      <c r="L186" s="54">
        <f t="shared" si="105"/>
        <v>228.52014470033393</v>
      </c>
      <c r="M186" s="54">
        <f t="shared" si="105"/>
        <v>264.38512889527703</v>
      </c>
      <c r="N186" s="54">
        <f t="shared" si="105"/>
        <v>305.96088869882868</v>
      </c>
      <c r="O186" s="407">
        <f t="shared" si="110"/>
        <v>0</v>
      </c>
      <c r="P186" s="215">
        <f t="shared" si="110"/>
        <v>0.32653061224489793</v>
      </c>
      <c r="Q186" s="211">
        <f t="shared" si="110"/>
        <v>61.486110496159668</v>
      </c>
      <c r="R186" s="54">
        <f t="shared" si="110"/>
        <v>73.626405151292261</v>
      </c>
      <c r="S186" s="54">
        <f t="shared" si="110"/>
        <v>271.19449954917008</v>
      </c>
      <c r="T186" s="54">
        <f t="shared" si="110"/>
        <v>325.16645743218629</v>
      </c>
      <c r="U186" s="54">
        <f t="shared" si="110"/>
        <v>387.77456330311912</v>
      </c>
      <c r="V186" s="54">
        <f t="shared" si="110"/>
        <v>460.3993462126939</v>
      </c>
      <c r="W186" s="54">
        <f t="shared" si="110"/>
        <v>544.89136990584802</v>
      </c>
      <c r="X186" s="54">
        <f t="shared" si="110"/>
        <v>642.65456479299792</v>
      </c>
      <c r="Z186" s="249">
        <f t="shared" si="106"/>
        <v>0.15999999999999998</v>
      </c>
      <c r="AA186" s="211" t="e">
        <f t="shared" ref="AA186:AK186" si="111">AA168/AA$94</f>
        <v>#DIV/0!</v>
      </c>
      <c r="AB186" s="54" t="e">
        <f t="shared" si="111"/>
        <v>#DIV/0!</v>
      </c>
      <c r="AC186" s="54" t="e">
        <f t="shared" si="111"/>
        <v>#DIV/0!</v>
      </c>
      <c r="AD186" s="54" t="e">
        <f t="shared" si="111"/>
        <v>#DIV/0!</v>
      </c>
      <c r="AE186" s="54" t="e">
        <f t="shared" si="111"/>
        <v>#DIV/0!</v>
      </c>
      <c r="AF186" s="54" t="e">
        <f t="shared" si="111"/>
        <v>#DIV/0!</v>
      </c>
      <c r="AG186" s="54" t="e">
        <f t="shared" si="111"/>
        <v>#DIV/0!</v>
      </c>
      <c r="AH186" s="54" t="e">
        <f t="shared" si="111"/>
        <v>#DIV/0!</v>
      </c>
      <c r="AI186" s="54" t="e">
        <f t="shared" si="111"/>
        <v>#DIV/0!</v>
      </c>
      <c r="AJ186" s="54" t="e">
        <f t="shared" si="111"/>
        <v>#DIV/0!</v>
      </c>
      <c r="AK186" s="54" t="e">
        <f t="shared" si="111"/>
        <v>#DIV/0!</v>
      </c>
    </row>
    <row r="187" spans="1:37" hidden="1">
      <c r="C187" s="249">
        <f t="shared" si="103"/>
        <v>0.14999999999999997</v>
      </c>
      <c r="D187" s="211">
        <f t="shared" ref="D187:X187" si="112">D169/D$94</f>
        <v>0</v>
      </c>
      <c r="E187" s="54">
        <f t="shared" si="112"/>
        <v>0</v>
      </c>
      <c r="F187" s="54">
        <f t="shared" si="112"/>
        <v>92.052895132062602</v>
      </c>
      <c r="G187" s="54">
        <f t="shared" si="112"/>
        <v>106.11054893553042</v>
      </c>
      <c r="H187" s="54">
        <f t="shared" si="112"/>
        <v>122.12153448979622</v>
      </c>
      <c r="I187" s="54">
        <f t="shared" si="112"/>
        <v>140.21475674918017</v>
      </c>
      <c r="J187" s="54">
        <f t="shared" si="112"/>
        <v>160.91342937713611</v>
      </c>
      <c r="K187" s="54">
        <f t="shared" si="112"/>
        <v>184.29597736576471</v>
      </c>
      <c r="L187" s="54">
        <f t="shared" si="105"/>
        <v>210.98965987756273</v>
      </c>
      <c r="M187" s="54">
        <f t="shared" si="105"/>
        <v>241.73536756806405</v>
      </c>
      <c r="N187" s="54">
        <f t="shared" si="105"/>
        <v>277.04493379081504</v>
      </c>
      <c r="O187">
        <f t="shared" si="112"/>
        <v>0</v>
      </c>
      <c r="P187" s="215">
        <f t="shared" si="112"/>
        <v>0.30612244897959179</v>
      </c>
      <c r="Q187" s="211">
        <f t="shared" si="112"/>
        <v>60.832005386291605</v>
      </c>
      <c r="R187" s="54">
        <f t="shared" si="112"/>
        <v>72.11531971117833</v>
      </c>
      <c r="S187" s="54">
        <f t="shared" si="112"/>
        <v>268.57320216572919</v>
      </c>
      <c r="T187" s="54">
        <f t="shared" si="112"/>
        <v>318.77894240969306</v>
      </c>
      <c r="U187" s="54">
        <f t="shared" si="112"/>
        <v>376.51496532534662</v>
      </c>
      <c r="V187" s="54">
        <f t="shared" si="112"/>
        <v>442.91228485350962</v>
      </c>
      <c r="W187" s="54">
        <f t="shared" si="112"/>
        <v>519.49332527192666</v>
      </c>
      <c r="X187" s="54">
        <f t="shared" si="112"/>
        <v>607.33728197511016</v>
      </c>
      <c r="Z187" s="249">
        <f t="shared" si="106"/>
        <v>0.14999999999999997</v>
      </c>
      <c r="AA187" s="211" t="e">
        <f t="shared" ref="AA187:AK187" si="113">AA169/AA$94</f>
        <v>#DIV/0!</v>
      </c>
      <c r="AB187" s="54" t="e">
        <f t="shared" si="113"/>
        <v>#DIV/0!</v>
      </c>
      <c r="AC187" s="54" t="e">
        <f t="shared" si="113"/>
        <v>#DIV/0!</v>
      </c>
      <c r="AD187" s="54" t="e">
        <f t="shared" si="113"/>
        <v>#DIV/0!</v>
      </c>
      <c r="AE187" s="54" t="e">
        <f t="shared" si="113"/>
        <v>#DIV/0!</v>
      </c>
      <c r="AF187" s="54" t="e">
        <f t="shared" si="113"/>
        <v>#DIV/0!</v>
      </c>
      <c r="AG187" s="54" t="e">
        <f t="shared" si="113"/>
        <v>#DIV/0!</v>
      </c>
      <c r="AH187" s="54" t="e">
        <f t="shared" si="113"/>
        <v>#DIV/0!</v>
      </c>
      <c r="AI187" s="54" t="e">
        <f t="shared" si="113"/>
        <v>#DIV/0!</v>
      </c>
      <c r="AJ187" s="54" t="e">
        <f t="shared" si="113"/>
        <v>#DIV/0!</v>
      </c>
      <c r="AK187" s="54" t="e">
        <f t="shared" si="113"/>
        <v>#DIV/0!</v>
      </c>
    </row>
    <row r="188" spans="1:37" s="17" customFormat="1" hidden="1">
      <c r="A188"/>
      <c r="C188" s="249">
        <f t="shared" si="103"/>
        <v>0.13999999999999996</v>
      </c>
      <c r="D188" s="211">
        <f t="shared" ref="D188:X188" si="114">D170/D$94</f>
        <v>0</v>
      </c>
      <c r="E188" s="54">
        <f t="shared" si="114"/>
        <v>0</v>
      </c>
      <c r="F188" s="54">
        <f t="shared" si="114"/>
        <v>90.292991665097773</v>
      </c>
      <c r="G188" s="54">
        <f t="shared" si="114"/>
        <v>102.97883179502264</v>
      </c>
      <c r="H188" s="54">
        <f t="shared" si="114"/>
        <v>117.28464736695463</v>
      </c>
      <c r="I188" s="54">
        <f t="shared" si="114"/>
        <v>133.27391954383447</v>
      </c>
      <c r="J188" s="54">
        <f t="shared" si="114"/>
        <v>151.38699740522682</v>
      </c>
      <c r="K188" s="54">
        <f t="shared" si="114"/>
        <v>171.62159204413709</v>
      </c>
      <c r="L188" s="54">
        <f t="shared" si="105"/>
        <v>194.49252633707323</v>
      </c>
      <c r="M188" s="54">
        <f t="shared" si="105"/>
        <v>220.6124279082353</v>
      </c>
      <c r="N188" s="54">
        <f t="shared" si="105"/>
        <v>250.32498192496118</v>
      </c>
      <c r="O188" s="17">
        <f t="shared" si="114"/>
        <v>0</v>
      </c>
      <c r="P188" s="215">
        <f t="shared" si="114"/>
        <v>0.28571428571428564</v>
      </c>
      <c r="Q188" s="211">
        <f t="shared" si="114"/>
        <v>60.177926587690813</v>
      </c>
      <c r="R188" s="54">
        <f t="shared" si="114"/>
        <v>70.617483994602367</v>
      </c>
      <c r="S188" s="54">
        <f t="shared" si="114"/>
        <v>265.99723213221688</v>
      </c>
      <c r="T188" s="54">
        <f t="shared" si="114"/>
        <v>312.49510236618488</v>
      </c>
      <c r="U188" s="54">
        <f t="shared" si="114"/>
        <v>365.50231519052039</v>
      </c>
      <c r="V188" s="54">
        <f t="shared" si="114"/>
        <v>425.93083233561413</v>
      </c>
      <c r="W188" s="54">
        <f t="shared" si="114"/>
        <v>495.02157782722833</v>
      </c>
      <c r="X188" s="54">
        <f t="shared" si="114"/>
        <v>573.58359137578566</v>
      </c>
      <c r="Y188"/>
      <c r="Z188" s="249">
        <f t="shared" si="106"/>
        <v>0.13999999999999996</v>
      </c>
      <c r="AA188" s="211" t="e">
        <f t="shared" ref="AA188:AK188" si="115">AA170/AA$94</f>
        <v>#DIV/0!</v>
      </c>
      <c r="AB188" s="54" t="e">
        <f t="shared" si="115"/>
        <v>#DIV/0!</v>
      </c>
      <c r="AC188" s="54" t="e">
        <f t="shared" si="115"/>
        <v>#DIV/0!</v>
      </c>
      <c r="AD188" s="54" t="e">
        <f t="shared" si="115"/>
        <v>#DIV/0!</v>
      </c>
      <c r="AE188" s="54" t="e">
        <f t="shared" si="115"/>
        <v>#DIV/0!</v>
      </c>
      <c r="AF188" s="54" t="e">
        <f t="shared" si="115"/>
        <v>#DIV/0!</v>
      </c>
      <c r="AG188" s="54" t="e">
        <f t="shared" si="115"/>
        <v>#DIV/0!</v>
      </c>
      <c r="AH188" s="54" t="e">
        <f t="shared" si="115"/>
        <v>#DIV/0!</v>
      </c>
      <c r="AI188" s="54" t="e">
        <f t="shared" si="115"/>
        <v>#DIV/0!</v>
      </c>
      <c r="AJ188" s="54" t="e">
        <f t="shared" si="115"/>
        <v>#DIV/0!</v>
      </c>
      <c r="AK188" s="54" t="e">
        <f t="shared" si="115"/>
        <v>#DIV/0!</v>
      </c>
    </row>
    <row r="189" spans="1:37" hidden="1">
      <c r="C189" s="249">
        <f t="shared" si="103"/>
        <v>0.12999999999999995</v>
      </c>
      <c r="D189" s="211">
        <f t="shared" ref="D189:X189" si="116">D171/D$94</f>
        <v>0</v>
      </c>
      <c r="E189" s="54">
        <f t="shared" si="116"/>
        <v>0</v>
      </c>
      <c r="F189" s="54">
        <f t="shared" si="116"/>
        <v>88.5465042539753</v>
      </c>
      <c r="G189" s="54">
        <f t="shared" si="116"/>
        <v>99.897152687451467</v>
      </c>
      <c r="H189" s="54">
        <f t="shared" si="116"/>
        <v>112.5676380456726</v>
      </c>
      <c r="I189" s="54">
        <f t="shared" si="116"/>
        <v>126.56559839163523</v>
      </c>
      <c r="J189" s="54">
        <f t="shared" si="116"/>
        <v>142.26087050135382</v>
      </c>
      <c r="K189" s="54">
        <f t="shared" si="116"/>
        <v>159.59017958089461</v>
      </c>
      <c r="L189" s="54">
        <f t="shared" si="105"/>
        <v>178.97563299873508</v>
      </c>
      <c r="M189" s="54">
        <f t="shared" si="105"/>
        <v>200.92826229930026</v>
      </c>
      <c r="N189" s="54">
        <f t="shared" si="105"/>
        <v>225.65567150479563</v>
      </c>
      <c r="O189">
        <f t="shared" si="116"/>
        <v>0</v>
      </c>
      <c r="P189" s="215">
        <f t="shared" si="116"/>
        <v>0.2653061224489795</v>
      </c>
      <c r="Q189" s="211">
        <f t="shared" si="116"/>
        <v>59.523823308925103</v>
      </c>
      <c r="R189" s="54">
        <f t="shared" si="116"/>
        <v>69.132664984416365</v>
      </c>
      <c r="S189" s="54">
        <f t="shared" si="116"/>
        <v>263.4662290765371</v>
      </c>
      <c r="T189" s="54">
        <f t="shared" si="116"/>
        <v>306.31368856120315</v>
      </c>
      <c r="U189" s="54">
        <f t="shared" si="116"/>
        <v>354.73148881313432</v>
      </c>
      <c r="V189" s="54">
        <f t="shared" si="116"/>
        <v>409.44375586763522</v>
      </c>
      <c r="W189" s="54">
        <f t="shared" si="116"/>
        <v>471.44772158952668</v>
      </c>
      <c r="X189" s="54">
        <f t="shared" si="116"/>
        <v>541.33475264859385</v>
      </c>
      <c r="Z189" s="249">
        <f t="shared" si="106"/>
        <v>0.12999999999999995</v>
      </c>
      <c r="AA189" s="211" t="e">
        <f t="shared" ref="AA189:AK189" si="117">AA171/AA$94</f>
        <v>#DIV/0!</v>
      </c>
      <c r="AB189" s="54" t="e">
        <f t="shared" si="117"/>
        <v>#DIV/0!</v>
      </c>
      <c r="AC189" s="54" t="e">
        <f t="shared" si="117"/>
        <v>#DIV/0!</v>
      </c>
      <c r="AD189" s="54" t="e">
        <f t="shared" si="117"/>
        <v>#DIV/0!</v>
      </c>
      <c r="AE189" s="54" t="e">
        <f t="shared" si="117"/>
        <v>#DIV/0!</v>
      </c>
      <c r="AF189" s="54" t="e">
        <f t="shared" si="117"/>
        <v>#DIV/0!</v>
      </c>
      <c r="AG189" s="54" t="e">
        <f t="shared" si="117"/>
        <v>#DIV/0!</v>
      </c>
      <c r="AH189" s="54" t="e">
        <f t="shared" si="117"/>
        <v>#DIV/0!</v>
      </c>
      <c r="AI189" s="54" t="e">
        <f t="shared" si="117"/>
        <v>#DIV/0!</v>
      </c>
      <c r="AJ189" s="54" t="e">
        <f t="shared" si="117"/>
        <v>#DIV/0!</v>
      </c>
      <c r="AK189" s="54" t="e">
        <f t="shared" si="117"/>
        <v>#DIV/0!</v>
      </c>
    </row>
    <row r="190" spans="1:37" hidden="1">
      <c r="C190" s="249">
        <f t="shared" si="103"/>
        <v>0.11999999999999995</v>
      </c>
      <c r="D190" s="211">
        <f t="shared" ref="D190:X190" si="118">D172/D$94</f>
        <v>0</v>
      </c>
      <c r="E190" s="240">
        <f t="shared" si="118"/>
        <v>0</v>
      </c>
      <c r="F190" s="54">
        <f t="shared" si="118"/>
        <v>86.81330355951296</v>
      </c>
      <c r="G190" s="54">
        <f t="shared" si="118"/>
        <v>96.865194002238979</v>
      </c>
      <c r="H190" s="54">
        <f t="shared" si="118"/>
        <v>107.96785645603978</v>
      </c>
      <c r="I190" s="54">
        <f t="shared" si="118"/>
        <v>120.08318362528975</v>
      </c>
      <c r="J190" s="54">
        <f t="shared" si="118"/>
        <v>133.52313414892478</v>
      </c>
      <c r="K190" s="54">
        <f t="shared" si="118"/>
        <v>148.17518141231309</v>
      </c>
      <c r="L190" s="54">
        <f t="shared" si="105"/>
        <v>164.39091150869166</v>
      </c>
      <c r="M190" s="54">
        <f t="shared" si="105"/>
        <v>182.5982140856747</v>
      </c>
      <c r="N190" s="54">
        <f t="shared" si="105"/>
        <v>202.89798537765037</v>
      </c>
      <c r="O190">
        <f t="shared" si="118"/>
        <v>0</v>
      </c>
      <c r="P190" s="215">
        <f t="shared" si="118"/>
        <v>0.24489795918367338</v>
      </c>
      <c r="Q190" s="211">
        <f t="shared" si="118"/>
        <v>58.86972012101009</v>
      </c>
      <c r="R190" s="54">
        <f t="shared" si="118"/>
        <v>67.660954586232734</v>
      </c>
      <c r="S190" s="54">
        <f t="shared" si="118"/>
        <v>260.97949797526366</v>
      </c>
      <c r="T190" s="54">
        <f t="shared" si="118"/>
        <v>300.23279083837292</v>
      </c>
      <c r="U190" s="54">
        <f t="shared" si="118"/>
        <v>344.19602197064671</v>
      </c>
      <c r="V190" s="54">
        <f t="shared" si="118"/>
        <v>393.43581344787106</v>
      </c>
      <c r="W190" s="54">
        <f t="shared" si="118"/>
        <v>448.74424264555722</v>
      </c>
      <c r="X190" s="54">
        <f t="shared" si="118"/>
        <v>510.52715192522993</v>
      </c>
      <c r="Z190" s="249">
        <f t="shared" si="106"/>
        <v>0.11999999999999995</v>
      </c>
      <c r="AA190" s="211" t="e">
        <f t="shared" ref="AA190:AK190" si="119">AA172/AA$94</f>
        <v>#DIV/0!</v>
      </c>
      <c r="AB190" s="240" t="e">
        <f t="shared" si="119"/>
        <v>#DIV/0!</v>
      </c>
      <c r="AC190" s="54" t="e">
        <f t="shared" si="119"/>
        <v>#DIV/0!</v>
      </c>
      <c r="AD190" s="54" t="e">
        <f t="shared" si="119"/>
        <v>#DIV/0!</v>
      </c>
      <c r="AE190" s="54" t="e">
        <f t="shared" si="119"/>
        <v>#DIV/0!</v>
      </c>
      <c r="AF190" s="54" t="e">
        <f t="shared" si="119"/>
        <v>#DIV/0!</v>
      </c>
      <c r="AG190" s="54" t="e">
        <f t="shared" si="119"/>
        <v>#DIV/0!</v>
      </c>
      <c r="AH190" s="54" t="e">
        <f t="shared" si="119"/>
        <v>#DIV/0!</v>
      </c>
      <c r="AI190" s="54" t="e">
        <f t="shared" si="119"/>
        <v>#DIV/0!</v>
      </c>
      <c r="AJ190" s="54" t="e">
        <f t="shared" si="119"/>
        <v>#DIV/0!</v>
      </c>
      <c r="AK190" s="54" t="e">
        <f t="shared" si="119"/>
        <v>#DIV/0!</v>
      </c>
    </row>
    <row r="191" spans="1:37" hidden="1">
      <c r="C191" s="249">
        <f t="shared" si="103"/>
        <v>0.10999999999999996</v>
      </c>
      <c r="D191" s="211">
        <f t="shared" ref="D191:X191" si="120">D173/D$94</f>
        <v>0</v>
      </c>
      <c r="E191" s="54">
        <f t="shared" si="120"/>
        <v>0</v>
      </c>
      <c r="F191" s="54">
        <f t="shared" si="120"/>
        <v>85.093567460108261</v>
      </c>
      <c r="G191" s="54">
        <f t="shared" si="120"/>
        <v>93.883004933677213</v>
      </c>
      <c r="H191" s="54">
        <f t="shared" si="120"/>
        <v>103.48371860299058</v>
      </c>
      <c r="I191" s="54">
        <f t="shared" si="120"/>
        <v>113.82061236851007</v>
      </c>
      <c r="J191" s="54">
        <f t="shared" si="120"/>
        <v>125.15967074401291</v>
      </c>
      <c r="K191" s="54">
        <f t="shared" si="120"/>
        <v>137.35207123036352</v>
      </c>
      <c r="L191" s="54">
        <f t="shared" si="105"/>
        <v>150.68919632959961</v>
      </c>
      <c r="M191" s="54">
        <f t="shared" si="105"/>
        <v>165.5408497187166</v>
      </c>
      <c r="N191" s="54">
        <f t="shared" si="105"/>
        <v>181.92268540388264</v>
      </c>
      <c r="O191">
        <f t="shared" si="120"/>
        <v>0</v>
      </c>
      <c r="P191" s="215">
        <f t="shared" si="120"/>
        <v>0.22448979591836726</v>
      </c>
      <c r="Q191" s="211">
        <f t="shared" si="120"/>
        <v>58.215622952723464</v>
      </c>
      <c r="R191" s="54">
        <f t="shared" si="120"/>
        <v>66.202302772504552</v>
      </c>
      <c r="S191" s="54">
        <f t="shared" si="120"/>
        <v>258.53687049559898</v>
      </c>
      <c r="T191" s="54">
        <f t="shared" si="120"/>
        <v>294.25047867584266</v>
      </c>
      <c r="U191" s="54">
        <f t="shared" si="120"/>
        <v>333.891884807868</v>
      </c>
      <c r="V191" s="54">
        <f t="shared" si="120"/>
        <v>377.89526358463132</v>
      </c>
      <c r="W191" s="54">
        <f t="shared" si="120"/>
        <v>426.87761328490006</v>
      </c>
      <c r="X191" s="54">
        <f t="shared" si="120"/>
        <v>481.11085996033671</v>
      </c>
      <c r="Z191" s="249">
        <f t="shared" si="106"/>
        <v>0.10999999999999996</v>
      </c>
      <c r="AA191" s="211" t="e">
        <f t="shared" ref="AA191:AK191" si="121">AA173/AA$94</f>
        <v>#DIV/0!</v>
      </c>
      <c r="AB191" s="54" t="e">
        <f t="shared" si="121"/>
        <v>#DIV/0!</v>
      </c>
      <c r="AC191" s="54" t="e">
        <f t="shared" si="121"/>
        <v>#DIV/0!</v>
      </c>
      <c r="AD191" s="54" t="e">
        <f t="shared" si="121"/>
        <v>#DIV/0!</v>
      </c>
      <c r="AE191" s="54" t="e">
        <f t="shared" si="121"/>
        <v>#DIV/0!</v>
      </c>
      <c r="AF191" s="54" t="e">
        <f t="shared" si="121"/>
        <v>#DIV/0!</v>
      </c>
      <c r="AG191" s="54" t="e">
        <f t="shared" si="121"/>
        <v>#DIV/0!</v>
      </c>
      <c r="AH191" s="54" t="e">
        <f t="shared" si="121"/>
        <v>#DIV/0!</v>
      </c>
      <c r="AI191" s="54" t="e">
        <f t="shared" si="121"/>
        <v>#DIV/0!</v>
      </c>
      <c r="AJ191" s="54" t="e">
        <f t="shared" si="121"/>
        <v>#DIV/0!</v>
      </c>
      <c r="AK191" s="54" t="e">
        <f t="shared" si="121"/>
        <v>#DIV/0!</v>
      </c>
    </row>
    <row r="192" spans="1:37" hidden="1">
      <c r="C192" s="249">
        <f t="shared" si="103"/>
        <v>9.9999999999999964E-2</v>
      </c>
      <c r="D192" s="211">
        <f t="shared" ref="D192:X192" si="122">D174/D$94</f>
        <v>0</v>
      </c>
      <c r="E192" s="54">
        <f t="shared" si="122"/>
        <v>0</v>
      </c>
      <c r="F192" s="54">
        <f t="shared" si="122"/>
        <v>81.964874929258812</v>
      </c>
      <c r="G192" s="54">
        <f t="shared" si="122"/>
        <v>88.857434230295297</v>
      </c>
      <c r="H192" s="54">
        <f t="shared" si="122"/>
        <v>96.285734834857294</v>
      </c>
      <c r="I192" s="54">
        <f t="shared" si="122"/>
        <v>104.10500114878391</v>
      </c>
      <c r="J192" s="54">
        <f t="shared" si="122"/>
        <v>112.56285484711216</v>
      </c>
      <c r="K192" s="54">
        <f t="shared" si="122"/>
        <v>121.44802381168347</v>
      </c>
      <c r="L192" s="54">
        <f t="shared" si="105"/>
        <v>131.02623141883868</v>
      </c>
      <c r="M192" s="54">
        <f t="shared" si="105"/>
        <v>141.34108010862357</v>
      </c>
      <c r="N192" s="54">
        <f t="shared" si="105"/>
        <v>152.54249542520068</v>
      </c>
      <c r="O192">
        <f t="shared" si="122"/>
        <v>0</v>
      </c>
      <c r="P192" s="215">
        <f t="shared" si="122"/>
        <v>0.20408163265306115</v>
      </c>
      <c r="Q192" s="211">
        <f t="shared" si="122"/>
        <v>57.5614900732986</v>
      </c>
      <c r="R192" s="54">
        <f t="shared" si="122"/>
        <v>64.756623913261407</v>
      </c>
      <c r="S192" s="54">
        <f t="shared" si="122"/>
        <v>256.1378934244712</v>
      </c>
      <c r="T192" s="54">
        <f t="shared" si="122"/>
        <v>288.3648214900125</v>
      </c>
      <c r="U192" s="54">
        <f t="shared" si="122"/>
        <v>323.81427084393829</v>
      </c>
      <c r="V192" s="54">
        <f t="shared" si="122"/>
        <v>362.80944265616188</v>
      </c>
      <c r="W192" s="54">
        <f t="shared" si="122"/>
        <v>405.82713245710102</v>
      </c>
      <c r="X192" s="54">
        <f t="shared" si="122"/>
        <v>453.02077831955052</v>
      </c>
      <c r="Z192" s="249">
        <f t="shared" si="106"/>
        <v>9.9999999999999964E-2</v>
      </c>
      <c r="AA192" s="211" t="e">
        <f t="shared" ref="AA192:AK192" si="123">AA174/AA$94</f>
        <v>#DIV/0!</v>
      </c>
      <c r="AB192" s="54" t="e">
        <f t="shared" si="123"/>
        <v>#DIV/0!</v>
      </c>
      <c r="AC192" s="54" t="e">
        <f t="shared" si="123"/>
        <v>#DIV/0!</v>
      </c>
      <c r="AD192" s="54" t="e">
        <f t="shared" si="123"/>
        <v>#DIV/0!</v>
      </c>
      <c r="AE192" s="54" t="e">
        <f t="shared" si="123"/>
        <v>#DIV/0!</v>
      </c>
      <c r="AF192" s="54" t="e">
        <f t="shared" si="123"/>
        <v>#DIV/0!</v>
      </c>
      <c r="AG192" s="54" t="e">
        <f t="shared" si="123"/>
        <v>#DIV/0!</v>
      </c>
      <c r="AH192" s="54" t="e">
        <f t="shared" si="123"/>
        <v>#DIV/0!</v>
      </c>
      <c r="AI192" s="54" t="e">
        <f t="shared" si="123"/>
        <v>#DIV/0!</v>
      </c>
      <c r="AJ192" s="54" t="e">
        <f t="shared" si="123"/>
        <v>#DIV/0!</v>
      </c>
      <c r="AK192" s="54" t="e">
        <f t="shared" si="123"/>
        <v>#DIV/0!</v>
      </c>
    </row>
    <row r="193" spans="1:37" hidden="1">
      <c r="C193" s="249">
        <f t="shared" si="103"/>
        <v>8.9999999999999969E-2</v>
      </c>
      <c r="D193" s="211">
        <f t="shared" ref="D193:X193" si="124">D175/D$94</f>
        <v>0</v>
      </c>
      <c r="E193" s="54">
        <f t="shared" si="124"/>
        <v>0</v>
      </c>
      <c r="F193" s="54">
        <f t="shared" si="124"/>
        <v>0</v>
      </c>
      <c r="G193" s="54">
        <f t="shared" si="124"/>
        <v>0</v>
      </c>
      <c r="H193" s="54">
        <f t="shared" si="124"/>
        <v>0</v>
      </c>
      <c r="I193" s="54">
        <f t="shared" si="124"/>
        <v>0</v>
      </c>
      <c r="J193" s="54">
        <f t="shared" si="124"/>
        <v>0</v>
      </c>
      <c r="K193" s="54">
        <f t="shared" si="124"/>
        <v>0</v>
      </c>
      <c r="L193" s="54">
        <f t="shared" si="105"/>
        <v>0</v>
      </c>
      <c r="M193" s="54">
        <f t="shared" si="105"/>
        <v>0</v>
      </c>
      <c r="N193" s="54">
        <f t="shared" si="105"/>
        <v>0</v>
      </c>
      <c r="O193">
        <f t="shared" si="124"/>
        <v>0</v>
      </c>
      <c r="P193" s="215">
        <f t="shared" si="124"/>
        <v>0.18367346938775503</v>
      </c>
      <c r="Q193" s="211">
        <f t="shared" si="124"/>
        <v>56.90739741815235</v>
      </c>
      <c r="R193" s="54">
        <f t="shared" si="124"/>
        <v>63.324109530342788</v>
      </c>
      <c r="S193" s="54">
        <f t="shared" si="124"/>
        <v>253.78235504794969</v>
      </c>
      <c r="T193" s="54">
        <f t="shared" si="124"/>
        <v>282.5742946267124</v>
      </c>
      <c r="U193" s="54">
        <f t="shared" si="124"/>
        <v>313.95823707267044</v>
      </c>
      <c r="V193" s="54">
        <f t="shared" si="124"/>
        <v>348.16652649469643</v>
      </c>
      <c r="W193" s="54">
        <f t="shared" si="124"/>
        <v>385.55846483221603</v>
      </c>
      <c r="X193" s="54">
        <f t="shared" si="124"/>
        <v>426.21273145705004</v>
      </c>
      <c r="Z193" s="249">
        <f t="shared" si="106"/>
        <v>8.9999999999999969E-2</v>
      </c>
      <c r="AA193" s="211" t="e">
        <f t="shared" ref="AA193:AK193" si="125">AA175/AA$94</f>
        <v>#DIV/0!</v>
      </c>
      <c r="AB193" s="54" t="e">
        <f t="shared" si="125"/>
        <v>#DIV/0!</v>
      </c>
      <c r="AC193" s="54" t="e">
        <f t="shared" si="125"/>
        <v>#DIV/0!</v>
      </c>
      <c r="AD193" s="54" t="e">
        <f t="shared" si="125"/>
        <v>#DIV/0!</v>
      </c>
      <c r="AE193" s="54" t="e">
        <f t="shared" si="125"/>
        <v>#DIV/0!</v>
      </c>
      <c r="AF193" s="54" t="e">
        <f t="shared" si="125"/>
        <v>#DIV/0!</v>
      </c>
      <c r="AG193" s="54" t="e">
        <f t="shared" si="125"/>
        <v>#DIV/0!</v>
      </c>
      <c r="AH193" s="54" t="e">
        <f t="shared" si="125"/>
        <v>#DIV/0!</v>
      </c>
      <c r="AI193" s="54" t="e">
        <f t="shared" si="125"/>
        <v>#DIV/0!</v>
      </c>
      <c r="AJ193" s="54" t="e">
        <f t="shared" si="125"/>
        <v>#DIV/0!</v>
      </c>
      <c r="AK193" s="54" t="e">
        <f t="shared" si="125"/>
        <v>#DIV/0!</v>
      </c>
    </row>
    <row r="194" spans="1:37" hidden="1">
      <c r="C194" s="249">
        <f t="shared" si="103"/>
        <v>7.9999999999999974E-2</v>
      </c>
      <c r="D194" s="211">
        <f t="shared" ref="D194:X194" si="126">D176/D$94</f>
        <v>0</v>
      </c>
      <c r="E194" s="54">
        <f t="shared" si="126"/>
        <v>0</v>
      </c>
      <c r="F194" s="54">
        <f t="shared" si="126"/>
        <v>0</v>
      </c>
      <c r="G194" s="54">
        <f t="shared" si="126"/>
        <v>0</v>
      </c>
      <c r="H194" s="54">
        <f t="shared" si="126"/>
        <v>0</v>
      </c>
      <c r="I194" s="54">
        <f t="shared" si="126"/>
        <v>0</v>
      </c>
      <c r="J194" s="54">
        <f t="shared" si="126"/>
        <v>0</v>
      </c>
      <c r="K194" s="54">
        <f t="shared" si="126"/>
        <v>0</v>
      </c>
      <c r="L194" s="54">
        <f t="shared" si="105"/>
        <v>0</v>
      </c>
      <c r="M194" s="54">
        <f t="shared" si="105"/>
        <v>0</v>
      </c>
      <c r="N194" s="54">
        <f t="shared" si="105"/>
        <v>0</v>
      </c>
      <c r="O194">
        <f t="shared" si="126"/>
        <v>0</v>
      </c>
      <c r="P194" s="215">
        <f t="shared" si="126"/>
        <v>0.16326530612244894</v>
      </c>
      <c r="Q194" s="211">
        <f t="shared" si="126"/>
        <v>56.253278828989394</v>
      </c>
      <c r="R194" s="54">
        <f t="shared" si="126"/>
        <v>61.904704561880322</v>
      </c>
      <c r="S194" s="54">
        <f t="shared" si="126"/>
        <v>251.46968054220756</v>
      </c>
      <c r="T194" s="54">
        <f t="shared" si="126"/>
        <v>276.877668006031</v>
      </c>
      <c r="U194" s="54">
        <f t="shared" si="126"/>
        <v>304.31798629343444</v>
      </c>
      <c r="V194" s="54">
        <f t="shared" si="126"/>
        <v>333.95381679861043</v>
      </c>
      <c r="W194" s="54">
        <f t="shared" si="126"/>
        <v>366.05289941379408</v>
      </c>
      <c r="X194" s="54">
        <f t="shared" si="126"/>
        <v>400.62585881304784</v>
      </c>
      <c r="Z194" s="249">
        <f t="shared" si="106"/>
        <v>7.9999999999999974E-2</v>
      </c>
      <c r="AA194" s="211" t="e">
        <f t="shared" ref="AA194:AK194" si="127">AA176/AA$94</f>
        <v>#DIV/0!</v>
      </c>
      <c r="AB194" s="54" t="e">
        <f t="shared" si="127"/>
        <v>#DIV/0!</v>
      </c>
      <c r="AC194" s="54" t="e">
        <f t="shared" si="127"/>
        <v>#DIV/0!</v>
      </c>
      <c r="AD194" s="54" t="e">
        <f t="shared" si="127"/>
        <v>#DIV/0!</v>
      </c>
      <c r="AE194" s="54" t="e">
        <f t="shared" si="127"/>
        <v>#DIV/0!</v>
      </c>
      <c r="AF194" s="54" t="e">
        <f t="shared" si="127"/>
        <v>#DIV/0!</v>
      </c>
      <c r="AG194" s="54" t="e">
        <f t="shared" si="127"/>
        <v>#DIV/0!</v>
      </c>
      <c r="AH194" s="54" t="e">
        <f t="shared" si="127"/>
        <v>#DIV/0!</v>
      </c>
      <c r="AI194" s="54" t="e">
        <f t="shared" si="127"/>
        <v>#DIV/0!</v>
      </c>
      <c r="AJ194" s="54" t="e">
        <f t="shared" si="127"/>
        <v>#DIV/0!</v>
      </c>
      <c r="AK194" s="54" t="e">
        <f t="shared" si="127"/>
        <v>#DIV/0!</v>
      </c>
    </row>
    <row r="195" spans="1:37" hidden="1">
      <c r="C195" s="249">
        <f t="shared" si="103"/>
        <v>6.9999999999999979E-2</v>
      </c>
      <c r="D195" s="211">
        <f t="shared" ref="D195:X195" si="128">D177/D$94</f>
        <v>0</v>
      </c>
      <c r="E195" s="54">
        <f t="shared" si="128"/>
        <v>0</v>
      </c>
      <c r="F195" s="54">
        <f t="shared" si="128"/>
        <v>0</v>
      </c>
      <c r="G195" s="54">
        <f t="shared" si="128"/>
        <v>0</v>
      </c>
      <c r="H195" s="54">
        <f t="shared" si="128"/>
        <v>0</v>
      </c>
      <c r="I195" s="54">
        <f t="shared" si="128"/>
        <v>0</v>
      </c>
      <c r="J195" s="54">
        <f t="shared" si="128"/>
        <v>0</v>
      </c>
      <c r="K195" s="54">
        <f t="shared" si="128"/>
        <v>0</v>
      </c>
      <c r="L195" s="54">
        <f t="shared" si="105"/>
        <v>0</v>
      </c>
      <c r="M195" s="54">
        <f t="shared" si="105"/>
        <v>0</v>
      </c>
      <c r="N195" s="54">
        <f t="shared" si="105"/>
        <v>0</v>
      </c>
      <c r="O195">
        <f t="shared" si="128"/>
        <v>0</v>
      </c>
      <c r="P195" s="215">
        <f t="shared" si="128"/>
        <v>0.14285714285714282</v>
      </c>
      <c r="Q195" s="211">
        <f t="shared" si="128"/>
        <v>56.253278828989394</v>
      </c>
      <c r="R195" s="54">
        <f t="shared" si="128"/>
        <v>61.904704561880322</v>
      </c>
      <c r="S195" s="54">
        <f t="shared" si="128"/>
        <v>251.46968054220756</v>
      </c>
      <c r="T195" s="54">
        <f t="shared" si="128"/>
        <v>276.877668006031</v>
      </c>
      <c r="U195" s="54">
        <f t="shared" si="128"/>
        <v>304.31798629343444</v>
      </c>
      <c r="V195" s="54">
        <f t="shared" si="128"/>
        <v>333.95381679861043</v>
      </c>
      <c r="W195" s="54">
        <f t="shared" si="128"/>
        <v>366.05289941379408</v>
      </c>
      <c r="X195" s="54">
        <f t="shared" si="128"/>
        <v>400.62585881304784</v>
      </c>
      <c r="Z195" s="249">
        <f t="shared" si="106"/>
        <v>6.9999999999999979E-2</v>
      </c>
      <c r="AA195" s="211" t="e">
        <f t="shared" ref="AA195:AK195" si="129">AA177/AA$94</f>
        <v>#DIV/0!</v>
      </c>
      <c r="AB195" s="54" t="e">
        <f t="shared" si="129"/>
        <v>#DIV/0!</v>
      </c>
      <c r="AC195" s="54" t="e">
        <f t="shared" si="129"/>
        <v>#DIV/0!</v>
      </c>
      <c r="AD195" s="54" t="e">
        <f t="shared" si="129"/>
        <v>#DIV/0!</v>
      </c>
      <c r="AE195" s="54" t="e">
        <f t="shared" si="129"/>
        <v>#DIV/0!</v>
      </c>
      <c r="AF195" s="54" t="e">
        <f t="shared" si="129"/>
        <v>#DIV/0!</v>
      </c>
      <c r="AG195" s="54" t="e">
        <f t="shared" si="129"/>
        <v>#DIV/0!</v>
      </c>
      <c r="AH195" s="54" t="e">
        <f t="shared" si="129"/>
        <v>#DIV/0!</v>
      </c>
      <c r="AI195" s="54" t="e">
        <f t="shared" si="129"/>
        <v>#DIV/0!</v>
      </c>
      <c r="AJ195" s="54" t="e">
        <f t="shared" si="129"/>
        <v>#DIV/0!</v>
      </c>
      <c r="AK195" s="54" t="e">
        <f t="shared" si="129"/>
        <v>#DIV/0!</v>
      </c>
    </row>
    <row r="196" spans="1:37">
      <c r="P196" s="247"/>
    </row>
    <row r="197" spans="1:37" hidden="1">
      <c r="B197" s="2" t="s">
        <v>139</v>
      </c>
      <c r="C197" s="29">
        <v>46</v>
      </c>
      <c r="D197" s="29">
        <v>47.38</v>
      </c>
      <c r="E197" s="29">
        <v>48.801400000000001</v>
      </c>
      <c r="F197" s="29">
        <v>50.265442000000007</v>
      </c>
      <c r="G197" s="29">
        <v>51.773405260000004</v>
      </c>
      <c r="H197" s="29">
        <v>53.326607417800005</v>
      </c>
      <c r="I197" s="29">
        <v>54.926405640334011</v>
      </c>
      <c r="J197" s="29">
        <v>56.574197809544032</v>
      </c>
      <c r="K197" s="29">
        <v>58.271423743830354</v>
      </c>
      <c r="L197" s="29">
        <v>58.271423743830354</v>
      </c>
      <c r="M197" s="29">
        <v>58.271423743830354</v>
      </c>
      <c r="N197" s="29">
        <v>58.271423743830354</v>
      </c>
      <c r="P197" s="247"/>
      <c r="Z197" s="29">
        <v>46</v>
      </c>
      <c r="AA197" s="29">
        <v>47.38</v>
      </c>
      <c r="AB197" s="29">
        <v>48.801400000000001</v>
      </c>
      <c r="AC197" s="29">
        <v>50.265442000000007</v>
      </c>
      <c r="AD197" s="29">
        <v>51.773405260000004</v>
      </c>
      <c r="AE197" s="29">
        <v>53.326607417800005</v>
      </c>
      <c r="AF197" s="29">
        <v>54.926405640334011</v>
      </c>
      <c r="AG197" s="29">
        <v>56.574197809544032</v>
      </c>
      <c r="AH197" s="29">
        <v>58.271423743830354</v>
      </c>
      <c r="AI197" s="29">
        <v>58.271423743830354</v>
      </c>
      <c r="AJ197" s="29">
        <v>58.271423743830354</v>
      </c>
      <c r="AK197" s="29">
        <v>58.271423743830354</v>
      </c>
    </row>
    <row r="198" spans="1:37" hidden="1">
      <c r="B198" s="2" t="s">
        <v>161</v>
      </c>
      <c r="C198" s="98">
        <f>C197*7</f>
        <v>322</v>
      </c>
      <c r="D198" s="98">
        <f t="shared" ref="D198:K198" si="130">D197*7</f>
        <v>331.66</v>
      </c>
      <c r="E198" s="98">
        <f t="shared" si="130"/>
        <v>341.60980000000001</v>
      </c>
      <c r="F198" s="98">
        <f t="shared" si="130"/>
        <v>351.85809400000005</v>
      </c>
      <c r="G198" s="98">
        <f t="shared" si="130"/>
        <v>362.41383682000003</v>
      </c>
      <c r="H198" s="98">
        <f t="shared" si="130"/>
        <v>373.28625192460004</v>
      </c>
      <c r="I198" s="98">
        <f t="shared" si="130"/>
        <v>384.48483948233809</v>
      </c>
      <c r="J198" s="98">
        <f t="shared" si="130"/>
        <v>396.01938466680821</v>
      </c>
      <c r="K198" s="98">
        <f t="shared" si="130"/>
        <v>407.89996620681245</v>
      </c>
      <c r="L198" s="98">
        <f>L197*7</f>
        <v>407.89996620681245</v>
      </c>
      <c r="M198" s="98">
        <f>M197*7</f>
        <v>407.89996620681245</v>
      </c>
      <c r="N198" s="98">
        <f>N197*7</f>
        <v>407.89996620681245</v>
      </c>
      <c r="P198" s="247"/>
      <c r="Z198" s="98">
        <f>Z197*7</f>
        <v>322</v>
      </c>
      <c r="AA198" s="98">
        <f t="shared" ref="AA198:AH198" si="131">AA197*7</f>
        <v>331.66</v>
      </c>
      <c r="AB198" s="98">
        <f t="shared" si="131"/>
        <v>341.60980000000001</v>
      </c>
      <c r="AC198" s="98">
        <f t="shared" si="131"/>
        <v>351.85809400000005</v>
      </c>
      <c r="AD198" s="98">
        <f t="shared" si="131"/>
        <v>362.41383682000003</v>
      </c>
      <c r="AE198" s="98">
        <f t="shared" si="131"/>
        <v>373.28625192460004</v>
      </c>
      <c r="AF198" s="98">
        <f t="shared" si="131"/>
        <v>384.48483948233809</v>
      </c>
      <c r="AG198" s="98">
        <f t="shared" si="131"/>
        <v>396.01938466680821</v>
      </c>
      <c r="AH198" s="98">
        <f t="shared" si="131"/>
        <v>407.89996620681245</v>
      </c>
      <c r="AI198" s="98">
        <f>AI197*7</f>
        <v>407.89996620681245</v>
      </c>
      <c r="AJ198" s="98">
        <f>AJ197*7</f>
        <v>407.89996620681245</v>
      </c>
      <c r="AK198" s="98">
        <f>AK197*7</f>
        <v>407.89996620681245</v>
      </c>
    </row>
    <row r="199" spans="1:37" hidden="1">
      <c r="B199" s="2"/>
      <c r="P199" s="247"/>
    </row>
    <row r="200" spans="1:37" ht="20.25" hidden="1" thickBot="1">
      <c r="C200" s="66" t="s">
        <v>162</v>
      </c>
      <c r="P200" s="247"/>
      <c r="Z200" s="66" t="s">
        <v>162</v>
      </c>
    </row>
    <row r="201" spans="1:37" hidden="1">
      <c r="D201" s="248">
        <f>D181</f>
        <v>1</v>
      </c>
      <c r="E201" s="248">
        <f t="shared" ref="E201:K201" si="132">D201+1</f>
        <v>2</v>
      </c>
      <c r="F201" s="248">
        <f t="shared" si="132"/>
        <v>3</v>
      </c>
      <c r="G201" s="248">
        <f t="shared" si="132"/>
        <v>4</v>
      </c>
      <c r="H201" s="248">
        <f t="shared" si="132"/>
        <v>5</v>
      </c>
      <c r="I201" s="248">
        <f t="shared" si="132"/>
        <v>6</v>
      </c>
      <c r="J201" s="248">
        <f t="shared" si="132"/>
        <v>7</v>
      </c>
      <c r="K201" s="248">
        <f t="shared" si="132"/>
        <v>8</v>
      </c>
      <c r="L201" s="248">
        <f>K201+1</f>
        <v>9</v>
      </c>
      <c r="M201" s="248">
        <f>L201+1</f>
        <v>10</v>
      </c>
      <c r="N201" s="248">
        <f>M201+1</f>
        <v>11</v>
      </c>
      <c r="O201" s="251"/>
      <c r="P201" s="251"/>
      <c r="Q201" s="248">
        <v>2</v>
      </c>
      <c r="R201" s="248">
        <f t="shared" ref="R201:X201" si="133">Q201+1</f>
        <v>3</v>
      </c>
      <c r="S201" s="248">
        <f t="shared" si="133"/>
        <v>4</v>
      </c>
      <c r="T201" s="248">
        <f t="shared" si="133"/>
        <v>5</v>
      </c>
      <c r="U201" s="248">
        <f t="shared" si="133"/>
        <v>6</v>
      </c>
      <c r="V201" s="248">
        <f t="shared" si="133"/>
        <v>7</v>
      </c>
      <c r="W201" s="248">
        <f t="shared" si="133"/>
        <v>8</v>
      </c>
      <c r="X201" s="248">
        <f t="shared" si="133"/>
        <v>9</v>
      </c>
      <c r="AA201" s="248">
        <f>AA181</f>
        <v>1</v>
      </c>
      <c r="AB201" s="248">
        <f t="shared" ref="AB201:AK201" si="134">AA201+1</f>
        <v>2</v>
      </c>
      <c r="AC201" s="248">
        <f t="shared" si="134"/>
        <v>3</v>
      </c>
      <c r="AD201" s="248">
        <f t="shared" si="134"/>
        <v>4</v>
      </c>
      <c r="AE201" s="248">
        <f t="shared" si="134"/>
        <v>5</v>
      </c>
      <c r="AF201" s="248">
        <f t="shared" si="134"/>
        <v>6</v>
      </c>
      <c r="AG201" s="248">
        <f t="shared" si="134"/>
        <v>7</v>
      </c>
      <c r="AH201" s="248">
        <f t="shared" si="134"/>
        <v>8</v>
      </c>
      <c r="AI201" s="248">
        <f t="shared" si="134"/>
        <v>9</v>
      </c>
      <c r="AJ201" s="248">
        <f t="shared" si="134"/>
        <v>10</v>
      </c>
      <c r="AK201" s="248">
        <f t="shared" si="134"/>
        <v>11</v>
      </c>
    </row>
    <row r="202" spans="1:37" hidden="1">
      <c r="C202" s="215">
        <v>0.2</v>
      </c>
      <c r="D202" s="212"/>
      <c r="E202" s="213"/>
      <c r="F202" s="213"/>
      <c r="G202" s="213"/>
      <c r="H202" s="213"/>
      <c r="I202" s="213"/>
      <c r="J202" s="213"/>
      <c r="K202" s="213"/>
      <c r="L202" s="213"/>
      <c r="M202" s="213"/>
      <c r="N202" s="213"/>
      <c r="P202" s="215">
        <v>0.2</v>
      </c>
      <c r="Q202" s="212">
        <v>28.861903109895568</v>
      </c>
      <c r="R202" s="213">
        <v>33.547787640075825</v>
      </c>
      <c r="S202" s="213">
        <v>38.976902152318125</v>
      </c>
      <c r="T202" s="213">
        <v>45.312818795363278</v>
      </c>
      <c r="U202" s="213">
        <v>52.698438109420046</v>
      </c>
      <c r="V202" s="213">
        <v>61.409811645609864</v>
      </c>
      <c r="W202" s="213">
        <v>71.743163106378219</v>
      </c>
      <c r="X202" s="213">
        <v>83.931960481167522</v>
      </c>
      <c r="Z202" s="215">
        <v>0.2</v>
      </c>
      <c r="AA202" s="212"/>
      <c r="AB202" s="213"/>
      <c r="AC202" s="213"/>
      <c r="AD202" s="213"/>
      <c r="AE202" s="213"/>
      <c r="AF202" s="213"/>
      <c r="AG202" s="213"/>
      <c r="AH202" s="213"/>
      <c r="AI202" s="213"/>
      <c r="AJ202" s="213"/>
      <c r="AK202" s="213"/>
    </row>
    <row r="203" spans="1:37" hidden="1">
      <c r="C203" s="215">
        <f>C202-1%</f>
        <v>0.19</v>
      </c>
      <c r="D203" s="211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P203" s="215">
        <f>P202-1%</f>
        <v>0.19</v>
      </c>
      <c r="Q203" s="211">
        <v>28.616853569537309</v>
      </c>
      <c r="R203" s="54">
        <v>32.967526380214629</v>
      </c>
      <c r="S203" s="54">
        <v>37.949562868261495</v>
      </c>
      <c r="T203" s="54">
        <v>43.700601549840634</v>
      </c>
      <c r="U203" s="54">
        <v>50.326735092830134</v>
      </c>
      <c r="V203" s="54">
        <v>58.060246772091666</v>
      </c>
      <c r="W203" s="54">
        <v>67.139261241008995</v>
      </c>
      <c r="X203" s="54">
        <v>77.735775896172129</v>
      </c>
      <c r="Z203" s="215">
        <f>Z202-1%</f>
        <v>0.19</v>
      </c>
      <c r="AA203" s="211"/>
      <c r="AB203" s="54"/>
      <c r="AC203" s="54"/>
      <c r="AD203" s="54"/>
      <c r="AE203" s="54"/>
      <c r="AF203" s="54"/>
      <c r="AG203" s="54"/>
      <c r="AH203" s="54"/>
      <c r="AI203" s="54"/>
      <c r="AJ203" s="54"/>
      <c r="AK203" s="54"/>
    </row>
    <row r="204" spans="1:37" hidden="1">
      <c r="B204" s="407"/>
      <c r="C204" s="249">
        <f t="shared" ref="C204:C215" si="135">C203-1%</f>
        <v>0.18</v>
      </c>
      <c r="D204" s="252">
        <f>D184/D$111</f>
        <v>0</v>
      </c>
      <c r="E204" s="252">
        <f t="shared" ref="E204:X204" si="136">E184/E$111</f>
        <v>0</v>
      </c>
      <c r="F204" s="252">
        <f t="shared" si="136"/>
        <v>1.9379637498948021</v>
      </c>
      <c r="G204" s="252">
        <f t="shared" si="136"/>
        <v>2.2369022666741012</v>
      </c>
      <c r="H204" s="252">
        <f t="shared" si="136"/>
        <v>2.5759823027204725</v>
      </c>
      <c r="I204" s="254">
        <f t="shared" si="136"/>
        <v>2.9582264217235394</v>
      </c>
      <c r="J204" s="254">
        <f t="shared" si="136"/>
        <v>3.394515074554457</v>
      </c>
      <c r="K204" s="254">
        <f t="shared" si="136"/>
        <v>3.8864781935644679</v>
      </c>
      <c r="L204" s="254">
        <f t="shared" ref="L204:N215" si="137">L184/L$111</f>
        <v>4.580303964553031</v>
      </c>
      <c r="M204" s="254">
        <f t="shared" si="137"/>
        <v>5.399788422453887</v>
      </c>
      <c r="N204" s="254">
        <f t="shared" si="137"/>
        <v>6.1816722359387235</v>
      </c>
      <c r="O204" s="253" t="e">
        <f t="shared" si="136"/>
        <v>#DIV/0!</v>
      </c>
      <c r="P204" s="253" t="e">
        <f t="shared" si="136"/>
        <v>#DIV/0!</v>
      </c>
      <c r="Q204" s="253" t="e">
        <f t="shared" si="136"/>
        <v>#DIV/0!</v>
      </c>
      <c r="R204" s="253" t="e">
        <f t="shared" si="136"/>
        <v>#DIV/0!</v>
      </c>
      <c r="S204" s="253" t="e">
        <f t="shared" si="136"/>
        <v>#DIV/0!</v>
      </c>
      <c r="T204" s="253" t="e">
        <f t="shared" si="136"/>
        <v>#DIV/0!</v>
      </c>
      <c r="U204" s="253" t="e">
        <f t="shared" si="136"/>
        <v>#DIV/0!</v>
      </c>
      <c r="V204" s="253" t="e">
        <f t="shared" si="136"/>
        <v>#DIV/0!</v>
      </c>
      <c r="W204" s="253" t="e">
        <f t="shared" si="136"/>
        <v>#DIV/0!</v>
      </c>
      <c r="X204" s="253" t="e">
        <f t="shared" si="136"/>
        <v>#DIV/0!</v>
      </c>
      <c r="Z204" s="249">
        <f t="shared" ref="Z204:Z215" si="138">Z203-1%</f>
        <v>0.18</v>
      </c>
      <c r="AA204" s="252" t="e">
        <f>AA184/AA$111</f>
        <v>#DIV/0!</v>
      </c>
      <c r="AB204" s="252" t="e">
        <f t="shared" ref="AB204:AK204" si="139">AB184/AB$111</f>
        <v>#DIV/0!</v>
      </c>
      <c r="AC204" s="252" t="e">
        <f t="shared" si="139"/>
        <v>#DIV/0!</v>
      </c>
      <c r="AD204" s="252" t="e">
        <f t="shared" si="139"/>
        <v>#DIV/0!</v>
      </c>
      <c r="AE204" s="252" t="e">
        <f t="shared" si="139"/>
        <v>#DIV/0!</v>
      </c>
      <c r="AF204" s="254" t="e">
        <f t="shared" si="139"/>
        <v>#DIV/0!</v>
      </c>
      <c r="AG204" s="254" t="e">
        <f t="shared" si="139"/>
        <v>#DIV/0!</v>
      </c>
      <c r="AH204" s="254" t="e">
        <f t="shared" si="139"/>
        <v>#DIV/0!</v>
      </c>
      <c r="AI204" s="254" t="e">
        <f t="shared" si="139"/>
        <v>#DIV/0!</v>
      </c>
      <c r="AJ204" s="254" t="e">
        <f t="shared" si="139"/>
        <v>#DIV/0!</v>
      </c>
      <c r="AK204" s="254" t="e">
        <f t="shared" si="139"/>
        <v>#DIV/0!</v>
      </c>
    </row>
    <row r="205" spans="1:37" hidden="1">
      <c r="A205" s="1"/>
      <c r="B205" s="407"/>
      <c r="C205" s="249">
        <f t="shared" si="135"/>
        <v>0.16999999999999998</v>
      </c>
      <c r="D205" s="252">
        <f t="shared" ref="D205:K205" si="140">D185/D$111</f>
        <v>0</v>
      </c>
      <c r="E205" s="252">
        <f t="shared" si="140"/>
        <v>0</v>
      </c>
      <c r="F205" s="252">
        <f t="shared" si="140"/>
        <v>1.9021537043658197</v>
      </c>
      <c r="G205" s="252">
        <f t="shared" si="140"/>
        <v>2.1734537845682524</v>
      </c>
      <c r="H205" s="252">
        <f t="shared" si="140"/>
        <v>2.4783340198009718</v>
      </c>
      <c r="I205" s="254">
        <f t="shared" si="140"/>
        <v>2.8185689885811529</v>
      </c>
      <c r="J205" s="254">
        <f t="shared" si="140"/>
        <v>3.203355835409103</v>
      </c>
      <c r="K205" s="254">
        <f t="shared" si="140"/>
        <v>3.63284919524716</v>
      </c>
      <c r="L205" s="254">
        <f t="shared" si="137"/>
        <v>4.2411766479382011</v>
      </c>
      <c r="M205" s="254">
        <f t="shared" si="137"/>
        <v>4.9537226048549163</v>
      </c>
      <c r="N205" s="254">
        <f t="shared" si="137"/>
        <v>5.6186557830816914</v>
      </c>
      <c r="O205" s="407">
        <f t="shared" ref="O205:X205" si="141">O184/O$94</f>
        <v>0</v>
      </c>
      <c r="P205" s="215">
        <f t="shared" si="141"/>
        <v>0.74968763015410256</v>
      </c>
      <c r="Q205" s="211">
        <f t="shared" si="141"/>
        <v>128.15173165027392</v>
      </c>
      <c r="R205" s="54">
        <f t="shared" si="141"/>
        <v>156.50527421283311</v>
      </c>
      <c r="S205" s="54">
        <f t="shared" si="141"/>
        <v>564.43717030551556</v>
      </c>
      <c r="T205" s="54">
        <f t="shared" si="141"/>
        <v>690.32927323874844</v>
      </c>
      <c r="U205" s="54">
        <f t="shared" si="141"/>
        <v>838.88014692298532</v>
      </c>
      <c r="V205" s="54">
        <f t="shared" si="141"/>
        <v>1014.1730677723668</v>
      </c>
      <c r="W205" s="54">
        <f t="shared" si="141"/>
        <v>1221.6344514339323</v>
      </c>
      <c r="X205" s="54">
        <f t="shared" si="141"/>
        <v>1465.8180667531044</v>
      </c>
      <c r="Z205" s="249">
        <f t="shared" si="138"/>
        <v>0.16999999999999998</v>
      </c>
      <c r="AA205" s="252" t="e">
        <f t="shared" ref="AA205:AK205" si="142">AA185/AA$111</f>
        <v>#DIV/0!</v>
      </c>
      <c r="AB205" s="252" t="e">
        <f t="shared" si="142"/>
        <v>#DIV/0!</v>
      </c>
      <c r="AC205" s="252" t="e">
        <f t="shared" si="142"/>
        <v>#DIV/0!</v>
      </c>
      <c r="AD205" s="252" t="e">
        <f t="shared" si="142"/>
        <v>#DIV/0!</v>
      </c>
      <c r="AE205" s="252" t="e">
        <f t="shared" si="142"/>
        <v>#DIV/0!</v>
      </c>
      <c r="AF205" s="254" t="e">
        <f t="shared" si="142"/>
        <v>#DIV/0!</v>
      </c>
      <c r="AG205" s="254" t="e">
        <f t="shared" si="142"/>
        <v>#DIV/0!</v>
      </c>
      <c r="AH205" s="254" t="e">
        <f t="shared" si="142"/>
        <v>#DIV/0!</v>
      </c>
      <c r="AI205" s="254" t="e">
        <f t="shared" si="142"/>
        <v>#DIV/0!</v>
      </c>
      <c r="AJ205" s="254" t="e">
        <f t="shared" si="142"/>
        <v>#DIV/0!</v>
      </c>
      <c r="AK205" s="254" t="e">
        <f t="shared" si="142"/>
        <v>#DIV/0!</v>
      </c>
    </row>
    <row r="206" spans="1:37" hidden="1">
      <c r="B206" s="407"/>
      <c r="C206" s="249">
        <f t="shared" si="135"/>
        <v>0.15999999999999998</v>
      </c>
      <c r="D206" s="252">
        <f t="shared" ref="D206:K206" si="143">D186/D$111</f>
        <v>0</v>
      </c>
      <c r="E206" s="252">
        <f t="shared" si="143"/>
        <v>0</v>
      </c>
      <c r="F206" s="252">
        <f t="shared" si="143"/>
        <v>1.8666111863323436</v>
      </c>
      <c r="G206" s="252">
        <f t="shared" si="143"/>
        <v>2.1109932010901393</v>
      </c>
      <c r="H206" s="252">
        <f t="shared" si="143"/>
        <v>2.3830411752360274</v>
      </c>
      <c r="I206" s="254">
        <f t="shared" si="143"/>
        <v>2.683448807885024</v>
      </c>
      <c r="J206" s="254">
        <f t="shared" si="143"/>
        <v>3.0200252123897826</v>
      </c>
      <c r="K206" s="254">
        <f t="shared" si="143"/>
        <v>3.391786259055479</v>
      </c>
      <c r="L206" s="254">
        <f t="shared" si="137"/>
        <v>3.9216502707217469</v>
      </c>
      <c r="M206" s="254">
        <f t="shared" si="137"/>
        <v>4.5371317862002565</v>
      </c>
      <c r="N206" s="254">
        <f t="shared" si="137"/>
        <v>5.0976857509023557</v>
      </c>
      <c r="O206" s="407">
        <f t="shared" ref="O206:X206" si="144">O185/O$94</f>
        <v>0</v>
      </c>
      <c r="P206" s="215">
        <f t="shared" si="144"/>
        <v>0.70803831736776346</v>
      </c>
      <c r="Q206" s="211">
        <f t="shared" si="144"/>
        <v>126.81681777891691</v>
      </c>
      <c r="R206" s="54">
        <f t="shared" si="144"/>
        <v>153.36834188822095</v>
      </c>
      <c r="S206" s="54">
        <f t="shared" si="144"/>
        <v>558.90082224393484</v>
      </c>
      <c r="T206" s="54">
        <f t="shared" si="144"/>
        <v>676.85688069009814</v>
      </c>
      <c r="U206" s="54">
        <f t="shared" si="144"/>
        <v>814.86596358036547</v>
      </c>
      <c r="V206" s="54">
        <f t="shared" si="144"/>
        <v>976.33550528364276</v>
      </c>
      <c r="W206" s="54">
        <f t="shared" si="144"/>
        <v>1165.8185949855008</v>
      </c>
      <c r="X206" s="54">
        <f t="shared" si="144"/>
        <v>1386.9491961079318</v>
      </c>
      <c r="Z206" s="249">
        <f t="shared" si="138"/>
        <v>0.15999999999999998</v>
      </c>
      <c r="AA206" s="252" t="e">
        <f t="shared" ref="AA206:AK206" si="145">AA186/AA$111</f>
        <v>#DIV/0!</v>
      </c>
      <c r="AB206" s="252" t="e">
        <f t="shared" si="145"/>
        <v>#DIV/0!</v>
      </c>
      <c r="AC206" s="252" t="e">
        <f t="shared" si="145"/>
        <v>#DIV/0!</v>
      </c>
      <c r="AD206" s="252" t="e">
        <f t="shared" si="145"/>
        <v>#DIV/0!</v>
      </c>
      <c r="AE206" s="252" t="e">
        <f t="shared" si="145"/>
        <v>#DIV/0!</v>
      </c>
      <c r="AF206" s="254" t="e">
        <f t="shared" si="145"/>
        <v>#DIV/0!</v>
      </c>
      <c r="AG206" s="254" t="e">
        <f t="shared" si="145"/>
        <v>#DIV/0!</v>
      </c>
      <c r="AH206" s="254" t="e">
        <f t="shared" si="145"/>
        <v>#DIV/0!</v>
      </c>
      <c r="AI206" s="254" t="e">
        <f t="shared" si="145"/>
        <v>#DIV/0!</v>
      </c>
      <c r="AJ206" s="254" t="e">
        <f t="shared" si="145"/>
        <v>#DIV/0!</v>
      </c>
      <c r="AK206" s="254" t="e">
        <f t="shared" si="145"/>
        <v>#DIV/0!</v>
      </c>
    </row>
    <row r="207" spans="1:37" hidden="1">
      <c r="C207" s="249">
        <f t="shared" si="135"/>
        <v>0.14999999999999997</v>
      </c>
      <c r="D207" s="252">
        <f t="shared" ref="D207:K207" si="146">D187/D$111</f>
        <v>0</v>
      </c>
      <c r="E207" s="252">
        <f t="shared" si="146"/>
        <v>0</v>
      </c>
      <c r="F207" s="252">
        <f t="shared" si="146"/>
        <v>1.8313356347699596</v>
      </c>
      <c r="G207" s="252">
        <f t="shared" si="146"/>
        <v>2.0495184429661446</v>
      </c>
      <c r="H207" s="252">
        <f t="shared" si="146"/>
        <v>2.2900675742037362</v>
      </c>
      <c r="I207" s="254">
        <f t="shared" si="146"/>
        <v>2.5527750289601423</v>
      </c>
      <c r="J207" s="254">
        <f t="shared" si="146"/>
        <v>2.8442900758195129</v>
      </c>
      <c r="K207" s="254">
        <f t="shared" si="146"/>
        <v>3.1627162256401458</v>
      </c>
      <c r="L207" s="254">
        <f t="shared" si="137"/>
        <v>3.6208083880892277</v>
      </c>
      <c r="M207" s="254">
        <f t="shared" si="137"/>
        <v>4.1484376395326779</v>
      </c>
      <c r="N207" s="254">
        <f t="shared" si="137"/>
        <v>4.6159102797459317</v>
      </c>
      <c r="O207">
        <f t="shared" ref="O207:X207" si="147">O186/O$94</f>
        <v>0</v>
      </c>
      <c r="P207" s="215">
        <f t="shared" si="147"/>
        <v>0.66638900458142436</v>
      </c>
      <c r="Q207" s="211">
        <f t="shared" si="147"/>
        <v>125.4818581554279</v>
      </c>
      <c r="R207" s="54">
        <f t="shared" si="147"/>
        <v>150.25796969651483</v>
      </c>
      <c r="S207" s="54">
        <f t="shared" si="147"/>
        <v>553.45816234524511</v>
      </c>
      <c r="T207" s="54">
        <f t="shared" si="147"/>
        <v>663.60501516772717</v>
      </c>
      <c r="U207" s="54">
        <f t="shared" si="147"/>
        <v>791.37665980228394</v>
      </c>
      <c r="V207" s="54">
        <f t="shared" si="147"/>
        <v>939.59050247488551</v>
      </c>
      <c r="W207" s="54">
        <f t="shared" si="147"/>
        <v>1112.0232038894858</v>
      </c>
      <c r="X207" s="54">
        <f t="shared" si="147"/>
        <v>1311.5399281489754</v>
      </c>
      <c r="Z207" s="249">
        <f t="shared" si="138"/>
        <v>0.14999999999999997</v>
      </c>
      <c r="AA207" s="252" t="e">
        <f t="shared" ref="AA207:AK207" si="148">AA187/AA$111</f>
        <v>#DIV/0!</v>
      </c>
      <c r="AB207" s="252" t="e">
        <f t="shared" si="148"/>
        <v>#DIV/0!</v>
      </c>
      <c r="AC207" s="252" t="e">
        <f t="shared" si="148"/>
        <v>#DIV/0!</v>
      </c>
      <c r="AD207" s="252" t="e">
        <f t="shared" si="148"/>
        <v>#DIV/0!</v>
      </c>
      <c r="AE207" s="252" t="e">
        <f t="shared" si="148"/>
        <v>#DIV/0!</v>
      </c>
      <c r="AF207" s="254" t="e">
        <f t="shared" si="148"/>
        <v>#DIV/0!</v>
      </c>
      <c r="AG207" s="254" t="e">
        <f t="shared" si="148"/>
        <v>#DIV/0!</v>
      </c>
      <c r="AH207" s="254" t="e">
        <f t="shared" si="148"/>
        <v>#DIV/0!</v>
      </c>
      <c r="AI207" s="254" t="e">
        <f t="shared" si="148"/>
        <v>#DIV/0!</v>
      </c>
      <c r="AJ207" s="254" t="e">
        <f t="shared" si="148"/>
        <v>#DIV/0!</v>
      </c>
      <c r="AK207" s="254" t="e">
        <f t="shared" si="148"/>
        <v>#DIV/0!</v>
      </c>
    </row>
    <row r="208" spans="1:37" s="17" customFormat="1" hidden="1">
      <c r="A208"/>
      <c r="C208" s="249">
        <f t="shared" si="135"/>
        <v>0.13999999999999996</v>
      </c>
      <c r="D208" s="252">
        <f t="shared" ref="D208:K208" si="149">D188/D$111</f>
        <v>0</v>
      </c>
      <c r="E208" s="252">
        <f t="shared" si="149"/>
        <v>0</v>
      </c>
      <c r="F208" s="252">
        <f t="shared" si="149"/>
        <v>1.7963234395730123</v>
      </c>
      <c r="G208" s="252">
        <f t="shared" si="149"/>
        <v>1.9890295273775205</v>
      </c>
      <c r="H208" s="252">
        <f t="shared" si="149"/>
        <v>2.1993645020029144</v>
      </c>
      <c r="I208" s="254">
        <f t="shared" si="149"/>
        <v>2.4264089009670728</v>
      </c>
      <c r="J208" s="254">
        <f t="shared" si="149"/>
        <v>2.6759017938684395</v>
      </c>
      <c r="K208" s="254">
        <f t="shared" si="149"/>
        <v>2.9452102079848013</v>
      </c>
      <c r="L208" s="254">
        <f t="shared" si="137"/>
        <v>3.337699919468085</v>
      </c>
      <c r="M208" s="254">
        <f t="shared" si="137"/>
        <v>3.7859453868517026</v>
      </c>
      <c r="N208" s="254">
        <f t="shared" si="137"/>
        <v>4.170722927628395</v>
      </c>
      <c r="O208" s="17">
        <f t="shared" ref="O208:X208" si="150">O187/O$94</f>
        <v>0</v>
      </c>
      <c r="P208" s="215">
        <f t="shared" si="150"/>
        <v>0.62473969179508526</v>
      </c>
      <c r="Q208" s="211">
        <f t="shared" si="150"/>
        <v>124.14694976794206</v>
      </c>
      <c r="R208" s="54">
        <f t="shared" si="150"/>
        <v>147.17412185954763</v>
      </c>
      <c r="S208" s="54">
        <f t="shared" si="150"/>
        <v>548.10857584842688</v>
      </c>
      <c r="T208" s="54">
        <f t="shared" si="150"/>
        <v>650.56927022386344</v>
      </c>
      <c r="U208" s="54">
        <f t="shared" si="150"/>
        <v>768.39788841907477</v>
      </c>
      <c r="V208" s="54">
        <f t="shared" si="150"/>
        <v>903.90262215001962</v>
      </c>
      <c r="W208" s="54">
        <f t="shared" si="150"/>
        <v>1060.1904597386258</v>
      </c>
      <c r="X208" s="54">
        <f t="shared" si="150"/>
        <v>1239.4638407655309</v>
      </c>
      <c r="Y208"/>
      <c r="Z208" s="249">
        <f t="shared" si="138"/>
        <v>0.13999999999999996</v>
      </c>
      <c r="AA208" s="252" t="e">
        <f t="shared" ref="AA208:AK208" si="151">AA188/AA$111</f>
        <v>#DIV/0!</v>
      </c>
      <c r="AB208" s="252" t="e">
        <f t="shared" si="151"/>
        <v>#DIV/0!</v>
      </c>
      <c r="AC208" s="252" t="e">
        <f t="shared" si="151"/>
        <v>#DIV/0!</v>
      </c>
      <c r="AD208" s="252" t="e">
        <f t="shared" si="151"/>
        <v>#DIV/0!</v>
      </c>
      <c r="AE208" s="252" t="e">
        <f t="shared" si="151"/>
        <v>#DIV/0!</v>
      </c>
      <c r="AF208" s="254" t="e">
        <f t="shared" si="151"/>
        <v>#DIV/0!</v>
      </c>
      <c r="AG208" s="254" t="e">
        <f t="shared" si="151"/>
        <v>#DIV/0!</v>
      </c>
      <c r="AH208" s="254" t="e">
        <f t="shared" si="151"/>
        <v>#DIV/0!</v>
      </c>
      <c r="AI208" s="254" t="e">
        <f t="shared" si="151"/>
        <v>#DIV/0!</v>
      </c>
      <c r="AJ208" s="254" t="e">
        <f t="shared" si="151"/>
        <v>#DIV/0!</v>
      </c>
      <c r="AK208" s="254" t="e">
        <f t="shared" si="151"/>
        <v>#DIV/0!</v>
      </c>
    </row>
    <row r="209" spans="2:37" hidden="1">
      <c r="C209" s="249">
        <f t="shared" si="135"/>
        <v>0.12999999999999995</v>
      </c>
      <c r="D209" s="252">
        <f t="shared" ref="D209:K209" si="152">D189/D$111</f>
        <v>0</v>
      </c>
      <c r="E209" s="252">
        <f t="shared" si="152"/>
        <v>0</v>
      </c>
      <c r="F209" s="252">
        <f t="shared" si="152"/>
        <v>1.7615781485414033</v>
      </c>
      <c r="G209" s="252">
        <f t="shared" si="152"/>
        <v>1.9295070931838385</v>
      </c>
      <c r="H209" s="252">
        <f t="shared" si="152"/>
        <v>2.1109094220776998</v>
      </c>
      <c r="I209" s="254">
        <f t="shared" si="152"/>
        <v>2.3042760019726201</v>
      </c>
      <c r="J209" s="254">
        <f t="shared" si="152"/>
        <v>2.5145892652384108</v>
      </c>
      <c r="K209" s="254">
        <f t="shared" si="152"/>
        <v>2.7387382927603801</v>
      </c>
      <c r="L209" s="254">
        <f t="shared" si="137"/>
        <v>3.0714134218778995</v>
      </c>
      <c r="M209" s="254">
        <f t="shared" si="137"/>
        <v>3.4481440368200045</v>
      </c>
      <c r="N209" s="254">
        <f t="shared" si="137"/>
        <v>3.7597017910763544</v>
      </c>
      <c r="O209">
        <f t="shared" ref="O209:X209" si="153">O188/O$94</f>
        <v>0</v>
      </c>
      <c r="P209" s="215">
        <f t="shared" si="153"/>
        <v>0.58309037900874627</v>
      </c>
      <c r="Q209" s="211">
        <f t="shared" si="153"/>
        <v>122.81209507692003</v>
      </c>
      <c r="R209" s="54">
        <f t="shared" si="153"/>
        <v>144.11731427469871</v>
      </c>
      <c r="S209" s="54">
        <f t="shared" si="153"/>
        <v>542.85149414738135</v>
      </c>
      <c r="T209" s="54">
        <f t="shared" si="153"/>
        <v>637.7451068697651</v>
      </c>
      <c r="U209" s="54">
        <f t="shared" si="153"/>
        <v>745.92309222555184</v>
      </c>
      <c r="V209" s="54">
        <f t="shared" si="153"/>
        <v>869.24659660329417</v>
      </c>
      <c r="W209" s="54">
        <f t="shared" si="153"/>
        <v>1010.2481180147518</v>
      </c>
      <c r="X209" s="54">
        <f t="shared" si="153"/>
        <v>1170.5787579097666</v>
      </c>
      <c r="Z209" s="249">
        <f t="shared" si="138"/>
        <v>0.12999999999999995</v>
      </c>
      <c r="AA209" s="252" t="e">
        <f t="shared" ref="AA209:AK209" si="154">AA189/AA$111</f>
        <v>#DIV/0!</v>
      </c>
      <c r="AB209" s="252" t="e">
        <f t="shared" si="154"/>
        <v>#DIV/0!</v>
      </c>
      <c r="AC209" s="252" t="e">
        <f t="shared" si="154"/>
        <v>#DIV/0!</v>
      </c>
      <c r="AD209" s="252" t="e">
        <f t="shared" si="154"/>
        <v>#DIV/0!</v>
      </c>
      <c r="AE209" s="252" t="e">
        <f t="shared" si="154"/>
        <v>#DIV/0!</v>
      </c>
      <c r="AF209" s="254" t="e">
        <f t="shared" si="154"/>
        <v>#DIV/0!</v>
      </c>
      <c r="AG209" s="254" t="e">
        <f t="shared" si="154"/>
        <v>#DIV/0!</v>
      </c>
      <c r="AH209" s="254" t="e">
        <f t="shared" si="154"/>
        <v>#DIV/0!</v>
      </c>
      <c r="AI209" s="254" t="e">
        <f t="shared" si="154"/>
        <v>#DIV/0!</v>
      </c>
      <c r="AJ209" s="254" t="e">
        <f t="shared" si="154"/>
        <v>#DIV/0!</v>
      </c>
      <c r="AK209" s="254" t="e">
        <f t="shared" si="154"/>
        <v>#DIV/0!</v>
      </c>
    </row>
    <row r="210" spans="2:37" hidden="1">
      <c r="C210" s="249">
        <f t="shared" si="135"/>
        <v>0.11999999999999995</v>
      </c>
      <c r="D210" s="252">
        <f t="shared" ref="D210:K210" si="155">D190/D$111</f>
        <v>0</v>
      </c>
      <c r="E210" s="252">
        <f t="shared" si="155"/>
        <v>0</v>
      </c>
      <c r="F210" s="252">
        <f t="shared" si="155"/>
        <v>1.7270971885517876</v>
      </c>
      <c r="G210" s="252">
        <f t="shared" si="155"/>
        <v>1.8709450057571695</v>
      </c>
      <c r="H210" s="252">
        <f t="shared" si="155"/>
        <v>2.0246526393501822</v>
      </c>
      <c r="I210" s="254">
        <f t="shared" si="155"/>
        <v>2.1862559951876639</v>
      </c>
      <c r="J210" s="254">
        <f t="shared" si="155"/>
        <v>2.3601418900967519</v>
      </c>
      <c r="K210" s="254">
        <f t="shared" si="155"/>
        <v>2.5428447065874469</v>
      </c>
      <c r="L210" s="254">
        <f t="shared" si="137"/>
        <v>2.8211239909183958</v>
      </c>
      <c r="M210" s="254">
        <f t="shared" si="137"/>
        <v>3.1335807906187942</v>
      </c>
      <c r="N210" s="254">
        <f t="shared" si="137"/>
        <v>3.3805306728748641</v>
      </c>
      <c r="O210">
        <f t="shared" ref="O210:X210" si="156">O189/O$94</f>
        <v>0</v>
      </c>
      <c r="P210" s="215">
        <f t="shared" si="156"/>
        <v>0.54144106622240717</v>
      </c>
      <c r="Q210" s="211">
        <f t="shared" si="156"/>
        <v>121.47719042637776</v>
      </c>
      <c r="R210" s="54">
        <f t="shared" si="156"/>
        <v>141.0870713967681</v>
      </c>
      <c r="S210" s="54">
        <f t="shared" si="156"/>
        <v>537.68618178885129</v>
      </c>
      <c r="T210" s="54">
        <f t="shared" si="156"/>
        <v>625.12997665551666</v>
      </c>
      <c r="U210" s="54">
        <f t="shared" si="156"/>
        <v>723.94181390435574</v>
      </c>
      <c r="V210" s="54">
        <f t="shared" si="156"/>
        <v>835.59950177068413</v>
      </c>
      <c r="W210" s="54">
        <f t="shared" si="156"/>
        <v>962.13820732556462</v>
      </c>
      <c r="X210" s="54">
        <f t="shared" si="156"/>
        <v>1104.764801323661</v>
      </c>
      <c r="Z210" s="249">
        <f t="shared" si="138"/>
        <v>0.11999999999999995</v>
      </c>
      <c r="AA210" s="252" t="e">
        <f t="shared" ref="AA210:AK210" si="157">AA190/AA$111</f>
        <v>#DIV/0!</v>
      </c>
      <c r="AB210" s="252" t="e">
        <f t="shared" si="157"/>
        <v>#DIV/0!</v>
      </c>
      <c r="AC210" s="252" t="e">
        <f t="shared" si="157"/>
        <v>#DIV/0!</v>
      </c>
      <c r="AD210" s="252" t="e">
        <f t="shared" si="157"/>
        <v>#DIV/0!</v>
      </c>
      <c r="AE210" s="252" t="e">
        <f t="shared" si="157"/>
        <v>#DIV/0!</v>
      </c>
      <c r="AF210" s="254" t="e">
        <f t="shared" si="157"/>
        <v>#DIV/0!</v>
      </c>
      <c r="AG210" s="254" t="e">
        <f t="shared" si="157"/>
        <v>#DIV/0!</v>
      </c>
      <c r="AH210" s="254" t="e">
        <f t="shared" si="157"/>
        <v>#DIV/0!</v>
      </c>
      <c r="AI210" s="254" t="e">
        <f t="shared" si="157"/>
        <v>#DIV/0!</v>
      </c>
      <c r="AJ210" s="254" t="e">
        <f t="shared" si="157"/>
        <v>#DIV/0!</v>
      </c>
      <c r="AK210" s="254" t="e">
        <f t="shared" si="157"/>
        <v>#DIV/0!</v>
      </c>
    </row>
    <row r="211" spans="2:37" hidden="1">
      <c r="C211" s="249">
        <f t="shared" si="135"/>
        <v>0.10999999999999996</v>
      </c>
      <c r="D211" s="252">
        <f t="shared" ref="D211:K211" si="158">D191/D$111</f>
        <v>0</v>
      </c>
      <c r="E211" s="252">
        <f t="shared" si="158"/>
        <v>0</v>
      </c>
      <c r="F211" s="252">
        <f t="shared" si="158"/>
        <v>1.6928840983852933</v>
      </c>
      <c r="G211" s="252">
        <f t="shared" si="158"/>
        <v>1.8133442152821069</v>
      </c>
      <c r="H211" s="252">
        <f t="shared" si="158"/>
        <v>1.9405644501669259</v>
      </c>
      <c r="I211" s="254">
        <f t="shared" si="158"/>
        <v>2.0722384987982605</v>
      </c>
      <c r="J211" s="254">
        <f t="shared" si="158"/>
        <v>2.2123101270540428</v>
      </c>
      <c r="K211" s="254">
        <f t="shared" si="158"/>
        <v>2.3571085517694432</v>
      </c>
      <c r="L211" s="254">
        <f t="shared" si="137"/>
        <v>2.5859878933463376</v>
      </c>
      <c r="M211" s="254">
        <f t="shared" si="137"/>
        <v>2.8408581613941375</v>
      </c>
      <c r="N211" s="254">
        <f t="shared" si="137"/>
        <v>3.0310563062265508</v>
      </c>
      <c r="O211">
        <f t="shared" ref="O211:X211" si="159">O190/O$94</f>
        <v>0</v>
      </c>
      <c r="P211" s="215">
        <f t="shared" si="159"/>
        <v>0.49979175343606813</v>
      </c>
      <c r="Q211" s="211">
        <f t="shared" si="159"/>
        <v>120.14228596124508</v>
      </c>
      <c r="R211" s="54">
        <f t="shared" si="159"/>
        <v>138.08358078823008</v>
      </c>
      <c r="S211" s="54">
        <f t="shared" si="159"/>
        <v>532.61122035768096</v>
      </c>
      <c r="T211" s="54">
        <f t="shared" si="159"/>
        <v>612.7199813028019</v>
      </c>
      <c r="U211" s="54">
        <f t="shared" si="159"/>
        <v>702.44086116458516</v>
      </c>
      <c r="V211" s="54">
        <f t="shared" si="159"/>
        <v>802.93023152626745</v>
      </c>
      <c r="W211" s="54">
        <f t="shared" si="159"/>
        <v>915.8045768276678</v>
      </c>
      <c r="X211" s="54">
        <f t="shared" si="159"/>
        <v>1041.8921467861835</v>
      </c>
      <c r="Z211" s="249">
        <f t="shared" si="138"/>
        <v>0.10999999999999996</v>
      </c>
      <c r="AA211" s="252" t="e">
        <f t="shared" ref="AA211:AK211" si="160">AA191/AA$111</f>
        <v>#DIV/0!</v>
      </c>
      <c r="AB211" s="252" t="e">
        <f t="shared" si="160"/>
        <v>#DIV/0!</v>
      </c>
      <c r="AC211" s="252" t="e">
        <f t="shared" si="160"/>
        <v>#DIV/0!</v>
      </c>
      <c r="AD211" s="252" t="e">
        <f t="shared" si="160"/>
        <v>#DIV/0!</v>
      </c>
      <c r="AE211" s="252" t="e">
        <f t="shared" si="160"/>
        <v>#DIV/0!</v>
      </c>
      <c r="AF211" s="254" t="e">
        <f t="shared" si="160"/>
        <v>#DIV/0!</v>
      </c>
      <c r="AG211" s="254" t="e">
        <f t="shared" si="160"/>
        <v>#DIV/0!</v>
      </c>
      <c r="AH211" s="254" t="e">
        <f t="shared" si="160"/>
        <v>#DIV/0!</v>
      </c>
      <c r="AI211" s="254" t="e">
        <f t="shared" si="160"/>
        <v>#DIV/0!</v>
      </c>
      <c r="AJ211" s="254" t="e">
        <f t="shared" si="160"/>
        <v>#DIV/0!</v>
      </c>
      <c r="AK211" s="254" t="e">
        <f t="shared" si="160"/>
        <v>#DIV/0!</v>
      </c>
    </row>
    <row r="212" spans="2:37" hidden="1">
      <c r="C212" s="249">
        <f t="shared" si="135"/>
        <v>9.9999999999999964E-2</v>
      </c>
      <c r="D212" s="252">
        <f t="shared" ref="D212:K212" si="161">D192/D$111</f>
        <v>0</v>
      </c>
      <c r="E212" s="252">
        <f t="shared" si="161"/>
        <v>0</v>
      </c>
      <c r="F212" s="252">
        <f t="shared" si="161"/>
        <v>1.6306406880746975</v>
      </c>
      <c r="G212" s="252">
        <f t="shared" si="161"/>
        <v>1.7162756396660337</v>
      </c>
      <c r="H212" s="252">
        <f t="shared" si="161"/>
        <v>1.8055852321615695</v>
      </c>
      <c r="I212" s="254">
        <f t="shared" si="161"/>
        <v>1.8953543370465273</v>
      </c>
      <c r="J212" s="254">
        <f t="shared" si="161"/>
        <v>1.9896500384513252</v>
      </c>
      <c r="K212" s="254">
        <f t="shared" si="161"/>
        <v>2.0841780757852533</v>
      </c>
      <c r="L212" s="254">
        <f t="shared" si="137"/>
        <v>2.2485503699866514</v>
      </c>
      <c r="M212" s="254">
        <f t="shared" si="137"/>
        <v>2.4255642136011555</v>
      </c>
      <c r="N212" s="254">
        <f t="shared" si="137"/>
        <v>2.5415461062461944</v>
      </c>
      <c r="O212">
        <f t="shared" ref="O212:X212" si="162">O191/O$94</f>
        <v>0</v>
      </c>
      <c r="P212" s="215">
        <f t="shared" si="162"/>
        <v>0.45814244064972914</v>
      </c>
      <c r="Q212" s="211">
        <f t="shared" si="162"/>
        <v>118.8073937810683</v>
      </c>
      <c r="R212" s="54">
        <f t="shared" si="162"/>
        <v>135.10674035205011</v>
      </c>
      <c r="S212" s="54">
        <f t="shared" si="162"/>
        <v>527.62626631754893</v>
      </c>
      <c r="T212" s="54">
        <f t="shared" si="162"/>
        <v>600.51118097110748</v>
      </c>
      <c r="U212" s="54">
        <f t="shared" si="162"/>
        <v>681.41200981197551</v>
      </c>
      <c r="V212" s="54">
        <f t="shared" si="162"/>
        <v>771.21482364210476</v>
      </c>
      <c r="W212" s="54">
        <f t="shared" si="162"/>
        <v>871.17880262224503</v>
      </c>
      <c r="X212" s="54">
        <f t="shared" si="162"/>
        <v>981.85889787823817</v>
      </c>
      <c r="Z212" s="249">
        <f t="shared" si="138"/>
        <v>9.9999999999999964E-2</v>
      </c>
      <c r="AA212" s="252" t="e">
        <f t="shared" ref="AA212:AK212" si="163">AA192/AA$111</f>
        <v>#DIV/0!</v>
      </c>
      <c r="AB212" s="252" t="e">
        <f t="shared" si="163"/>
        <v>#DIV/0!</v>
      </c>
      <c r="AC212" s="252" t="e">
        <f t="shared" si="163"/>
        <v>#DIV/0!</v>
      </c>
      <c r="AD212" s="252" t="e">
        <f t="shared" si="163"/>
        <v>#DIV/0!</v>
      </c>
      <c r="AE212" s="252" t="e">
        <f t="shared" si="163"/>
        <v>#DIV/0!</v>
      </c>
      <c r="AF212" s="254" t="e">
        <f t="shared" si="163"/>
        <v>#DIV/0!</v>
      </c>
      <c r="AG212" s="254" t="e">
        <f t="shared" si="163"/>
        <v>#DIV/0!</v>
      </c>
      <c r="AH212" s="254" t="e">
        <f t="shared" si="163"/>
        <v>#DIV/0!</v>
      </c>
      <c r="AI212" s="254" t="e">
        <f t="shared" si="163"/>
        <v>#DIV/0!</v>
      </c>
      <c r="AJ212" s="254" t="e">
        <f t="shared" si="163"/>
        <v>#DIV/0!</v>
      </c>
      <c r="AK212" s="254" t="e">
        <f t="shared" si="163"/>
        <v>#DIV/0!</v>
      </c>
    </row>
    <row r="213" spans="2:37" hidden="1">
      <c r="C213" s="249">
        <f t="shared" si="135"/>
        <v>8.9999999999999969E-2</v>
      </c>
      <c r="D213" s="252">
        <f t="shared" ref="D213:K213" si="164">D193/D$111</f>
        <v>0</v>
      </c>
      <c r="E213" s="252">
        <f t="shared" si="164"/>
        <v>0</v>
      </c>
      <c r="F213" s="252">
        <f t="shared" si="164"/>
        <v>0</v>
      </c>
      <c r="G213" s="252">
        <f t="shared" si="164"/>
        <v>0</v>
      </c>
      <c r="H213" s="252">
        <f t="shared" si="164"/>
        <v>0</v>
      </c>
      <c r="I213" s="254">
        <f t="shared" si="164"/>
        <v>0</v>
      </c>
      <c r="J213" s="254">
        <f t="shared" si="164"/>
        <v>0</v>
      </c>
      <c r="K213" s="254">
        <f t="shared" si="164"/>
        <v>0</v>
      </c>
      <c r="L213" s="254">
        <f t="shared" si="137"/>
        <v>0</v>
      </c>
      <c r="M213" s="254">
        <f t="shared" si="137"/>
        <v>0</v>
      </c>
      <c r="N213" s="254">
        <f t="shared" si="137"/>
        <v>0</v>
      </c>
      <c r="O213">
        <f t="shared" ref="O213:X213" si="165">O192/O$94</f>
        <v>0</v>
      </c>
      <c r="P213" s="215">
        <f t="shared" si="165"/>
        <v>0.4164931278633901</v>
      </c>
      <c r="Q213" s="211">
        <f t="shared" si="165"/>
        <v>117.47242872101755</v>
      </c>
      <c r="R213" s="54">
        <f t="shared" si="165"/>
        <v>132.15637533318656</v>
      </c>
      <c r="S213" s="54">
        <f t="shared" si="165"/>
        <v>522.73039474381881</v>
      </c>
      <c r="T213" s="54">
        <f t="shared" si="165"/>
        <v>588.49963569390309</v>
      </c>
      <c r="U213" s="54">
        <f t="shared" si="165"/>
        <v>660.84545070191484</v>
      </c>
      <c r="V213" s="54">
        <f t="shared" si="165"/>
        <v>740.42743399216715</v>
      </c>
      <c r="W213" s="54">
        <f t="shared" si="165"/>
        <v>828.21863766755314</v>
      </c>
      <c r="X213" s="54">
        <f t="shared" si="165"/>
        <v>924.53220065214396</v>
      </c>
      <c r="Z213" s="249">
        <f t="shared" si="138"/>
        <v>8.9999999999999969E-2</v>
      </c>
      <c r="AA213" s="252" t="e">
        <f t="shared" ref="AA213:AK213" si="166">AA193/AA$111</f>
        <v>#DIV/0!</v>
      </c>
      <c r="AB213" s="252" t="e">
        <f t="shared" si="166"/>
        <v>#DIV/0!</v>
      </c>
      <c r="AC213" s="252" t="e">
        <f t="shared" si="166"/>
        <v>#DIV/0!</v>
      </c>
      <c r="AD213" s="252" t="e">
        <f t="shared" si="166"/>
        <v>#DIV/0!</v>
      </c>
      <c r="AE213" s="252" t="e">
        <f t="shared" si="166"/>
        <v>#DIV/0!</v>
      </c>
      <c r="AF213" s="254" t="e">
        <f t="shared" si="166"/>
        <v>#DIV/0!</v>
      </c>
      <c r="AG213" s="254" t="e">
        <f t="shared" si="166"/>
        <v>#DIV/0!</v>
      </c>
      <c r="AH213" s="254" t="e">
        <f t="shared" si="166"/>
        <v>#DIV/0!</v>
      </c>
      <c r="AI213" s="254" t="e">
        <f t="shared" si="166"/>
        <v>#DIV/0!</v>
      </c>
      <c r="AJ213" s="254" t="e">
        <f t="shared" si="166"/>
        <v>#DIV/0!</v>
      </c>
      <c r="AK213" s="254" t="e">
        <f t="shared" si="166"/>
        <v>#DIV/0!</v>
      </c>
    </row>
    <row r="214" spans="2:37" hidden="1">
      <c r="C214" s="249">
        <f t="shared" si="135"/>
        <v>7.9999999999999974E-2</v>
      </c>
      <c r="D214" s="252">
        <f t="shared" ref="D214:K214" si="167">D194/D$111</f>
        <v>0</v>
      </c>
      <c r="E214" s="252">
        <f t="shared" si="167"/>
        <v>0</v>
      </c>
      <c r="F214" s="252">
        <f t="shared" si="167"/>
        <v>0</v>
      </c>
      <c r="G214" s="252">
        <f t="shared" si="167"/>
        <v>0</v>
      </c>
      <c r="H214" s="252">
        <f t="shared" si="167"/>
        <v>0</v>
      </c>
      <c r="I214" s="254">
        <f t="shared" si="167"/>
        <v>0</v>
      </c>
      <c r="J214" s="254">
        <f t="shared" si="167"/>
        <v>0</v>
      </c>
      <c r="K214" s="254">
        <f t="shared" si="167"/>
        <v>0</v>
      </c>
      <c r="L214" s="254">
        <f t="shared" si="137"/>
        <v>0</v>
      </c>
      <c r="M214" s="254">
        <f t="shared" si="137"/>
        <v>0</v>
      </c>
      <c r="N214" s="254">
        <f t="shared" si="137"/>
        <v>0</v>
      </c>
      <c r="O214">
        <f t="shared" ref="O214:X214" si="168">O193/O$94</f>
        <v>0</v>
      </c>
      <c r="P214" s="215">
        <f t="shared" si="168"/>
        <v>0.37484381507705111</v>
      </c>
      <c r="Q214" s="211">
        <f t="shared" si="168"/>
        <v>116.13754575133133</v>
      </c>
      <c r="R214" s="54">
        <f t="shared" si="168"/>
        <v>129.23287659253631</v>
      </c>
      <c r="S214" s="54">
        <f t="shared" si="168"/>
        <v>517.92317356724425</v>
      </c>
      <c r="T214" s="54">
        <f t="shared" si="168"/>
        <v>576.68223393206608</v>
      </c>
      <c r="U214" s="54">
        <f t="shared" si="168"/>
        <v>640.73109606667435</v>
      </c>
      <c r="V214" s="54">
        <f t="shared" si="168"/>
        <v>710.54393162182942</v>
      </c>
      <c r="W214" s="54">
        <f t="shared" si="168"/>
        <v>786.85400986166542</v>
      </c>
      <c r="X214" s="54">
        <f t="shared" si="168"/>
        <v>869.82190093275517</v>
      </c>
      <c r="Z214" s="249">
        <f t="shared" si="138"/>
        <v>7.9999999999999974E-2</v>
      </c>
      <c r="AA214" s="252" t="e">
        <f t="shared" ref="AA214:AK214" si="169">AA194/AA$111</f>
        <v>#DIV/0!</v>
      </c>
      <c r="AB214" s="252" t="e">
        <f t="shared" si="169"/>
        <v>#DIV/0!</v>
      </c>
      <c r="AC214" s="252" t="e">
        <f t="shared" si="169"/>
        <v>#DIV/0!</v>
      </c>
      <c r="AD214" s="252" t="e">
        <f t="shared" si="169"/>
        <v>#DIV/0!</v>
      </c>
      <c r="AE214" s="252" t="e">
        <f t="shared" si="169"/>
        <v>#DIV/0!</v>
      </c>
      <c r="AF214" s="254" t="e">
        <f t="shared" si="169"/>
        <v>#DIV/0!</v>
      </c>
      <c r="AG214" s="254" t="e">
        <f t="shared" si="169"/>
        <v>#DIV/0!</v>
      </c>
      <c r="AH214" s="254" t="e">
        <f t="shared" si="169"/>
        <v>#DIV/0!</v>
      </c>
      <c r="AI214" s="254" t="e">
        <f t="shared" si="169"/>
        <v>#DIV/0!</v>
      </c>
      <c r="AJ214" s="254" t="e">
        <f t="shared" si="169"/>
        <v>#DIV/0!</v>
      </c>
      <c r="AK214" s="254" t="e">
        <f t="shared" si="169"/>
        <v>#DIV/0!</v>
      </c>
    </row>
    <row r="215" spans="2:37" hidden="1">
      <c r="C215" s="249">
        <f t="shared" si="135"/>
        <v>6.9999999999999979E-2</v>
      </c>
      <c r="D215" s="252">
        <f t="shared" ref="D215:K215" si="170">D195/D$111</f>
        <v>0</v>
      </c>
      <c r="E215" s="252">
        <f t="shared" si="170"/>
        <v>0</v>
      </c>
      <c r="F215" s="252">
        <f t="shared" si="170"/>
        <v>0</v>
      </c>
      <c r="G215" s="252">
        <f t="shared" si="170"/>
        <v>0</v>
      </c>
      <c r="H215" s="252">
        <f t="shared" si="170"/>
        <v>0</v>
      </c>
      <c r="I215" s="254">
        <f t="shared" si="170"/>
        <v>0</v>
      </c>
      <c r="J215" s="254">
        <f t="shared" si="170"/>
        <v>0</v>
      </c>
      <c r="K215" s="254">
        <f t="shared" si="170"/>
        <v>0</v>
      </c>
      <c r="L215" s="254">
        <f t="shared" si="137"/>
        <v>0</v>
      </c>
      <c r="M215" s="254">
        <f t="shared" si="137"/>
        <v>0</v>
      </c>
      <c r="N215" s="254">
        <f t="shared" si="137"/>
        <v>0</v>
      </c>
      <c r="O215">
        <f t="shared" ref="O215:X215" si="171">O194/O$94</f>
        <v>0</v>
      </c>
      <c r="P215" s="215">
        <f t="shared" si="171"/>
        <v>0.33319450229071212</v>
      </c>
      <c r="Q215" s="211">
        <f t="shared" si="171"/>
        <v>114.80260985508041</v>
      </c>
      <c r="R215" s="54">
        <f t="shared" si="171"/>
        <v>126.33613175893943</v>
      </c>
      <c r="S215" s="54">
        <f t="shared" si="171"/>
        <v>513.20342967797467</v>
      </c>
      <c r="T215" s="54">
        <f t="shared" si="171"/>
        <v>565.05646531843058</v>
      </c>
      <c r="U215" s="54">
        <f t="shared" si="171"/>
        <v>621.05711488456006</v>
      </c>
      <c r="V215" s="54">
        <f t="shared" si="171"/>
        <v>681.53840162981726</v>
      </c>
      <c r="W215" s="54">
        <f t="shared" si="171"/>
        <v>747.04673349753898</v>
      </c>
      <c r="X215" s="54">
        <f t="shared" si="171"/>
        <v>817.60379349601601</v>
      </c>
      <c r="Z215" s="249">
        <f t="shared" si="138"/>
        <v>6.9999999999999979E-2</v>
      </c>
      <c r="AA215" s="252" t="e">
        <f t="shared" ref="AA215:AK215" si="172">AA195/AA$111</f>
        <v>#DIV/0!</v>
      </c>
      <c r="AB215" s="252" t="e">
        <f t="shared" si="172"/>
        <v>#DIV/0!</v>
      </c>
      <c r="AC215" s="252" t="e">
        <f t="shared" si="172"/>
        <v>#DIV/0!</v>
      </c>
      <c r="AD215" s="252" t="e">
        <f t="shared" si="172"/>
        <v>#DIV/0!</v>
      </c>
      <c r="AE215" s="252" t="e">
        <f t="shared" si="172"/>
        <v>#DIV/0!</v>
      </c>
      <c r="AF215" s="254" t="e">
        <f t="shared" si="172"/>
        <v>#DIV/0!</v>
      </c>
      <c r="AG215" s="254" t="e">
        <f t="shared" si="172"/>
        <v>#DIV/0!</v>
      </c>
      <c r="AH215" s="254" t="e">
        <f t="shared" si="172"/>
        <v>#DIV/0!</v>
      </c>
      <c r="AI215" s="254" t="e">
        <f t="shared" si="172"/>
        <v>#DIV/0!</v>
      </c>
      <c r="AJ215" s="254" t="e">
        <f t="shared" si="172"/>
        <v>#DIV/0!</v>
      </c>
      <c r="AK215" s="254" t="e">
        <f t="shared" si="172"/>
        <v>#DIV/0!</v>
      </c>
    </row>
    <row r="216" spans="2:37">
      <c r="P216" s="247"/>
    </row>
    <row r="217" spans="2:37" ht="20.25" thickBot="1">
      <c r="C217" s="66" t="s">
        <v>168</v>
      </c>
      <c r="D217" s="203"/>
      <c r="E217" s="203"/>
      <c r="F217" s="203"/>
      <c r="G217" s="203"/>
      <c r="H217" s="203"/>
      <c r="I217" s="203"/>
      <c r="J217" s="203"/>
      <c r="K217" s="203"/>
      <c r="L217" s="203"/>
      <c r="M217" s="203"/>
      <c r="N217" s="203"/>
      <c r="O217" s="203">
        <f>N176/49%</f>
        <v>0</v>
      </c>
      <c r="P217" s="203">
        <f>N175/49%</f>
        <v>0</v>
      </c>
      <c r="Q217" s="203">
        <f>N177/49%</f>
        <v>0</v>
      </c>
      <c r="R217" s="203"/>
      <c r="S217" s="203"/>
      <c r="T217" s="203"/>
      <c r="U217" s="203"/>
      <c r="V217" s="203"/>
      <c r="W217" s="203"/>
      <c r="X217" s="203"/>
      <c r="Z217" s="66" t="s">
        <v>168</v>
      </c>
      <c r="AA217" s="203"/>
      <c r="AB217" s="203"/>
      <c r="AC217" s="203"/>
      <c r="AD217" s="203"/>
      <c r="AE217" s="203"/>
      <c r="AF217" s="203"/>
      <c r="AG217" s="203"/>
      <c r="AH217" s="203"/>
      <c r="AI217" s="203"/>
      <c r="AJ217" s="203"/>
      <c r="AK217" s="203"/>
    </row>
    <row r="218" spans="2:37" ht="15.75" thickTop="1">
      <c r="C218" s="407"/>
      <c r="D218" s="217">
        <f>D201</f>
        <v>1</v>
      </c>
      <c r="E218" s="304">
        <f t="shared" ref="E218:K218" si="173">D218+1</f>
        <v>2</v>
      </c>
      <c r="F218" s="304">
        <f t="shared" si="173"/>
        <v>3</v>
      </c>
      <c r="G218" s="217">
        <f t="shared" si="173"/>
        <v>4</v>
      </c>
      <c r="H218" s="217">
        <f t="shared" si="173"/>
        <v>5</v>
      </c>
      <c r="I218" s="217">
        <f t="shared" si="173"/>
        <v>6</v>
      </c>
      <c r="J218" s="217">
        <f t="shared" si="173"/>
        <v>7</v>
      </c>
      <c r="K218" s="217">
        <f t="shared" si="173"/>
        <v>8</v>
      </c>
      <c r="L218" s="217">
        <f>K218+1</f>
        <v>9</v>
      </c>
      <c r="M218" s="217">
        <f>L218+1</f>
        <v>10</v>
      </c>
      <c r="N218" s="217">
        <f>M218+1</f>
        <v>11</v>
      </c>
      <c r="P218" s="407"/>
      <c r="Q218" s="217">
        <v>2</v>
      </c>
      <c r="R218" s="217">
        <f t="shared" ref="R218:X218" si="174">Q218+1</f>
        <v>3</v>
      </c>
      <c r="S218" s="217">
        <f t="shared" si="174"/>
        <v>4</v>
      </c>
      <c r="T218" s="217">
        <f t="shared" si="174"/>
        <v>5</v>
      </c>
      <c r="U218" s="217">
        <f t="shared" si="174"/>
        <v>6</v>
      </c>
      <c r="V218" s="217">
        <f t="shared" si="174"/>
        <v>7</v>
      </c>
      <c r="W218" s="217">
        <f t="shared" si="174"/>
        <v>8</v>
      </c>
      <c r="X218" s="217">
        <f t="shared" si="174"/>
        <v>9</v>
      </c>
      <c r="Z218" s="407"/>
      <c r="AA218" s="217">
        <f>AA201</f>
        <v>1</v>
      </c>
      <c r="AB218" s="217">
        <f t="shared" ref="AB218:AK218" si="175">AA218+1</f>
        <v>2</v>
      </c>
      <c r="AC218" s="217">
        <f t="shared" si="175"/>
        <v>3</v>
      </c>
      <c r="AD218" s="217">
        <f t="shared" si="175"/>
        <v>4</v>
      </c>
      <c r="AE218" s="217">
        <f t="shared" si="175"/>
        <v>5</v>
      </c>
      <c r="AF218" s="217">
        <f t="shared" si="175"/>
        <v>6</v>
      </c>
      <c r="AG218" s="217">
        <f t="shared" si="175"/>
        <v>7</v>
      </c>
      <c r="AH218" s="217">
        <f t="shared" si="175"/>
        <v>8</v>
      </c>
      <c r="AI218" s="217">
        <f t="shared" si="175"/>
        <v>9</v>
      </c>
      <c r="AJ218" s="217">
        <f t="shared" si="175"/>
        <v>10</v>
      </c>
      <c r="AK218" s="217">
        <f t="shared" si="175"/>
        <v>11</v>
      </c>
    </row>
    <row r="219" spans="2:37">
      <c r="C219" s="407"/>
      <c r="D219" s="206">
        <f>SUM('Call Rights'!$J$59:L59)</f>
        <v>-25.80830186055363</v>
      </c>
      <c r="E219" s="206">
        <f>SUM('Call Rights'!$J$59:M59)</f>
        <v>-35.645598202391938</v>
      </c>
      <c r="F219" s="206">
        <f>SUM('Call Rights'!$J$59:N59)</f>
        <v>-35.645598202391938</v>
      </c>
      <c r="G219" s="206">
        <f>SUM('Call Rights'!$J$59:O59)</f>
        <v>-35.645598202391938</v>
      </c>
      <c r="H219" s="206">
        <f>SUM('Call Rights'!$J$59:P59)</f>
        <v>-35.645598202391938</v>
      </c>
      <c r="I219" s="206">
        <f>SUM('Call Rights'!$J$59:Q59)</f>
        <v>-35.645598202391938</v>
      </c>
      <c r="J219" s="206">
        <f>SUM('Call Rights'!$J$59:R59)</f>
        <v>-35.645598202391938</v>
      </c>
      <c r="K219" s="206">
        <f>SUM('Call Rights'!$J$59:S59)</f>
        <v>-35.645598202391938</v>
      </c>
      <c r="L219" s="206">
        <f>SUM('Call Rights'!$J$59:T59)</f>
        <v>-35.645598202391938</v>
      </c>
      <c r="M219" s="206">
        <f>SUM('Call Rights'!$J$59:U59)</f>
        <v>-35.645598202391938</v>
      </c>
      <c r="N219" s="206">
        <f>SUM('Call Rights'!$J$59:V59)</f>
        <v>-35.645598202391938</v>
      </c>
      <c r="P219" s="407"/>
      <c r="Q219" s="206">
        <f t="shared" ref="Q219:X219" si="176">D219</f>
        <v>-25.80830186055363</v>
      </c>
      <c r="R219" s="206">
        <f t="shared" si="176"/>
        <v>-35.645598202391938</v>
      </c>
      <c r="S219" s="206">
        <f t="shared" si="176"/>
        <v>-35.645598202391938</v>
      </c>
      <c r="T219" s="206">
        <f t="shared" si="176"/>
        <v>-35.645598202391938</v>
      </c>
      <c r="U219" s="206">
        <f t="shared" si="176"/>
        <v>-35.645598202391938</v>
      </c>
      <c r="V219" s="206">
        <f t="shared" si="176"/>
        <v>-35.645598202391938</v>
      </c>
      <c r="W219" s="206">
        <f t="shared" si="176"/>
        <v>-35.645598202391938</v>
      </c>
      <c r="X219" s="206">
        <f t="shared" si="176"/>
        <v>-35.645598202391938</v>
      </c>
      <c r="Z219" s="407"/>
      <c r="AA219" s="206">
        <f>SUM('Call Rights'!$J$59:AI59)</f>
        <v>-35.645598202391938</v>
      </c>
      <c r="AB219" s="206">
        <f>SUM('Call Rights'!$J$59:AJ59)</f>
        <v>-35.645598202391938</v>
      </c>
      <c r="AC219" s="206">
        <f>SUM('Call Rights'!$J$59:AK59)</f>
        <v>-35.645598202391938</v>
      </c>
      <c r="AD219" s="206">
        <f>SUM('Call Rights'!$J$59:AL59)</f>
        <v>-35.645598202391938</v>
      </c>
      <c r="AE219" s="206">
        <f>SUM('Call Rights'!$J$59:AM59)</f>
        <v>-35.645598202391938</v>
      </c>
      <c r="AF219" s="206">
        <f>SUM('Call Rights'!$J$59:AN59)</f>
        <v>-35.645598202391938</v>
      </c>
      <c r="AG219" s="206">
        <v>-110</v>
      </c>
      <c r="AH219" s="206">
        <v>-110</v>
      </c>
      <c r="AI219" s="206">
        <v>-110</v>
      </c>
      <c r="AJ219" s="206">
        <v>-110</v>
      </c>
      <c r="AK219" s="206">
        <v>-110</v>
      </c>
    </row>
    <row r="220" spans="2:37" hidden="1">
      <c r="C220" s="218">
        <v>0.2</v>
      </c>
      <c r="D220" s="225">
        <f t="shared" ref="D220:K220" si="177">(D164+D$57)/-D$57/(D$24-1)</f>
        <v>-1</v>
      </c>
      <c r="E220" s="225">
        <f t="shared" si="177"/>
        <v>-0.5</v>
      </c>
      <c r="F220" s="225">
        <f t="shared" si="177"/>
        <v>-0.33333333333333331</v>
      </c>
      <c r="G220" s="225">
        <f t="shared" si="177"/>
        <v>-0.25</v>
      </c>
      <c r="H220" s="225">
        <f t="shared" si="177"/>
        <v>-0.2</v>
      </c>
      <c r="I220" s="225" t="e">
        <f t="shared" si="177"/>
        <v>#DIV/0!</v>
      </c>
      <c r="J220" s="225" t="e">
        <f t="shared" si="177"/>
        <v>#DIV/0!</v>
      </c>
      <c r="K220" s="225" t="e">
        <f t="shared" si="177"/>
        <v>#DIV/0!</v>
      </c>
      <c r="L220" s="225" t="e">
        <f t="shared" ref="L220:N221" si="178">(L164+L$57)/-L$57/(L$24-1)</f>
        <v>#DIV/0!</v>
      </c>
      <c r="M220" s="225" t="e">
        <f t="shared" si="178"/>
        <v>#DIV/0!</v>
      </c>
      <c r="N220" s="225" t="e">
        <f t="shared" si="178"/>
        <v>#DIV/0!</v>
      </c>
      <c r="P220" s="218">
        <v>0.2</v>
      </c>
      <c r="Q220" s="225">
        <f t="shared" ref="Q220:X220" si="179">(Q164+Q$57)/-Q$57/(Q$24-1)</f>
        <v>0.11831856531441054</v>
      </c>
      <c r="R220" s="225">
        <f t="shared" si="179"/>
        <v>0.1499417865875072</v>
      </c>
      <c r="S220" s="225">
        <f t="shared" si="179"/>
        <v>0.17008222603352649</v>
      </c>
      <c r="T220" s="225">
        <f t="shared" si="179"/>
        <v>0.18893646161025687</v>
      </c>
      <c r="U220" s="225" t="e">
        <f t="shared" si="179"/>
        <v>#DIV/0!</v>
      </c>
      <c r="V220" s="225" t="e">
        <f t="shared" si="179"/>
        <v>#DIV/0!</v>
      </c>
      <c r="W220" s="225" t="e">
        <f t="shared" si="179"/>
        <v>#DIV/0!</v>
      </c>
      <c r="X220" s="225" t="e">
        <f t="shared" si="179"/>
        <v>#DIV/0!</v>
      </c>
      <c r="Z220" s="218">
        <v>0.2</v>
      </c>
      <c r="AA220" s="225" t="e">
        <f t="shared" ref="AA220:AK220" si="180">(AA164+AA$57)/-AA$57/(AA$24-1)</f>
        <v>#DIV/0!</v>
      </c>
      <c r="AB220" s="225" t="e">
        <f t="shared" si="180"/>
        <v>#DIV/0!</v>
      </c>
      <c r="AC220" s="225" t="e">
        <f t="shared" si="180"/>
        <v>#DIV/0!</v>
      </c>
      <c r="AD220" s="225" t="e">
        <f t="shared" si="180"/>
        <v>#DIV/0!</v>
      </c>
      <c r="AE220" s="225" t="e">
        <f t="shared" si="180"/>
        <v>#DIV/0!</v>
      </c>
      <c r="AF220" s="225" t="e">
        <f t="shared" si="180"/>
        <v>#DIV/0!</v>
      </c>
      <c r="AG220" s="225" t="e">
        <f t="shared" si="180"/>
        <v>#DIV/0!</v>
      </c>
      <c r="AH220" s="225" t="e">
        <f t="shared" si="180"/>
        <v>#DIV/0!</v>
      </c>
      <c r="AI220" s="225" t="e">
        <f t="shared" si="180"/>
        <v>#DIV/0!</v>
      </c>
      <c r="AJ220" s="225" t="e">
        <f t="shared" si="180"/>
        <v>#DIV/0!</v>
      </c>
      <c r="AK220" s="225" t="e">
        <f t="shared" si="180"/>
        <v>#DIV/0!</v>
      </c>
    </row>
    <row r="221" spans="2:37" hidden="1">
      <c r="C221" s="218">
        <f>C220-1%</f>
        <v>0.19</v>
      </c>
      <c r="D221" s="225">
        <f t="shared" ref="D221:K221" si="181">(D165+D$57)/-D$57/(D$24-1)</f>
        <v>-1</v>
      </c>
      <c r="E221" s="225">
        <f t="shared" si="181"/>
        <v>-0.5</v>
      </c>
      <c r="F221" s="225">
        <f t="shared" si="181"/>
        <v>-0.33333333333333331</v>
      </c>
      <c r="G221" s="225">
        <f t="shared" si="181"/>
        <v>-0.25</v>
      </c>
      <c r="H221" s="225">
        <f t="shared" si="181"/>
        <v>-0.2</v>
      </c>
      <c r="I221" s="225" t="e">
        <f t="shared" si="181"/>
        <v>#DIV/0!</v>
      </c>
      <c r="J221" s="225" t="e">
        <f t="shared" si="181"/>
        <v>#DIV/0!</v>
      </c>
      <c r="K221" s="225" t="e">
        <f t="shared" si="181"/>
        <v>#DIV/0!</v>
      </c>
      <c r="L221" s="225" t="e">
        <f t="shared" si="178"/>
        <v>#DIV/0!</v>
      </c>
      <c r="M221" s="225" t="e">
        <f t="shared" si="178"/>
        <v>#DIV/0!</v>
      </c>
      <c r="N221" s="225" t="e">
        <f t="shared" si="178"/>
        <v>#DIV/0!</v>
      </c>
      <c r="P221" s="218">
        <f>P220-1%</f>
        <v>0.19</v>
      </c>
      <c r="Q221" s="225">
        <f t="shared" ref="Q221:X221" si="182">(Q165+Q$57)/-Q$57/(Q$24-1)</f>
        <v>0.10882357638866483</v>
      </c>
      <c r="R221" s="225">
        <f t="shared" si="182"/>
        <v>0.1387000306789542</v>
      </c>
      <c r="S221" s="225">
        <f t="shared" si="182"/>
        <v>0.15681337828565181</v>
      </c>
      <c r="T221" s="225">
        <f t="shared" si="182"/>
        <v>0.17331922675465003</v>
      </c>
      <c r="U221" s="225" t="e">
        <f t="shared" si="182"/>
        <v>#DIV/0!</v>
      </c>
      <c r="V221" s="225" t="e">
        <f t="shared" si="182"/>
        <v>#DIV/0!</v>
      </c>
      <c r="W221" s="225" t="e">
        <f t="shared" si="182"/>
        <v>#DIV/0!</v>
      </c>
      <c r="X221" s="225" t="e">
        <f t="shared" si="182"/>
        <v>#DIV/0!</v>
      </c>
      <c r="Z221" s="218">
        <f>Z220-1%</f>
        <v>0.19</v>
      </c>
      <c r="AA221" s="225" t="e">
        <f t="shared" ref="AA221:AK221" si="183">(AA165+AA$57)/-AA$57/(AA$24-1)</f>
        <v>#DIV/0!</v>
      </c>
      <c r="AB221" s="225" t="e">
        <f t="shared" si="183"/>
        <v>#DIV/0!</v>
      </c>
      <c r="AC221" s="225" t="e">
        <f t="shared" si="183"/>
        <v>#DIV/0!</v>
      </c>
      <c r="AD221" s="225" t="e">
        <f t="shared" si="183"/>
        <v>#DIV/0!</v>
      </c>
      <c r="AE221" s="225" t="e">
        <f t="shared" si="183"/>
        <v>#DIV/0!</v>
      </c>
      <c r="AF221" s="225" t="e">
        <f t="shared" si="183"/>
        <v>#DIV/0!</v>
      </c>
      <c r="AG221" s="225" t="e">
        <f t="shared" si="183"/>
        <v>#DIV/0!</v>
      </c>
      <c r="AH221" s="225" t="e">
        <f t="shared" si="183"/>
        <v>#DIV/0!</v>
      </c>
      <c r="AI221" s="225" t="e">
        <f t="shared" si="183"/>
        <v>#DIV/0!</v>
      </c>
      <c r="AJ221" s="225" t="e">
        <f t="shared" si="183"/>
        <v>#DIV/0!</v>
      </c>
      <c r="AK221" s="225" t="e">
        <f t="shared" si="183"/>
        <v>#DIV/0!</v>
      </c>
    </row>
    <row r="222" spans="2:37">
      <c r="B222" s="99"/>
      <c r="C222" s="218">
        <f t="shared" ref="C222:C233" si="184">C221-1%</f>
        <v>0.18</v>
      </c>
      <c r="D222" s="303"/>
      <c r="E222" s="303"/>
      <c r="F222" s="303">
        <f>(F166+F$219)/-F$219/(F$218-1)</f>
        <v>0.16953815613525688</v>
      </c>
      <c r="G222" s="303">
        <f t="shared" ref="F222:I230" si="185">(G166+G$219)/-G$219/(G$218-1)</f>
        <v>0.19733437110300425</v>
      </c>
      <c r="H222" s="303">
        <f t="shared" si="185"/>
        <v>0.22208153257999627</v>
      </c>
      <c r="I222" s="303">
        <f t="shared" si="185"/>
        <v>0.24671728784886798</v>
      </c>
      <c r="J222" s="303">
        <f t="shared" ref="J222:N230" si="186">(J166+J$219)/-J$219/(J$218-1)</f>
        <v>0.27331549438640923</v>
      </c>
      <c r="K222" s="303">
        <f t="shared" si="186"/>
        <v>0.30188060984301568</v>
      </c>
      <c r="L222" s="303">
        <f t="shared" si="186"/>
        <v>0.33361696415678288</v>
      </c>
      <c r="M222" s="303">
        <f t="shared" si="186"/>
        <v>0.3694847605573528</v>
      </c>
      <c r="N222" s="303">
        <f t="shared" si="186"/>
        <v>0.41002210673958173</v>
      </c>
      <c r="O222" s="99"/>
      <c r="P222" s="218">
        <f t="shared" ref="P222:P233" si="187">P221-1%</f>
        <v>0.18</v>
      </c>
      <c r="Q222" s="225">
        <f t="shared" ref="Q222:X222" si="188">(Q166+Q$133)/-Q$133/(Q$132-1)</f>
        <v>0.19222221343666182</v>
      </c>
      <c r="R222" s="225">
        <f t="shared" si="188"/>
        <v>0.22800055853219825</v>
      </c>
      <c r="S222" s="225">
        <f t="shared" si="188"/>
        <v>0.16859764663094171</v>
      </c>
      <c r="T222" s="225">
        <f t="shared" si="188"/>
        <v>0.21041127362395412</v>
      </c>
      <c r="U222" s="225">
        <f t="shared" si="188"/>
        <v>0.24758916283601948</v>
      </c>
      <c r="V222" s="225">
        <f t="shared" si="188"/>
        <v>0.28426472883730602</v>
      </c>
      <c r="W222" s="225">
        <f t="shared" si="188"/>
        <v>0.32272132030045581</v>
      </c>
      <c r="X222" s="225">
        <f t="shared" si="188"/>
        <v>0.36380960809363944</v>
      </c>
      <c r="Z222" s="218">
        <f t="shared" ref="Z222:Z230" si="189">Z221-1%</f>
        <v>0.18</v>
      </c>
      <c r="AA222" s="303"/>
      <c r="AB222" s="303"/>
      <c r="AC222" s="303"/>
      <c r="AD222" s="303"/>
      <c r="AE222" s="303"/>
      <c r="AF222" s="303"/>
      <c r="AG222" s="303">
        <f t="shared" ref="AG222:AK230" si="190">(AG166+AG$219)/-AG$219/(AG$218-1)</f>
        <v>0.24636562167482726</v>
      </c>
      <c r="AH222" s="303">
        <f t="shared" si="190"/>
        <v>0.27177842240500177</v>
      </c>
      <c r="AI222" s="303">
        <f t="shared" si="190"/>
        <v>0.2999256638060247</v>
      </c>
      <c r="AJ222" s="303">
        <f t="shared" si="190"/>
        <v>0.33158384333867025</v>
      </c>
      <c r="AK222" s="303">
        <f t="shared" si="190"/>
        <v>0.3673322391484054</v>
      </c>
    </row>
    <row r="223" spans="2:37">
      <c r="C223" s="218">
        <f t="shared" si="184"/>
        <v>0.16999999999999998</v>
      </c>
      <c r="D223" s="303"/>
      <c r="E223" s="303"/>
      <c r="F223" s="303">
        <f t="shared" si="185"/>
        <v>0.15716630869698767</v>
      </c>
      <c r="G223" s="303">
        <f t="shared" si="185"/>
        <v>0.18228227837159386</v>
      </c>
      <c r="H223" s="303">
        <f t="shared" si="185"/>
        <v>0.20418624230344462</v>
      </c>
      <c r="I223" s="303">
        <f t="shared" si="185"/>
        <v>0.22562783056352836</v>
      </c>
      <c r="J223" s="303">
        <f t="shared" si="186"/>
        <v>0.24853827192688782</v>
      </c>
      <c r="K223" s="303">
        <f t="shared" si="186"/>
        <v>0.27285731803141816</v>
      </c>
      <c r="L223" s="303">
        <f t="shared" si="186"/>
        <v>0.29966080281636259</v>
      </c>
      <c r="M223" s="303">
        <f t="shared" si="186"/>
        <v>0.32978368828217985</v>
      </c>
      <c r="N223" s="303">
        <f t="shared" si="186"/>
        <v>0.36357013930174736</v>
      </c>
      <c r="P223" s="218">
        <f t="shared" si="187"/>
        <v>0.16999999999999998</v>
      </c>
      <c r="Q223" s="225">
        <f t="shared" ref="Q223:X223" si="191">(Q167+Q$133)/-Q$133/(Q$132-1)</f>
        <v>0.17980323204669671</v>
      </c>
      <c r="R223" s="225">
        <f t="shared" si="191"/>
        <v>0.2134087916036938</v>
      </c>
      <c r="S223" s="225">
        <f t="shared" si="191"/>
        <v>0.16367439785469909</v>
      </c>
      <c r="T223" s="225">
        <f t="shared" si="191"/>
        <v>0.20142593626025712</v>
      </c>
      <c r="U223" s="225">
        <f t="shared" si="191"/>
        <v>0.23477626190143494</v>
      </c>
      <c r="V223" s="225">
        <f t="shared" si="191"/>
        <v>0.26744102744185666</v>
      </c>
      <c r="W223" s="225">
        <f t="shared" si="191"/>
        <v>0.30144927723177573</v>
      </c>
      <c r="X223" s="225">
        <f t="shared" si="191"/>
        <v>0.33750903053543674</v>
      </c>
      <c r="Z223" s="218">
        <f t="shared" si="189"/>
        <v>0.16999999999999998</v>
      </c>
      <c r="AA223" s="303"/>
      <c r="AB223" s="303"/>
      <c r="AC223" s="303"/>
      <c r="AD223" s="303"/>
      <c r="AE223" s="303"/>
      <c r="AF223" s="303"/>
      <c r="AG223" s="303">
        <f t="shared" si="190"/>
        <v>0.22340972687256302</v>
      </c>
      <c r="AH223" s="303">
        <f t="shared" si="190"/>
        <v>0.24481749534062416</v>
      </c>
      <c r="AI223" s="303">
        <f t="shared" si="190"/>
        <v>0.26834124389801378</v>
      </c>
      <c r="AJ223" s="303">
        <f t="shared" si="190"/>
        <v>0.29464624654087468</v>
      </c>
      <c r="AK223" s="303">
        <f t="shared" si="190"/>
        <v>0.32413777009304751</v>
      </c>
    </row>
    <row r="224" spans="2:37">
      <c r="C224" s="218">
        <f t="shared" si="184"/>
        <v>0.15999999999999998</v>
      </c>
      <c r="D224" s="303"/>
      <c r="E224" s="303"/>
      <c r="F224" s="303">
        <f t="shared" si="185"/>
        <v>0.14488688809903813</v>
      </c>
      <c r="G224" s="303">
        <f t="shared" si="185"/>
        <v>0.16746454809079492</v>
      </c>
      <c r="H224" s="303">
        <f t="shared" si="185"/>
        <v>0.1867226160748727</v>
      </c>
      <c r="I224" s="303">
        <f t="shared" si="185"/>
        <v>0.20522353689250639</v>
      </c>
      <c r="J224" s="303">
        <f t="shared" si="186"/>
        <v>0.22477576036584121</v>
      </c>
      <c r="K224" s="303">
        <f t="shared" si="186"/>
        <v>0.24527198674647335</v>
      </c>
      <c r="L224" s="303">
        <f t="shared" si="186"/>
        <v>0.26766724557188709</v>
      </c>
      <c r="M224" s="303">
        <f t="shared" si="186"/>
        <v>0.29270597116499136</v>
      </c>
      <c r="N224" s="303">
        <f t="shared" si="186"/>
        <v>0.32058723383232735</v>
      </c>
      <c r="P224" s="218">
        <f t="shared" si="187"/>
        <v>0.15999999999999998</v>
      </c>
      <c r="Q224" s="225">
        <f t="shared" ref="Q224:X224" si="192">(Q168+Q$133)/-Q$133/(Q$132-1)</f>
        <v>0.16738382501513166</v>
      </c>
      <c r="R224" s="225">
        <f t="shared" si="192"/>
        <v>0.19894057189548262</v>
      </c>
      <c r="S224" s="225">
        <f t="shared" si="192"/>
        <v>0.15883446214479011</v>
      </c>
      <c r="T224" s="225">
        <f t="shared" si="192"/>
        <v>0.1925876781715869</v>
      </c>
      <c r="U224" s="225">
        <f t="shared" si="192"/>
        <v>0.22224341337450748</v>
      </c>
      <c r="V224" s="225">
        <f t="shared" si="192"/>
        <v>0.25110311045225925</v>
      </c>
      <c r="W224" s="225">
        <f t="shared" si="192"/>
        <v>0.28094725595851672</v>
      </c>
      <c r="X224" s="225">
        <f t="shared" si="192"/>
        <v>0.31236213437301247</v>
      </c>
      <c r="Z224" s="218">
        <f t="shared" si="189"/>
        <v>0.15999999999999998</v>
      </c>
      <c r="AA224" s="303"/>
      <c r="AB224" s="303"/>
      <c r="AC224" s="303"/>
      <c r="AD224" s="303"/>
      <c r="AE224" s="303"/>
      <c r="AF224" s="303"/>
      <c r="AG224" s="303">
        <f t="shared" si="190"/>
        <v>0.20136052007042302</v>
      </c>
      <c r="AH224" s="303">
        <f t="shared" si="190"/>
        <v>0.21914581275216025</v>
      </c>
      <c r="AI224" s="303">
        <f t="shared" si="190"/>
        <v>0.23854240081062117</v>
      </c>
      <c r="AJ224" s="303">
        <f t="shared" si="190"/>
        <v>0.26010942302935036</v>
      </c>
      <c r="AK224" s="303">
        <f t="shared" si="190"/>
        <v>0.2841207083318632</v>
      </c>
    </row>
    <row r="225" spans="1:37">
      <c r="A225" s="238"/>
      <c r="B225" s="238"/>
      <c r="C225" s="218">
        <f t="shared" si="184"/>
        <v>0.14999999999999997</v>
      </c>
      <c r="D225" s="303"/>
      <c r="E225" s="303"/>
      <c r="F225" s="303">
        <f t="shared" si="185"/>
        <v>0.13269970051567151</v>
      </c>
      <c r="G225" s="303">
        <f t="shared" si="185"/>
        <v>0.15288068841106747</v>
      </c>
      <c r="H225" s="303">
        <f t="shared" si="185"/>
        <v>0.16968402073264066</v>
      </c>
      <c r="I225" s="303">
        <f t="shared" si="185"/>
        <v>0.18549068761308052</v>
      </c>
      <c r="J225" s="303">
        <f t="shared" si="186"/>
        <v>0.20199774245667246</v>
      </c>
      <c r="K225" s="303">
        <f t="shared" si="186"/>
        <v>0.21905902817622327</v>
      </c>
      <c r="L225" s="303">
        <f t="shared" si="186"/>
        <v>0.23754453057919314</v>
      </c>
      <c r="M225" s="303">
        <f t="shared" si="186"/>
        <v>0.25811113380926343</v>
      </c>
      <c r="N225" s="303">
        <f t="shared" si="186"/>
        <v>0.28083809615625965</v>
      </c>
      <c r="P225" s="218">
        <f t="shared" si="187"/>
        <v>0.14999999999999997</v>
      </c>
      <c r="Q225" s="225">
        <f t="shared" ref="Q225:X225" si="193">(Q169+Q$133)/-Q$133/(Q$132-1)</f>
        <v>0.15496489464276067</v>
      </c>
      <c r="R225" s="225">
        <f t="shared" si="193"/>
        <v>0.18459573298170026</v>
      </c>
      <c r="S225" s="225">
        <f t="shared" si="193"/>
        <v>0.15407729281928631</v>
      </c>
      <c r="T225" s="225">
        <f t="shared" si="193"/>
        <v>0.18389356050208222</v>
      </c>
      <c r="U225" s="225">
        <f t="shared" si="193"/>
        <v>0.20998296224315519</v>
      </c>
      <c r="V225" s="225">
        <f t="shared" si="193"/>
        <v>0.23523522144114764</v>
      </c>
      <c r="W225" s="225">
        <f t="shared" si="193"/>
        <v>0.26119322124324457</v>
      </c>
      <c r="X225" s="225">
        <f t="shared" si="193"/>
        <v>0.28832676134417218</v>
      </c>
      <c r="Z225" s="218">
        <f t="shared" si="189"/>
        <v>0.14999999999999997</v>
      </c>
      <c r="AA225" s="303"/>
      <c r="AB225" s="303"/>
      <c r="AC225" s="303"/>
      <c r="AD225" s="303"/>
      <c r="AE225" s="303"/>
      <c r="AF225" s="303"/>
      <c r="AG225" s="303">
        <f t="shared" si="190"/>
        <v>0.18018918723162614</v>
      </c>
      <c r="AH225" s="303">
        <f t="shared" si="190"/>
        <v>0.1947196905875283</v>
      </c>
      <c r="AI225" s="303">
        <f t="shared" si="190"/>
        <v>0.21044462010262957</v>
      </c>
      <c r="AJ225" s="303">
        <f t="shared" si="190"/>
        <v>0.22784077152972357</v>
      </c>
      <c r="AK225" s="303">
        <f t="shared" si="190"/>
        <v>0.24707457553034948</v>
      </c>
    </row>
    <row r="226" spans="1:37">
      <c r="C226" s="218">
        <f t="shared" si="184"/>
        <v>0.13999999999999996</v>
      </c>
      <c r="D226" s="303"/>
      <c r="E226" s="303"/>
      <c r="F226" s="487">
        <f t="shared" si="185"/>
        <v>0.12060349870813812</v>
      </c>
      <c r="G226" s="303">
        <f t="shared" si="185"/>
        <v>0.13853070340837656</v>
      </c>
      <c r="H226" s="303">
        <f t="shared" si="185"/>
        <v>0.15306152868793332</v>
      </c>
      <c r="I226" s="303">
        <f t="shared" si="185"/>
        <v>0.16640833017130713</v>
      </c>
      <c r="J226" s="303">
        <f t="shared" si="186"/>
        <v>0.1801719916316972</v>
      </c>
      <c r="K226" s="303">
        <f t="shared" si="186"/>
        <v>0.19416936389070713</v>
      </c>
      <c r="L226" s="303">
        <f t="shared" si="186"/>
        <v>0.20919742798274474</v>
      </c>
      <c r="M226" s="303">
        <f t="shared" si="186"/>
        <v>0.22584833635856091</v>
      </c>
      <c r="N226" s="303">
        <f t="shared" si="186"/>
        <v>0.24410768041199579</v>
      </c>
      <c r="P226" s="218">
        <f t="shared" si="187"/>
        <v>0.13999999999999996</v>
      </c>
      <c r="Q226" s="225">
        <f t="shared" ref="Q226:X226" si="194">(Q170+Q$133)/-Q$133/(Q$132-1)</f>
        <v>0.14254646381976049</v>
      </c>
      <c r="R226" s="225">
        <f t="shared" si="194"/>
        <v>0.17037667461265657</v>
      </c>
      <c r="S226" s="225">
        <f t="shared" si="194"/>
        <v>0.1494023842399492</v>
      </c>
      <c r="T226" s="225">
        <f t="shared" si="194"/>
        <v>0.1753405559984183</v>
      </c>
      <c r="U226" s="225">
        <f t="shared" si="194"/>
        <v>0.19799140987412223</v>
      </c>
      <c r="V226" s="225">
        <f t="shared" si="194"/>
        <v>0.21982612563787207</v>
      </c>
      <c r="W226" s="225">
        <f t="shared" si="194"/>
        <v>0.24215963989736805</v>
      </c>
      <c r="X226" s="225">
        <f t="shared" si="194"/>
        <v>0.26535549968629857</v>
      </c>
      <c r="Z226" s="218">
        <f t="shared" si="189"/>
        <v>0.13999999999999996</v>
      </c>
      <c r="AA226" s="303"/>
      <c r="AB226" s="303"/>
      <c r="AC226" s="303"/>
      <c r="AD226" s="303"/>
      <c r="AE226" s="303"/>
      <c r="AF226" s="303"/>
      <c r="AG226" s="303">
        <f t="shared" si="190"/>
        <v>0.15986852174518756</v>
      </c>
      <c r="AH226" s="303">
        <f t="shared" si="190"/>
        <v>0.17148701020638485</v>
      </c>
      <c r="AI226" s="303">
        <f t="shared" si="190"/>
        <v>0.1839612348662587</v>
      </c>
      <c r="AJ226" s="303">
        <f t="shared" si="190"/>
        <v>0.19770900599710467</v>
      </c>
      <c r="AK226" s="303">
        <f t="shared" si="190"/>
        <v>0.21280970432035184</v>
      </c>
    </row>
    <row r="227" spans="1:37">
      <c r="C227" s="218">
        <f t="shared" si="184"/>
        <v>0.12999999999999995</v>
      </c>
      <c r="D227" s="303"/>
      <c r="E227" s="303"/>
      <c r="F227" s="303">
        <f t="shared" si="185"/>
        <v>0.10859950838945985</v>
      </c>
      <c r="G227" s="487">
        <f t="shared" si="185"/>
        <v>0.1244099999755046</v>
      </c>
      <c r="H227" s="303">
        <f t="shared" si="185"/>
        <v>0.1368510098301442</v>
      </c>
      <c r="I227" s="303">
        <f t="shared" si="185"/>
        <v>0.14796522622386349</v>
      </c>
      <c r="J227" s="303">
        <f t="shared" si="186"/>
        <v>0.15926336892926535</v>
      </c>
      <c r="K227" s="303">
        <f t="shared" si="186"/>
        <v>0.17054235480966842</v>
      </c>
      <c r="L227" s="303">
        <f t="shared" si="186"/>
        <v>0.18253467676233076</v>
      </c>
      <c r="M227" s="303">
        <f t="shared" si="186"/>
        <v>0.19578309646986708</v>
      </c>
      <c r="N227" s="303">
        <f t="shared" si="186"/>
        <v>0.21019616618449724</v>
      </c>
      <c r="P227" s="218">
        <f t="shared" si="187"/>
        <v>0.12999999999999995</v>
      </c>
      <c r="Q227" s="225">
        <f t="shared" ref="Q227:X227" si="195">(Q171+Q$133)/-Q$133/(Q$132-1)</f>
        <v>0.13012756821295282</v>
      </c>
      <c r="R227" s="225">
        <f t="shared" si="195"/>
        <v>0.15628118474040012</v>
      </c>
      <c r="S227" s="225">
        <f t="shared" si="195"/>
        <v>0.14480908239815996</v>
      </c>
      <c r="T227" s="225">
        <f t="shared" si="195"/>
        <v>0.16692696498608203</v>
      </c>
      <c r="U227" s="225">
        <f t="shared" si="195"/>
        <v>0.18626317670763512</v>
      </c>
      <c r="V227" s="225">
        <f t="shared" si="195"/>
        <v>0.20486563032433566</v>
      </c>
      <c r="W227" s="225">
        <f t="shared" si="195"/>
        <v>0.22382441837915565</v>
      </c>
      <c r="X227" s="225">
        <f t="shared" si="195"/>
        <v>0.24340837333029303</v>
      </c>
      <c r="Z227" s="218">
        <f t="shared" si="189"/>
        <v>0.12999999999999995</v>
      </c>
      <c r="AA227" s="303"/>
      <c r="AB227" s="303"/>
      <c r="AC227" s="303"/>
      <c r="AD227" s="303"/>
      <c r="AE227" s="303"/>
      <c r="AF227" s="303"/>
      <c r="AG227" s="303">
        <f t="shared" si="190"/>
        <v>0.14036778792241125</v>
      </c>
      <c r="AH227" s="303">
        <f t="shared" si="190"/>
        <v>0.14939803953150457</v>
      </c>
      <c r="AI227" s="303">
        <f t="shared" si="190"/>
        <v>0.15901876142912993</v>
      </c>
      <c r="AJ227" s="303">
        <f t="shared" si="190"/>
        <v>0.16959611186942372</v>
      </c>
      <c r="AK227" s="303">
        <f t="shared" si="190"/>
        <v>0.18113689574837952</v>
      </c>
    </row>
    <row r="228" spans="1:37">
      <c r="C228" s="218">
        <f t="shared" si="184"/>
        <v>0.11999999999999995</v>
      </c>
      <c r="D228" s="303"/>
      <c r="E228" s="303"/>
      <c r="F228" s="303">
        <f t="shared" si="185"/>
        <v>9.6686840583122491E-2</v>
      </c>
      <c r="G228" s="303">
        <f t="shared" si="185"/>
        <v>0.11051712277442916</v>
      </c>
      <c r="H228" s="487">
        <f t="shared" si="185"/>
        <v>0.12104335690394898</v>
      </c>
      <c r="I228" s="303">
        <f t="shared" si="185"/>
        <v>0.13014320389463163</v>
      </c>
      <c r="J228" s="303">
        <f t="shared" si="186"/>
        <v>0.13924457732241965</v>
      </c>
      <c r="K228" s="303">
        <f t="shared" si="186"/>
        <v>0.14812584584090918</v>
      </c>
      <c r="L228" s="303">
        <f t="shared" si="186"/>
        <v>0.15747368083814919</v>
      </c>
      <c r="M228" s="303">
        <f t="shared" si="186"/>
        <v>0.16778611109275651</v>
      </c>
      <c r="N228" s="303">
        <f t="shared" si="186"/>
        <v>0.17891245440896336</v>
      </c>
      <c r="P228" s="218">
        <f t="shared" si="187"/>
        <v>0.11999999999999995</v>
      </c>
      <c r="Q228" s="225">
        <f t="shared" ref="Q228:X228" si="196">(Q172+Q$133)/-Q$133/(Q$132-1)</f>
        <v>0.11770867433104895</v>
      </c>
      <c r="R228" s="225">
        <f t="shared" si="196"/>
        <v>0.14231013583128549</v>
      </c>
      <c r="S228" s="225">
        <f t="shared" si="196"/>
        <v>0.14029612595510807</v>
      </c>
      <c r="T228" s="225">
        <f t="shared" si="196"/>
        <v>0.15865018753000756</v>
      </c>
      <c r="U228" s="225">
        <f t="shared" si="196"/>
        <v>0.17479122392359309</v>
      </c>
      <c r="V228" s="225">
        <f t="shared" si="196"/>
        <v>0.19033990479529039</v>
      </c>
      <c r="W228" s="225">
        <f t="shared" si="196"/>
        <v>0.20616615697829052</v>
      </c>
      <c r="X228" s="225">
        <f t="shared" si="196"/>
        <v>0.22244208950467034</v>
      </c>
      <c r="Z228" s="218">
        <f t="shared" si="189"/>
        <v>0.11999999999999995</v>
      </c>
      <c r="AA228" s="303"/>
      <c r="AB228" s="303"/>
      <c r="AC228" s="303"/>
      <c r="AD228" s="303"/>
      <c r="AE228" s="303"/>
      <c r="AF228" s="303"/>
      <c r="AG228" s="305">
        <f t="shared" si="190"/>
        <v>0.12166605299187934</v>
      </c>
      <c r="AH228" s="303">
        <f t="shared" si="190"/>
        <v>0.12840863483292694</v>
      </c>
      <c r="AI228" s="303">
        <f t="shared" si="190"/>
        <v>0.13554028992275829</v>
      </c>
      <c r="AJ228" s="303">
        <f t="shared" si="190"/>
        <v>0.14338374237501592</v>
      </c>
      <c r="AK228" s="303">
        <f t="shared" si="190"/>
        <v>0.15188922064069946</v>
      </c>
    </row>
    <row r="229" spans="1:37">
      <c r="C229" s="218">
        <f t="shared" si="184"/>
        <v>0.10999999999999996</v>
      </c>
      <c r="D229" s="303"/>
      <c r="E229" s="303"/>
      <c r="F229" s="303">
        <f t="shared" si="185"/>
        <v>8.4866717886293158E-2</v>
      </c>
      <c r="G229" s="303">
        <f t="shared" si="185"/>
        <v>9.6852297220576145E-2</v>
      </c>
      <c r="H229" s="303">
        <f t="shared" si="185"/>
        <v>0.10563312633692017</v>
      </c>
      <c r="I229" s="487">
        <f t="shared" si="185"/>
        <v>0.11292559459320528</v>
      </c>
      <c r="J229" s="487">
        <f t="shared" si="186"/>
        <v>0.12008327235035245</v>
      </c>
      <c r="K229" s="487">
        <f t="shared" si="186"/>
        <v>0.12687167278888753</v>
      </c>
      <c r="L229" s="487">
        <f t="shared" si="186"/>
        <v>0.13392995883482273</v>
      </c>
      <c r="M229" s="303">
        <f t="shared" si="186"/>
        <v>0.1417330000922746</v>
      </c>
      <c r="N229" s="303">
        <f t="shared" si="186"/>
        <v>0.15007888868006361</v>
      </c>
      <c r="P229" s="218">
        <f t="shared" si="187"/>
        <v>0.10999999999999996</v>
      </c>
      <c r="Q229" s="225">
        <f t="shared" ref="Q229:X229" si="197">(Q173+Q$133)/-Q$133/(Q$132-1)</f>
        <v>0.10528989473864495</v>
      </c>
      <c r="R229" s="225">
        <f t="shared" si="197"/>
        <v>0.12846305297033897</v>
      </c>
      <c r="S229" s="225">
        <f t="shared" si="197"/>
        <v>0.13586320941793886</v>
      </c>
      <c r="T229" s="225">
        <f t="shared" si="197"/>
        <v>0.15050759597545249</v>
      </c>
      <c r="U229" s="225">
        <f t="shared" si="197"/>
        <v>0.16357116345745623</v>
      </c>
      <c r="V229" s="225">
        <f t="shared" si="197"/>
        <v>0.17623829473420249</v>
      </c>
      <c r="W229" s="225">
        <f t="shared" si="197"/>
        <v>0.18915877858666827</v>
      </c>
      <c r="X229" s="225">
        <f t="shared" si="197"/>
        <v>0.20242266858411806</v>
      </c>
      <c r="Z229" s="218">
        <f t="shared" si="189"/>
        <v>0.10999999999999996</v>
      </c>
      <c r="AA229" s="303"/>
      <c r="AB229" s="303"/>
      <c r="AC229" s="303"/>
      <c r="AD229" s="303"/>
      <c r="AE229" s="303"/>
      <c r="AF229" s="303"/>
      <c r="AG229" s="303">
        <f t="shared" si="190"/>
        <v>0.10342737684177578</v>
      </c>
      <c r="AH229" s="305">
        <f t="shared" si="190"/>
        <v>0.10815372898059232</v>
      </c>
      <c r="AI229" s="305">
        <f t="shared" si="190"/>
        <v>0.1131156673759709</v>
      </c>
      <c r="AJ229" s="305">
        <f t="shared" si="190"/>
        <v>0.11860642626820758</v>
      </c>
      <c r="AK229" s="305">
        <f t="shared" si="190"/>
        <v>0.1245291030262754</v>
      </c>
    </row>
    <row r="230" spans="1:37">
      <c r="C230" s="218">
        <f t="shared" si="184"/>
        <v>9.9999999999999964E-2</v>
      </c>
      <c r="D230" s="303"/>
      <c r="E230" s="303"/>
      <c r="F230" s="303">
        <f>(F174+F$219)/-F$219/(F$218-1)</f>
        <v>6.336252918658776E-2</v>
      </c>
      <c r="G230" s="303">
        <f t="shared" si="185"/>
        <v>7.3824398790451579E-2</v>
      </c>
      <c r="H230" s="303">
        <f t="shared" si="185"/>
        <v>8.0896467224346805E-2</v>
      </c>
      <c r="I230" s="303">
        <f t="shared" si="185"/>
        <v>8.6214585449044756E-2</v>
      </c>
      <c r="J230" s="303">
        <f t="shared" si="186"/>
        <v>9.1223047896480655E-2</v>
      </c>
      <c r="K230" s="303">
        <f t="shared" si="186"/>
        <v>9.563967289407585E-2</v>
      </c>
      <c r="L230" s="303">
        <f t="shared" si="186"/>
        <v>0.10014299321999709</v>
      </c>
      <c r="M230" s="487">
        <f t="shared" si="186"/>
        <v>0.10477070801278147</v>
      </c>
      <c r="N230" s="487">
        <f t="shared" si="186"/>
        <v>0.10969159314973327</v>
      </c>
      <c r="P230" s="218">
        <f t="shared" si="187"/>
        <v>9.9999999999999964E-2</v>
      </c>
      <c r="Q230" s="225">
        <f t="shared" ref="Q230:X230" si="198">(Q174+Q$133)/-Q$133/(Q$132-1)</f>
        <v>9.2870437129615444E-2</v>
      </c>
      <c r="R230" s="225">
        <f t="shared" si="198"/>
        <v>0.1147391232663111</v>
      </c>
      <c r="S230" s="225">
        <f t="shared" si="198"/>
        <v>0.13150951028885513</v>
      </c>
      <c r="T230" s="225">
        <f t="shared" si="198"/>
        <v>0.14249656258362814</v>
      </c>
      <c r="U230" s="225">
        <f t="shared" si="198"/>
        <v>0.15259776158562166</v>
      </c>
      <c r="V230" s="225">
        <f t="shared" si="198"/>
        <v>0.16254930907688761</v>
      </c>
      <c r="W230" s="225">
        <f t="shared" si="198"/>
        <v>0.17278618238726901</v>
      </c>
      <c r="X230" s="225">
        <f t="shared" si="198"/>
        <v>0.18330580746747185</v>
      </c>
      <c r="Z230" s="218">
        <f t="shared" si="189"/>
        <v>9.9999999999999964E-2</v>
      </c>
      <c r="AA230" s="303"/>
      <c r="AB230" s="303"/>
      <c r="AC230" s="303"/>
      <c r="AD230" s="303"/>
      <c r="AE230" s="303"/>
      <c r="AF230" s="303"/>
      <c r="AG230" s="303">
        <f t="shared" si="190"/>
        <v>8.6549122999884764E-2</v>
      </c>
      <c r="AH230" s="303">
        <f t="shared" si="190"/>
        <v>8.9550773401155734E-2</v>
      </c>
      <c r="AI230" s="303">
        <f t="shared" si="190"/>
        <v>9.2686958244349457E-2</v>
      </c>
      <c r="AJ230" s="303">
        <f t="shared" si="190"/>
        <v>9.6223324127814591E-2</v>
      </c>
      <c r="AK230" s="303">
        <f t="shared" si="190"/>
        <v>0.10002798372746464</v>
      </c>
    </row>
    <row r="231" spans="1:37" hidden="1">
      <c r="C231" s="218">
        <f t="shared" si="184"/>
        <v>8.9999999999999969E-2</v>
      </c>
      <c r="D231" s="225"/>
      <c r="E231" s="225"/>
      <c r="F231" s="225"/>
      <c r="G231" s="225"/>
      <c r="H231" s="225"/>
      <c r="I231" s="225"/>
      <c r="J231" s="225">
        <f t="shared" ref="J231:N233" si="199">(J175+J$133)/-J$133/(J$132-1)</f>
        <v>-0.14285714285714285</v>
      </c>
      <c r="K231" s="225">
        <f t="shared" si="199"/>
        <v>-0.125</v>
      </c>
      <c r="L231" s="225">
        <f t="shared" si="199"/>
        <v>-0.1111111111111111</v>
      </c>
      <c r="M231" s="225">
        <f t="shared" si="199"/>
        <v>-0.1</v>
      </c>
      <c r="N231" s="225">
        <f t="shared" si="199"/>
        <v>-0.1111111111111111</v>
      </c>
      <c r="P231" s="218">
        <f t="shared" si="187"/>
        <v>8.9999999999999969E-2</v>
      </c>
      <c r="Q231" s="225">
        <f t="shared" ref="Q231:X231" si="200">(Q175+Q$133)/-Q$133/(Q$132-1)</f>
        <v>8.0451743224320749E-2</v>
      </c>
      <c r="R231" s="225">
        <f t="shared" si="200"/>
        <v>0.10114016484931075</v>
      </c>
      <c r="S231" s="225">
        <f t="shared" si="200"/>
        <v>0.12723464434627904</v>
      </c>
      <c r="T231" s="225">
        <f t="shared" si="200"/>
        <v>0.13461501213080299</v>
      </c>
      <c r="U231" s="225">
        <f t="shared" si="200"/>
        <v>0.14186563592357446</v>
      </c>
      <c r="V231" s="225">
        <f t="shared" si="200"/>
        <v>0.14926221848592822</v>
      </c>
      <c r="W231" s="225">
        <f t="shared" si="200"/>
        <v>0.15702166312346963</v>
      </c>
      <c r="X231" s="225">
        <f t="shared" si="200"/>
        <v>0.16506144224160349</v>
      </c>
    </row>
    <row r="232" spans="1:37" hidden="1">
      <c r="C232" s="218">
        <f t="shared" si="184"/>
        <v>7.9999999999999974E-2</v>
      </c>
      <c r="D232" s="225"/>
      <c r="E232" s="225"/>
      <c r="F232" s="225"/>
      <c r="G232" s="225"/>
      <c r="H232" s="225"/>
      <c r="I232" s="225"/>
      <c r="J232" s="225">
        <f t="shared" si="199"/>
        <v>-0.14285714285714285</v>
      </c>
      <c r="K232" s="225">
        <f t="shared" si="199"/>
        <v>-0.125</v>
      </c>
      <c r="L232" s="225">
        <f t="shared" si="199"/>
        <v>-0.1111111111111111</v>
      </c>
      <c r="M232" s="225">
        <f t="shared" si="199"/>
        <v>-0.1</v>
      </c>
      <c r="N232" s="225">
        <f t="shared" si="199"/>
        <v>-0.1111111111111111</v>
      </c>
      <c r="P232" s="218">
        <f t="shared" si="187"/>
        <v>7.9999999999999974E-2</v>
      </c>
      <c r="Q232" s="225">
        <f t="shared" ref="Q232:X232" si="201">(Q176+Q$133)/-Q$133/(Q$132-1)</f>
        <v>6.8032556932186669E-2</v>
      </c>
      <c r="R232" s="225">
        <f t="shared" si="201"/>
        <v>8.7665655013201615E-2</v>
      </c>
      <c r="S232" s="225">
        <f t="shared" si="201"/>
        <v>0.12303756839141371</v>
      </c>
      <c r="T232" s="225">
        <f t="shared" si="201"/>
        <v>0.12686127034154218</v>
      </c>
      <c r="U232" s="225">
        <f t="shared" si="201"/>
        <v>0.13136847396396195</v>
      </c>
      <c r="V232" s="225">
        <f t="shared" si="201"/>
        <v>0.1363655004283687</v>
      </c>
      <c r="W232" s="225">
        <f t="shared" si="201"/>
        <v>0.14185066779803032</v>
      </c>
      <c r="X232" s="225">
        <f t="shared" si="201"/>
        <v>0.14764815391443531</v>
      </c>
    </row>
    <row r="233" spans="1:37" hidden="1">
      <c r="C233" s="218">
        <f t="shared" si="184"/>
        <v>6.9999999999999979E-2</v>
      </c>
      <c r="D233" s="225"/>
      <c r="E233" s="225"/>
      <c r="F233" s="225"/>
      <c r="G233" s="225"/>
      <c r="H233" s="225"/>
      <c r="I233" s="225"/>
      <c r="J233" s="225">
        <f t="shared" si="199"/>
        <v>-0.14285714285714285</v>
      </c>
      <c r="K233" s="225">
        <f t="shared" si="199"/>
        <v>-0.125</v>
      </c>
      <c r="L233" s="225">
        <f t="shared" si="199"/>
        <v>-0.1111111111111111</v>
      </c>
      <c r="M233" s="225">
        <f t="shared" si="199"/>
        <v>-0.1</v>
      </c>
      <c r="N233" s="225">
        <f t="shared" si="199"/>
        <v>-0.1111111111111111</v>
      </c>
      <c r="P233" s="218">
        <f t="shared" si="187"/>
        <v>6.9999999999999979E-2</v>
      </c>
      <c r="Q233" s="225">
        <f t="shared" ref="Q233:X233" si="202">(Q177+Q$133)/-Q$133/(Q$132-1)</f>
        <v>6.8032556932186669E-2</v>
      </c>
      <c r="R233" s="225">
        <f t="shared" si="202"/>
        <v>8.7665655013201615E-2</v>
      </c>
      <c r="S233" s="225">
        <f t="shared" si="202"/>
        <v>0.12303756839141371</v>
      </c>
      <c r="T233" s="225">
        <f t="shared" si="202"/>
        <v>0.12686127034154218</v>
      </c>
      <c r="U233" s="225">
        <f t="shared" si="202"/>
        <v>0.13136847396396195</v>
      </c>
      <c r="V233" s="225">
        <f t="shared" si="202"/>
        <v>0.1363655004283687</v>
      </c>
      <c r="W233" s="225">
        <f t="shared" si="202"/>
        <v>0.14185066779803032</v>
      </c>
      <c r="X233" s="225">
        <f t="shared" si="202"/>
        <v>0.14764815391443531</v>
      </c>
    </row>
    <row r="235" spans="1:37">
      <c r="C235" t="s">
        <v>139</v>
      </c>
      <c r="F235">
        <v>13</v>
      </c>
      <c r="G235">
        <f>'Calculation FKS PoV'!E103</f>
        <v>16.20402912872575</v>
      </c>
      <c r="H235">
        <f>'Calculation FKS PoV'!F103</f>
        <v>22.593931019440873</v>
      </c>
      <c r="I235">
        <f>'Calculation FKS PoV'!G103</f>
        <v>27.682024797403834</v>
      </c>
      <c r="J235">
        <f>'Calculation FKS PoV'!H103</f>
        <v>30.689794373073873</v>
      </c>
      <c r="K235">
        <f>'Calculation FKS PoV'!I103</f>
        <v>34.060272987804595</v>
      </c>
      <c r="L235">
        <f>'Calculation FKS PoV'!J103</f>
        <v>35.374486051496007</v>
      </c>
      <c r="M235">
        <f>'Calculation FKS PoV'!K103</f>
        <v>38.018610084456398</v>
      </c>
      <c r="N235">
        <f>'Calculation FKS PoV'!L103</f>
        <v>39.782924639744465</v>
      </c>
    </row>
    <row r="236" spans="1:37">
      <c r="F236" s="22">
        <f>F167/F235</f>
        <v>3.6038594141479829</v>
      </c>
      <c r="G236" s="22">
        <f>G170/G235</f>
        <v>3.1140173335105037</v>
      </c>
      <c r="H236" s="22">
        <f t="shared" ref="H236:I236" si="203">H171/H235</f>
        <v>2.4412813598005116</v>
      </c>
      <c r="I236" s="22">
        <f t="shared" si="203"/>
        <v>2.240339847456446</v>
      </c>
      <c r="J236" s="22">
        <f>J171/J235</f>
        <v>2.2713683154170141</v>
      </c>
      <c r="K236" s="22">
        <f t="shared" ref="K236:N236" si="204">K172/K235</f>
        <v>2.1316869338666251</v>
      </c>
      <c r="L236" s="22">
        <f t="shared" si="204"/>
        <v>2.2771086065249659</v>
      </c>
      <c r="M236" s="22">
        <f t="shared" si="204"/>
        <v>2.353403364910517</v>
      </c>
      <c r="N236" s="22">
        <f t="shared" si="204"/>
        <v>2.49906244287844</v>
      </c>
    </row>
    <row r="237" spans="1:37" hidden="1">
      <c r="E237" t="str">
        <f>"Y"&amp;E218</f>
        <v>Y2</v>
      </c>
      <c r="F237" t="str">
        <f t="shared" ref="F237:K237" si="205">"Y"&amp;F218</f>
        <v>Y3</v>
      </c>
      <c r="G237" t="str">
        <f t="shared" si="205"/>
        <v>Y4</v>
      </c>
      <c r="H237" t="str">
        <f t="shared" si="205"/>
        <v>Y5</v>
      </c>
      <c r="I237" t="str">
        <f t="shared" si="205"/>
        <v>Y6</v>
      </c>
      <c r="J237" t="str">
        <f t="shared" si="205"/>
        <v>Y7</v>
      </c>
      <c r="K237" t="str">
        <f t="shared" si="205"/>
        <v>Y8</v>
      </c>
      <c r="L237" t="str">
        <f>"Y"&amp;L218</f>
        <v>Y9</v>
      </c>
      <c r="M237" t="str">
        <f>"Y"&amp;M218</f>
        <v>Y10</v>
      </c>
      <c r="N237" t="str">
        <f>"Y"&amp;N218</f>
        <v>Y11</v>
      </c>
    </row>
    <row r="238" spans="1:37" hidden="1">
      <c r="C238" s="407" t="s">
        <v>169</v>
      </c>
      <c r="E238">
        <f>E170</f>
        <v>0</v>
      </c>
      <c r="F238">
        <f>F171</f>
        <v>43.387787084447893</v>
      </c>
      <c r="G238">
        <f t="shared" ref="G238:N238" si="206">G172</f>
        <v>47.4639450610971</v>
      </c>
      <c r="H238">
        <f t="shared" si="206"/>
        <v>52.904249663459495</v>
      </c>
      <c r="I238">
        <f t="shared" si="206"/>
        <v>58.840759976391979</v>
      </c>
      <c r="J238">
        <f t="shared" si="206"/>
        <v>65.426335732973143</v>
      </c>
      <c r="K238">
        <f t="shared" si="206"/>
        <v>72.605838892033418</v>
      </c>
      <c r="L238">
        <f t="shared" si="206"/>
        <v>80.551546639258916</v>
      </c>
      <c r="M238">
        <f t="shared" si="206"/>
        <v>89.473124901980597</v>
      </c>
      <c r="N238">
        <f t="shared" si="206"/>
        <v>99.420012835048681</v>
      </c>
    </row>
    <row r="239" spans="1:37" hidden="1">
      <c r="C239" s="407" t="s">
        <v>170</v>
      </c>
      <c r="E239" s="31">
        <v>0.14000000000000001</v>
      </c>
      <c r="F239" s="31">
        <v>0.13</v>
      </c>
      <c r="G239" s="31">
        <v>0.12</v>
      </c>
      <c r="H239" s="31">
        <v>0.12</v>
      </c>
      <c r="I239" s="31">
        <v>0.12</v>
      </c>
      <c r="J239" s="31">
        <v>0.12</v>
      </c>
      <c r="K239" s="31">
        <v>0.12</v>
      </c>
      <c r="L239" s="31">
        <v>0.12</v>
      </c>
      <c r="M239" s="31">
        <v>0.12</v>
      </c>
      <c r="N239" s="31">
        <v>0.12</v>
      </c>
    </row>
    <row r="240" spans="1:37">
      <c r="C240" s="407"/>
      <c r="E240" s="31"/>
      <c r="F240" s="31">
        <f>(F166+F$219)/-F$219</f>
        <v>0.33907631227051377</v>
      </c>
      <c r="G240" s="31"/>
      <c r="H240" s="31"/>
      <c r="I240" s="31"/>
      <c r="J240" s="99"/>
      <c r="K240" s="31"/>
      <c r="L240" s="31"/>
      <c r="M240" s="31"/>
      <c r="N240" s="31"/>
    </row>
    <row r="241" spans="6:7">
      <c r="F241">
        <f>(F166+F$219)</f>
        <v>12.086577987143514</v>
      </c>
      <c r="G241">
        <f>(G166+G$219)</f>
        <v>21.102305111578175</v>
      </c>
    </row>
    <row r="242" spans="6:7">
      <c r="F242" s="21">
        <f>F241/-F219</f>
        <v>0.33907631227051377</v>
      </c>
    </row>
    <row r="243" spans="6:7">
      <c r="F243">
        <f>(F166+F$219)/2</f>
        <v>6.0432889935717569</v>
      </c>
    </row>
    <row r="244" spans="6:7">
      <c r="F244" s="21">
        <f>F243/F219</f>
        <v>-0.16953815613525688</v>
      </c>
    </row>
  </sheetData>
  <pageMargins left="0.7" right="0.7" top="0.75" bottom="0.75" header="0.3" footer="0.3"/>
  <pageSetup orientation="portrait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54531-E619-4B33-B03E-A20CE1E9DEB7}">
  <sheetPr codeName="Sheet4">
    <tabColor theme="5" tint="0.79998168889431442"/>
  </sheetPr>
  <dimension ref="A3:W30"/>
  <sheetViews>
    <sheetView showGridLines="0" topLeftCell="B1" zoomScale="85" zoomScaleNormal="85" workbookViewId="0">
      <selection activeCell="J19" sqref="J19"/>
    </sheetView>
  </sheetViews>
  <sheetFormatPr defaultColWidth="0" defaultRowHeight="15"/>
  <cols>
    <col min="1" max="9" width="9.140625" customWidth="1"/>
    <col min="10" max="18" width="12.140625" customWidth="1"/>
    <col min="19" max="19" width="13" bestFit="1" customWidth="1"/>
    <col min="20" max="20" width="9.140625" customWidth="1"/>
    <col min="21" max="23" width="9.140625" hidden="1" customWidth="1"/>
  </cols>
  <sheetData>
    <row r="3" spans="1:19">
      <c r="B3" s="407" t="s">
        <v>29</v>
      </c>
      <c r="D3" s="57">
        <v>9</v>
      </c>
    </row>
    <row r="4" spans="1:19">
      <c r="B4" s="407" t="s">
        <v>171</v>
      </c>
      <c r="D4" s="57">
        <v>1</v>
      </c>
      <c r="E4" s="57">
        <v>9</v>
      </c>
    </row>
    <row r="7" spans="1:19">
      <c r="J7" s="58">
        <v>1</v>
      </c>
      <c r="K7" s="58">
        <f>J7+1</f>
        <v>2</v>
      </c>
      <c r="L7" s="58">
        <f t="shared" ref="L7:S7" si="0">K7+1</f>
        <v>3</v>
      </c>
      <c r="M7" s="58">
        <f t="shared" si="0"/>
        <v>4</v>
      </c>
      <c r="N7" s="58">
        <f t="shared" si="0"/>
        <v>5</v>
      </c>
      <c r="O7" s="58">
        <f t="shared" si="0"/>
        <v>6</v>
      </c>
      <c r="P7" s="58">
        <f t="shared" si="0"/>
        <v>7</v>
      </c>
      <c r="Q7" s="58">
        <f t="shared" si="0"/>
        <v>8</v>
      </c>
      <c r="R7" s="58">
        <f t="shared" si="0"/>
        <v>9</v>
      </c>
      <c r="S7" s="58">
        <f t="shared" si="0"/>
        <v>10</v>
      </c>
    </row>
    <row r="8" spans="1:19">
      <c r="J8" s="100">
        <v>2</v>
      </c>
      <c r="K8" s="100">
        <f>J8+1</f>
        <v>3</v>
      </c>
      <c r="L8" s="100">
        <f t="shared" ref="L8:S8" si="1">K8+1</f>
        <v>4</v>
      </c>
      <c r="M8" s="100">
        <f t="shared" si="1"/>
        <v>5</v>
      </c>
      <c r="N8" s="100">
        <f t="shared" si="1"/>
        <v>6</v>
      </c>
      <c r="O8" s="100">
        <f t="shared" si="1"/>
        <v>7</v>
      </c>
      <c r="P8" s="100">
        <f t="shared" si="1"/>
        <v>8</v>
      </c>
      <c r="Q8" s="100">
        <f t="shared" si="1"/>
        <v>9</v>
      </c>
      <c r="R8" s="100">
        <f t="shared" si="1"/>
        <v>10</v>
      </c>
      <c r="S8" s="100">
        <f t="shared" si="1"/>
        <v>11</v>
      </c>
    </row>
    <row r="11" spans="1:19" ht="15.75">
      <c r="B11" s="15" t="s">
        <v>52</v>
      </c>
      <c r="I11" s="202">
        <f>Exit_Value</f>
        <v>79.131756989884195</v>
      </c>
      <c r="J11" s="101">
        <v>40.85962222542868</v>
      </c>
      <c r="K11" s="101">
        <v>44.565418963269622</v>
      </c>
      <c r="L11" s="101">
        <v>48.565436164074619</v>
      </c>
      <c r="M11" s="101">
        <v>52.808865271519167</v>
      </c>
      <c r="N11" s="101">
        <v>57.407119526958063</v>
      </c>
      <c r="O11" s="101">
        <v>62.275466318907846</v>
      </c>
      <c r="P11" s="101">
        <v>67.534963071406409</v>
      </c>
      <c r="Q11" s="101">
        <v>73.342540850034226</v>
      </c>
      <c r="R11" s="101">
        <v>79.675614614750373</v>
      </c>
      <c r="S11" s="101"/>
    </row>
    <row r="12" spans="1:19" ht="15.75">
      <c r="B12" s="15" t="s">
        <v>129</v>
      </c>
      <c r="I12" s="202">
        <f>'Call Rights'!F72</f>
        <v>-134.60461158391757</v>
      </c>
      <c r="J12" s="101">
        <v>-0.68664760405468428</v>
      </c>
      <c r="K12" s="101">
        <v>-14.719389125046419</v>
      </c>
      <c r="L12" s="101">
        <v>-29.309450525333524</v>
      </c>
      <c r="M12" s="101">
        <v>-44.861392355073818</v>
      </c>
      <c r="N12" s="101">
        <v>-61.041993281304308</v>
      </c>
      <c r="O12" s="101">
        <v>-78.273039116317378</v>
      </c>
      <c r="P12" s="101">
        <v>-95.919087141180583</v>
      </c>
      <c r="Q12" s="101">
        <v>-112.96902416019788</v>
      </c>
      <c r="R12" s="101">
        <v>-130.05320466469541</v>
      </c>
      <c r="S12" s="101"/>
    </row>
    <row r="13" spans="1:19" ht="15.75">
      <c r="B13" s="15" t="s">
        <v>172</v>
      </c>
      <c r="I13" s="202">
        <f>'Call Rights'!I64</f>
        <v>92.4931695166145</v>
      </c>
      <c r="J13" s="101">
        <v>43.034445145743994</v>
      </c>
      <c r="K13" s="101">
        <v>47.821036651005102</v>
      </c>
      <c r="L13" s="101">
        <v>52.961336691072816</v>
      </c>
      <c r="M13" s="101">
        <v>58.467180728148705</v>
      </c>
      <c r="N13" s="101">
        <v>64.396024154383326</v>
      </c>
      <c r="O13" s="101">
        <v>70.728990319167778</v>
      </c>
      <c r="P13" s="101">
        <v>77.528157029106211</v>
      </c>
      <c r="Q13" s="101">
        <v>84.857277799756588</v>
      </c>
      <c r="R13" s="101">
        <v>92.774369629579226</v>
      </c>
      <c r="S13" s="101"/>
    </row>
    <row r="14" spans="1:19" ht="15.75">
      <c r="B14" s="15" t="s">
        <v>137</v>
      </c>
    </row>
    <row r="15" spans="1:19" ht="15.75">
      <c r="B15" s="15"/>
    </row>
    <row r="16" spans="1:19" s="102" customFormat="1" ht="10.5" customHeight="1">
      <c r="A16"/>
      <c r="B16" s="15"/>
    </row>
    <row r="17" spans="2:19" ht="15.75">
      <c r="B17" s="15"/>
    </row>
    <row r="18" spans="2:19" ht="15.75">
      <c r="B18" s="15" t="s">
        <v>122</v>
      </c>
      <c r="I18" s="124">
        <f>INDEX(J18:S18,,$D$3)</f>
        <v>0.1</v>
      </c>
      <c r="J18" s="39">
        <v>0.1</v>
      </c>
      <c r="K18" s="39">
        <f t="shared" ref="K18:R18" si="2">J18</f>
        <v>0.1</v>
      </c>
      <c r="L18" s="39">
        <f t="shared" si="2"/>
        <v>0.1</v>
      </c>
      <c r="M18" s="39">
        <f t="shared" si="2"/>
        <v>0.1</v>
      </c>
      <c r="N18" s="39">
        <f t="shared" si="2"/>
        <v>0.1</v>
      </c>
      <c r="O18" s="39">
        <f t="shared" si="2"/>
        <v>0.1</v>
      </c>
      <c r="P18" s="39">
        <f t="shared" si="2"/>
        <v>0.1</v>
      </c>
      <c r="Q18" s="39">
        <f t="shared" si="2"/>
        <v>0.1</v>
      </c>
      <c r="R18" s="39">
        <f t="shared" si="2"/>
        <v>0.1</v>
      </c>
      <c r="S18" s="39"/>
    </row>
    <row r="19" spans="2:19" ht="15.75">
      <c r="B19" s="15" t="s">
        <v>43</v>
      </c>
      <c r="I19" s="20">
        <f>INDEX(J19:S19,,$D$3)</f>
        <v>11</v>
      </c>
      <c r="J19" s="19">
        <v>3</v>
      </c>
      <c r="K19" s="19">
        <f t="shared" ref="K19:R19" si="3">J19+1</f>
        <v>4</v>
      </c>
      <c r="L19" s="19">
        <f t="shared" si="3"/>
        <v>5</v>
      </c>
      <c r="M19" s="19">
        <f t="shared" si="3"/>
        <v>6</v>
      </c>
      <c r="N19" s="19">
        <f t="shared" si="3"/>
        <v>7</v>
      </c>
      <c r="O19" s="19">
        <f t="shared" si="3"/>
        <v>8</v>
      </c>
      <c r="P19" s="19">
        <f t="shared" si="3"/>
        <v>9</v>
      </c>
      <c r="Q19" s="19">
        <f t="shared" si="3"/>
        <v>10</v>
      </c>
      <c r="R19" s="19">
        <f t="shared" si="3"/>
        <v>11</v>
      </c>
      <c r="S19" s="19"/>
    </row>
    <row r="30" spans="2:19">
      <c r="H30" s="31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C4597-F598-48EB-A9BA-CC6DF0F29E08}">
  <sheetPr codeName="Sheet20">
    <tabColor theme="5" tint="0.79998168889431442"/>
  </sheetPr>
  <dimension ref="B1:V57"/>
  <sheetViews>
    <sheetView showGridLines="0" zoomScale="73" workbookViewId="0">
      <pane xSplit="9" ySplit="14" topLeftCell="K15" activePane="bottomRight" state="frozen"/>
      <selection pane="topRight" activeCell="B54" sqref="B54:K54"/>
      <selection pane="bottomLeft" activeCell="B54" sqref="B54:K54"/>
      <selection pane="bottomRight" activeCell="J29" sqref="J29"/>
    </sheetView>
  </sheetViews>
  <sheetFormatPr defaultColWidth="0" defaultRowHeight="15"/>
  <cols>
    <col min="1" max="1" width="3" customWidth="1"/>
    <col min="2" max="2" width="38" customWidth="1"/>
    <col min="3" max="4" width="9.140625" customWidth="1"/>
    <col min="5" max="5" width="15.28515625" customWidth="1"/>
    <col min="6" max="6" width="17.28515625" customWidth="1"/>
    <col min="7" max="7" width="15.28515625" customWidth="1"/>
    <col min="8" max="8" width="35.42578125" customWidth="1"/>
    <col min="9" max="22" width="14.7109375" customWidth="1"/>
    <col min="23" max="23" width="10.5703125" customWidth="1"/>
  </cols>
  <sheetData>
    <row r="1" spans="2:22" s="3" customFormat="1" ht="23.25">
      <c r="B1" s="4" t="s">
        <v>28</v>
      </c>
    </row>
    <row r="2" spans="2:22" ht="15.75">
      <c r="B2" s="5"/>
    </row>
    <row r="4" spans="2:22">
      <c r="B4" t="s">
        <v>29</v>
      </c>
      <c r="D4" s="6">
        <v>1</v>
      </c>
    </row>
    <row r="6" spans="2:22">
      <c r="B6" t="s">
        <v>30</v>
      </c>
      <c r="J6" s="7">
        <f>I7+1</f>
        <v>45292</v>
      </c>
      <c r="K6" s="7">
        <f t="shared" ref="K6:V6" si="0">J7+1</f>
        <v>45658</v>
      </c>
      <c r="L6" s="7">
        <f t="shared" si="0"/>
        <v>46023</v>
      </c>
      <c r="M6" s="7">
        <f t="shared" si="0"/>
        <v>46388</v>
      </c>
      <c r="N6" s="7">
        <f t="shared" si="0"/>
        <v>46753</v>
      </c>
      <c r="O6" s="7">
        <f t="shared" si="0"/>
        <v>47119</v>
      </c>
      <c r="P6" s="7">
        <f t="shared" si="0"/>
        <v>47484</v>
      </c>
      <c r="Q6" s="7">
        <f t="shared" si="0"/>
        <v>47849</v>
      </c>
      <c r="R6" s="7">
        <f t="shared" si="0"/>
        <v>48214</v>
      </c>
      <c r="S6" s="7">
        <f t="shared" si="0"/>
        <v>48580</v>
      </c>
      <c r="T6" s="7">
        <f t="shared" si="0"/>
        <v>48945</v>
      </c>
      <c r="U6" s="7">
        <f t="shared" si="0"/>
        <v>49310</v>
      </c>
      <c r="V6" s="7">
        <f t="shared" si="0"/>
        <v>49675</v>
      </c>
    </row>
    <row r="7" spans="2:22">
      <c r="B7" t="s">
        <v>31</v>
      </c>
      <c r="I7" s="8">
        <f>'Output_Standalone (IDR)'!I7</f>
        <v>45291</v>
      </c>
      <c r="J7" s="7">
        <f>EOMONTH(J6,12-1)</f>
        <v>45657</v>
      </c>
      <c r="K7" s="7">
        <f t="shared" ref="K7:V7" si="1">EOMONTH(K6,12-1)</f>
        <v>46022</v>
      </c>
      <c r="L7" s="7">
        <f t="shared" si="1"/>
        <v>46387</v>
      </c>
      <c r="M7" s="7">
        <f t="shared" si="1"/>
        <v>46752</v>
      </c>
      <c r="N7" s="7">
        <f t="shared" si="1"/>
        <v>47118</v>
      </c>
      <c r="O7" s="7">
        <f t="shared" si="1"/>
        <v>47483</v>
      </c>
      <c r="P7" s="7">
        <f t="shared" si="1"/>
        <v>47848</v>
      </c>
      <c r="Q7" s="7">
        <f t="shared" si="1"/>
        <v>48213</v>
      </c>
      <c r="R7" s="7">
        <f t="shared" si="1"/>
        <v>48579</v>
      </c>
      <c r="S7" s="7">
        <f t="shared" si="1"/>
        <v>48944</v>
      </c>
      <c r="T7" s="7">
        <f t="shared" si="1"/>
        <v>49309</v>
      </c>
      <c r="U7" s="7">
        <f t="shared" si="1"/>
        <v>49674</v>
      </c>
      <c r="V7" s="7">
        <f t="shared" si="1"/>
        <v>50040</v>
      </c>
    </row>
    <row r="8" spans="2:22">
      <c r="B8" t="s">
        <v>32</v>
      </c>
      <c r="J8" s="9">
        <f>YEAR(J7)</f>
        <v>2024</v>
      </c>
      <c r="K8" s="9">
        <f t="shared" ref="K8:V8" si="2">YEAR(K7)</f>
        <v>2025</v>
      </c>
      <c r="L8" s="9">
        <f t="shared" si="2"/>
        <v>2026</v>
      </c>
      <c r="M8" s="9">
        <f t="shared" si="2"/>
        <v>2027</v>
      </c>
      <c r="N8" s="9">
        <f t="shared" si="2"/>
        <v>2028</v>
      </c>
      <c r="O8" s="9">
        <f t="shared" si="2"/>
        <v>2029</v>
      </c>
      <c r="P8" s="9">
        <f t="shared" si="2"/>
        <v>2030</v>
      </c>
      <c r="Q8" s="9">
        <f t="shared" si="2"/>
        <v>2031</v>
      </c>
      <c r="R8" s="9">
        <f t="shared" si="2"/>
        <v>2032</v>
      </c>
      <c r="S8" s="9">
        <f t="shared" si="2"/>
        <v>2033</v>
      </c>
      <c r="T8" s="9">
        <f t="shared" si="2"/>
        <v>2034</v>
      </c>
      <c r="U8" s="9">
        <f t="shared" si="2"/>
        <v>2035</v>
      </c>
      <c r="V8" s="9">
        <f t="shared" si="2"/>
        <v>2036</v>
      </c>
    </row>
    <row r="9" spans="2:22">
      <c r="B9" t="s">
        <v>33</v>
      </c>
      <c r="J9" s="10">
        <f>J7-J6+1</f>
        <v>366</v>
      </c>
      <c r="K9" s="10">
        <f t="shared" ref="K9:V9" si="3">K7-K6+1</f>
        <v>365</v>
      </c>
      <c r="L9" s="10">
        <f t="shared" si="3"/>
        <v>365</v>
      </c>
      <c r="M9" s="10">
        <f t="shared" si="3"/>
        <v>365</v>
      </c>
      <c r="N9" s="10">
        <f t="shared" si="3"/>
        <v>366</v>
      </c>
      <c r="O9" s="10">
        <f t="shared" si="3"/>
        <v>365</v>
      </c>
      <c r="P9" s="10">
        <f t="shared" si="3"/>
        <v>365</v>
      </c>
      <c r="Q9" s="10">
        <f t="shared" si="3"/>
        <v>365</v>
      </c>
      <c r="R9" s="10">
        <f t="shared" si="3"/>
        <v>366</v>
      </c>
      <c r="S9" s="10">
        <f t="shared" si="3"/>
        <v>365</v>
      </c>
      <c r="T9" s="10">
        <f t="shared" si="3"/>
        <v>365</v>
      </c>
      <c r="U9" s="10">
        <f t="shared" si="3"/>
        <v>365</v>
      </c>
      <c r="V9" s="10">
        <f t="shared" si="3"/>
        <v>366</v>
      </c>
    </row>
    <row r="10" spans="2:22">
      <c r="E10" s="11" t="s">
        <v>34</v>
      </c>
      <c r="F10" s="11" t="s">
        <v>35</v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</row>
    <row r="11" spans="2:22">
      <c r="B11" s="407" t="s">
        <v>36</v>
      </c>
      <c r="E11" s="12">
        <f>'Output_Standalone (IDR)'!E11</f>
        <v>45291</v>
      </c>
      <c r="F11" s="12">
        <f>'Output_Standalone (IDR)'!F11</f>
        <v>45291</v>
      </c>
      <c r="J11" s="13">
        <f t="shared" ref="J11:V11" si="4">IF(J7=$F$11,1,0)</f>
        <v>0</v>
      </c>
      <c r="K11" s="13">
        <f t="shared" si="4"/>
        <v>0</v>
      </c>
      <c r="L11" s="13">
        <f t="shared" si="4"/>
        <v>0</v>
      </c>
      <c r="M11" s="13">
        <f t="shared" si="4"/>
        <v>0</v>
      </c>
      <c r="N11" s="13">
        <f t="shared" si="4"/>
        <v>0</v>
      </c>
      <c r="O11" s="13">
        <f t="shared" si="4"/>
        <v>0</v>
      </c>
      <c r="P11" s="13">
        <f t="shared" si="4"/>
        <v>0</v>
      </c>
      <c r="Q11" s="13">
        <f t="shared" si="4"/>
        <v>0</v>
      </c>
      <c r="R11" s="13">
        <f t="shared" si="4"/>
        <v>0</v>
      </c>
      <c r="S11" s="13">
        <f t="shared" si="4"/>
        <v>0</v>
      </c>
      <c r="T11" s="13">
        <f t="shared" si="4"/>
        <v>0</v>
      </c>
      <c r="U11" s="13">
        <f t="shared" si="4"/>
        <v>0</v>
      </c>
      <c r="V11" s="13">
        <f t="shared" si="4"/>
        <v>0</v>
      </c>
    </row>
    <row r="12" spans="2:22">
      <c r="B12" t="s">
        <v>37</v>
      </c>
      <c r="E12" s="12">
        <f>'Output_Standalone (IDR)'!E12</f>
        <v>45292</v>
      </c>
      <c r="F12" s="12">
        <f>'Output_Standalone (IDR)'!F12+1</f>
        <v>50041</v>
      </c>
      <c r="J12" s="13">
        <f>IF(J11=1,0,IF(J7&gt;$F$12,0,1))</f>
        <v>1</v>
      </c>
      <c r="K12" s="13">
        <f>IF(K11=1,0,IF(K7&gt;$F$12,0,1))</f>
        <v>1</v>
      </c>
      <c r="L12" s="13">
        <f t="shared" ref="L12:V12" si="5">IF(L11=1,0,IF(L7&gt;$F$12,0,1))</f>
        <v>1</v>
      </c>
      <c r="M12" s="13">
        <f t="shared" si="5"/>
        <v>1</v>
      </c>
      <c r="N12" s="13">
        <f t="shared" si="5"/>
        <v>1</v>
      </c>
      <c r="O12" s="13">
        <f t="shared" si="5"/>
        <v>1</v>
      </c>
      <c r="P12" s="13">
        <f t="shared" si="5"/>
        <v>1</v>
      </c>
      <c r="Q12" s="13">
        <f t="shared" si="5"/>
        <v>1</v>
      </c>
      <c r="R12" s="13">
        <f t="shared" si="5"/>
        <v>1</v>
      </c>
      <c r="S12" s="13">
        <f t="shared" si="5"/>
        <v>1</v>
      </c>
      <c r="T12" s="13">
        <v>1</v>
      </c>
      <c r="U12" s="13">
        <f t="shared" si="5"/>
        <v>1</v>
      </c>
      <c r="V12" s="13">
        <f t="shared" si="5"/>
        <v>1</v>
      </c>
    </row>
    <row r="13" spans="2:22">
      <c r="F13" s="7"/>
    </row>
    <row r="14" spans="2:22">
      <c r="B14" t="s">
        <v>38</v>
      </c>
      <c r="J14">
        <f>SUM($J$12:J12)</f>
        <v>1</v>
      </c>
      <c r="K14">
        <f>SUM($J$12:K12)</f>
        <v>2</v>
      </c>
      <c r="L14">
        <f>SUM($J$12:L12)</f>
        <v>3</v>
      </c>
      <c r="M14">
        <f>SUM($J$12:M12)</f>
        <v>4</v>
      </c>
      <c r="N14">
        <f>SUM($J$12:N12)</f>
        <v>5</v>
      </c>
      <c r="O14">
        <f>SUM($J$12:O12)</f>
        <v>6</v>
      </c>
      <c r="P14">
        <f>SUM($J$12:P12)</f>
        <v>7</v>
      </c>
      <c r="Q14">
        <f>SUM($J$12:Q12)</f>
        <v>8</v>
      </c>
      <c r="R14">
        <f>SUM($J$12:R12)</f>
        <v>9</v>
      </c>
      <c r="S14">
        <f>SUM($J$12:S12)</f>
        <v>10</v>
      </c>
      <c r="T14">
        <f>SUM($J$12:T12)</f>
        <v>11</v>
      </c>
      <c r="U14">
        <f>SUM($J$12:U12)</f>
        <v>12</v>
      </c>
      <c r="V14">
        <f>SUM($J$12:V12)</f>
        <v>13</v>
      </c>
    </row>
    <row r="16" spans="2:22" ht="24" thickBot="1">
      <c r="B16" s="14" t="s">
        <v>39</v>
      </c>
      <c r="C16" s="14"/>
      <c r="D16" s="14"/>
      <c r="E16" s="14"/>
      <c r="F16" s="14"/>
      <c r="G16" s="14"/>
      <c r="H16" s="14"/>
      <c r="I16" s="14"/>
      <c r="J16" s="14"/>
      <c r="K16" s="14">
        <v>1</v>
      </c>
      <c r="L16" s="14">
        <f>K16+1</f>
        <v>2</v>
      </c>
      <c r="M16" s="14">
        <f t="shared" ref="M16:T16" si="6">L16+1</f>
        <v>3</v>
      </c>
      <c r="N16" s="14">
        <f t="shared" si="6"/>
        <v>4</v>
      </c>
      <c r="O16" s="14">
        <f t="shared" si="6"/>
        <v>5</v>
      </c>
      <c r="P16" s="14">
        <f t="shared" si="6"/>
        <v>6</v>
      </c>
      <c r="Q16" s="14">
        <f t="shared" si="6"/>
        <v>7</v>
      </c>
      <c r="R16" s="14">
        <f t="shared" si="6"/>
        <v>8</v>
      </c>
      <c r="S16" s="14">
        <f t="shared" si="6"/>
        <v>9</v>
      </c>
      <c r="T16" s="14">
        <f t="shared" si="6"/>
        <v>10</v>
      </c>
      <c r="U16" s="14"/>
      <c r="V16" s="14"/>
    </row>
    <row r="18" spans="2:22" ht="15.75">
      <c r="B18" s="15" t="s">
        <v>40</v>
      </c>
      <c r="K18" s="9">
        <f>J18+1</f>
        <v>1</v>
      </c>
      <c r="L18" s="9">
        <f t="shared" ref="L18:V18" si="7">K18+1</f>
        <v>2</v>
      </c>
      <c r="M18" s="9">
        <f t="shared" si="7"/>
        <v>3</v>
      </c>
      <c r="N18" s="9">
        <f t="shared" si="7"/>
        <v>4</v>
      </c>
      <c r="O18" s="9">
        <f t="shared" si="7"/>
        <v>5</v>
      </c>
      <c r="P18" s="9">
        <f t="shared" si="7"/>
        <v>6</v>
      </c>
      <c r="Q18" s="9">
        <f t="shared" si="7"/>
        <v>7</v>
      </c>
      <c r="R18" s="9">
        <f t="shared" si="7"/>
        <v>8</v>
      </c>
      <c r="S18" s="9">
        <f t="shared" si="7"/>
        <v>9</v>
      </c>
      <c r="T18" s="9">
        <f t="shared" si="7"/>
        <v>10</v>
      </c>
      <c r="U18">
        <f t="shared" si="7"/>
        <v>11</v>
      </c>
      <c r="V18">
        <f t="shared" si="7"/>
        <v>12</v>
      </c>
    </row>
    <row r="20" spans="2:22">
      <c r="B20" t="s">
        <v>41</v>
      </c>
      <c r="F20" s="57">
        <v>1</v>
      </c>
      <c r="J20" s="13">
        <f>IF($F$20=J18,1,0)</f>
        <v>0</v>
      </c>
      <c r="K20" s="13">
        <f t="shared" ref="K20:V20" si="8">IF($F$20=K18,1,0)</f>
        <v>1</v>
      </c>
      <c r="L20" s="13">
        <f t="shared" si="8"/>
        <v>0</v>
      </c>
      <c r="M20" s="13">
        <f t="shared" si="8"/>
        <v>0</v>
      </c>
      <c r="N20" s="13">
        <f t="shared" si="8"/>
        <v>0</v>
      </c>
      <c r="O20" s="13">
        <f t="shared" si="8"/>
        <v>0</v>
      </c>
      <c r="P20" s="13">
        <f t="shared" si="8"/>
        <v>0</v>
      </c>
      <c r="Q20" s="13">
        <f t="shared" si="8"/>
        <v>0</v>
      </c>
      <c r="R20" s="13">
        <f t="shared" si="8"/>
        <v>0</v>
      </c>
      <c r="S20" s="13">
        <f t="shared" si="8"/>
        <v>0</v>
      </c>
      <c r="T20" s="13">
        <f t="shared" si="8"/>
        <v>0</v>
      </c>
      <c r="U20" s="13">
        <f t="shared" si="8"/>
        <v>0</v>
      </c>
      <c r="V20" s="13">
        <f t="shared" si="8"/>
        <v>0</v>
      </c>
    </row>
    <row r="21" spans="2:22">
      <c r="B21" t="s">
        <v>42</v>
      </c>
      <c r="F21" s="98">
        <f>F22</f>
        <v>11</v>
      </c>
      <c r="J21" s="13">
        <f t="shared" ref="J21:V21" si="9">IF($F$21=J18,1,0)*J12</f>
        <v>0</v>
      </c>
      <c r="K21" s="13">
        <f t="shared" si="9"/>
        <v>0</v>
      </c>
      <c r="L21" s="13">
        <f t="shared" si="9"/>
        <v>0</v>
      </c>
      <c r="M21" s="13">
        <f t="shared" si="9"/>
        <v>0</v>
      </c>
      <c r="N21" s="13">
        <f t="shared" si="9"/>
        <v>0</v>
      </c>
      <c r="O21" s="13">
        <f t="shared" si="9"/>
        <v>0</v>
      </c>
      <c r="P21" s="13">
        <f t="shared" si="9"/>
        <v>0</v>
      </c>
      <c r="Q21" s="13">
        <f t="shared" si="9"/>
        <v>0</v>
      </c>
      <c r="R21" s="13">
        <f t="shared" si="9"/>
        <v>0</v>
      </c>
      <c r="S21" s="13">
        <f t="shared" si="9"/>
        <v>0</v>
      </c>
      <c r="T21" s="71">
        <f t="shared" si="9"/>
        <v>0</v>
      </c>
      <c r="U21" s="13">
        <f t="shared" si="9"/>
        <v>1</v>
      </c>
      <c r="V21" s="13">
        <f t="shared" si="9"/>
        <v>0</v>
      </c>
    </row>
    <row r="22" spans="2:22">
      <c r="B22" t="s">
        <v>43</v>
      </c>
      <c r="E22">
        <f>Simulation!I19</f>
        <v>11</v>
      </c>
      <c r="F22" s="57">
        <f>Simulation!I19</f>
        <v>11</v>
      </c>
      <c r="G22" s="17" t="s">
        <v>32</v>
      </c>
      <c r="J22" s="13">
        <f t="shared" ref="J22:V22" si="10">IF(J18=0,0,IF(J18&lt;=$F$22,1,0)*J12)</f>
        <v>0</v>
      </c>
      <c r="K22" s="71">
        <f t="shared" si="10"/>
        <v>1</v>
      </c>
      <c r="L22" s="13">
        <f t="shared" si="10"/>
        <v>1</v>
      </c>
      <c r="M22" s="13">
        <f t="shared" si="10"/>
        <v>1</v>
      </c>
      <c r="N22" s="13">
        <f t="shared" si="10"/>
        <v>1</v>
      </c>
      <c r="O22" s="13">
        <f t="shared" si="10"/>
        <v>1</v>
      </c>
      <c r="P22" s="13">
        <f t="shared" si="10"/>
        <v>1</v>
      </c>
      <c r="Q22" s="13">
        <f t="shared" si="10"/>
        <v>1</v>
      </c>
      <c r="R22" s="13">
        <f t="shared" si="10"/>
        <v>1</v>
      </c>
      <c r="S22" s="13">
        <f t="shared" si="10"/>
        <v>1</v>
      </c>
      <c r="T22" s="13">
        <f t="shared" si="10"/>
        <v>1</v>
      </c>
      <c r="U22" s="13">
        <f t="shared" si="10"/>
        <v>1</v>
      </c>
      <c r="V22" s="13">
        <f t="shared" si="10"/>
        <v>0</v>
      </c>
    </row>
    <row r="25" spans="2:22" ht="15.75">
      <c r="B25" s="15" t="s">
        <v>173</v>
      </c>
      <c r="F25">
        <f>899240+252723</f>
        <v>1151963</v>
      </c>
    </row>
    <row r="26" spans="2:22">
      <c r="B26" s="407" t="s">
        <v>174</v>
      </c>
      <c r="E26" s="17" t="s">
        <v>175</v>
      </c>
      <c r="F26" s="57">
        <f>3446150-F25</f>
        <v>2294187</v>
      </c>
      <c r="G26" s="98">
        <f>F26/USD_IDR</f>
        <v>141.05053796495542</v>
      </c>
      <c r="H26" s="17" t="s">
        <v>176</v>
      </c>
    </row>
    <row r="27" spans="2:22">
      <c r="B27" s="407" t="s">
        <v>66</v>
      </c>
      <c r="E27" s="17" t="s">
        <v>175</v>
      </c>
      <c r="F27" s="57">
        <v>359884</v>
      </c>
      <c r="G27" s="98">
        <f>F27/USD_IDR</f>
        <v>22.126283430679372</v>
      </c>
      <c r="H27" s="17" t="s">
        <v>176</v>
      </c>
    </row>
    <row r="28" spans="2:22">
      <c r="B28" s="407" t="s">
        <v>177</v>
      </c>
      <c r="E28" s="17" t="s">
        <v>175</v>
      </c>
      <c r="F28" s="98">
        <f>F26-F27</f>
        <v>1934303</v>
      </c>
      <c r="G28" s="98">
        <f>F28/USD_IDR</f>
        <v>118.92425453427606</v>
      </c>
      <c r="H28" s="17" t="s">
        <v>176</v>
      </c>
    </row>
    <row r="29" spans="2:22">
      <c r="E29" s="17"/>
      <c r="H29" s="17"/>
    </row>
    <row r="30" spans="2:22">
      <c r="B30" s="407" t="s">
        <v>178</v>
      </c>
      <c r="E30" s="17" t="s">
        <v>175</v>
      </c>
      <c r="F30" s="210">
        <f>F28*51%</f>
        <v>986494.53</v>
      </c>
      <c r="G30" s="98">
        <f>F30/USD_IDR</f>
        <v>60.651369812480787</v>
      </c>
      <c r="H30" s="17" t="s">
        <v>176</v>
      </c>
    </row>
    <row r="33" spans="2:20">
      <c r="B33" s="407"/>
      <c r="L33" s="9">
        <v>2</v>
      </c>
      <c r="M33" s="9">
        <f>L33+1</f>
        <v>3</v>
      </c>
      <c r="N33" s="9">
        <f t="shared" ref="N33:T33" si="11">M33+1</f>
        <v>4</v>
      </c>
      <c r="O33" s="9">
        <f t="shared" si="11"/>
        <v>5</v>
      </c>
      <c r="P33" s="9">
        <f t="shared" si="11"/>
        <v>6</v>
      </c>
      <c r="Q33" s="9">
        <f t="shared" si="11"/>
        <v>7</v>
      </c>
      <c r="R33" s="9">
        <f t="shared" si="11"/>
        <v>8</v>
      </c>
      <c r="S33" s="9">
        <f t="shared" si="11"/>
        <v>9</v>
      </c>
      <c r="T33" s="9">
        <f t="shared" si="11"/>
        <v>10</v>
      </c>
    </row>
    <row r="34" spans="2:20">
      <c r="K34" s="204">
        <v>0.2</v>
      </c>
      <c r="L34" s="54">
        <v>67.33928815928644</v>
      </c>
      <c r="M34" s="54">
        <v>100.71381898746998</v>
      </c>
      <c r="N34" s="54">
        <v>118.07729960178654</v>
      </c>
      <c r="O34" s="54">
        <v>120.91285075771142</v>
      </c>
      <c r="P34" s="54">
        <v>122.75247626310409</v>
      </c>
      <c r="Q34" s="54">
        <v>132.85457861552536</v>
      </c>
      <c r="R34" s="54">
        <v>148.61658664131818</v>
      </c>
      <c r="S34" s="54">
        <v>172.4133588712474</v>
      </c>
      <c r="T34" s="54">
        <v>244.34474600379141</v>
      </c>
    </row>
    <row r="35" spans="2:20">
      <c r="K35" s="204">
        <f>K34-1%</f>
        <v>0.19</v>
      </c>
      <c r="L35" s="54">
        <v>66.80356481434147</v>
      </c>
      <c r="M35" s="54">
        <v>98.90479237393879</v>
      </c>
      <c r="N35" s="54">
        <v>114.5417195906582</v>
      </c>
      <c r="O35" s="54">
        <v>115.08718274410478</v>
      </c>
      <c r="P35" s="54">
        <v>113.72282371376019</v>
      </c>
      <c r="Q35" s="54">
        <v>119.64792975485616</v>
      </c>
      <c r="R35" s="54">
        <v>129.78944448657558</v>
      </c>
      <c r="S35" s="54">
        <v>146.36330273708205</v>
      </c>
      <c r="T35" s="54">
        <v>209.0324036899348</v>
      </c>
    </row>
    <row r="36" spans="2:20">
      <c r="K36" s="204">
        <f t="shared" ref="K36:K46" si="12">K35-1%</f>
        <v>0.18</v>
      </c>
      <c r="L36" s="54">
        <v>66.267845902809938</v>
      </c>
      <c r="M36" s="54">
        <v>97.106576291841947</v>
      </c>
      <c r="N36" s="54">
        <v>111.05483379704808</v>
      </c>
      <c r="O36" s="54">
        <v>109.38963113749512</v>
      </c>
      <c r="P36" s="54">
        <v>104.96063734277303</v>
      </c>
      <c r="Q36" s="54">
        <v>106.93835060870506</v>
      </c>
      <c r="R36" s="54">
        <v>111.81434766052021</v>
      </c>
      <c r="S36" s="54">
        <v>121.69150093683709</v>
      </c>
      <c r="T36" s="54">
        <v>175.87192745384115</v>
      </c>
    </row>
    <row r="37" spans="2:20">
      <c r="K37" s="204">
        <f t="shared" si="12"/>
        <v>0.16999999999999998</v>
      </c>
      <c r="L37" s="54">
        <v>65.7321836428804</v>
      </c>
      <c r="M37" s="54">
        <v>95.318930992571211</v>
      </c>
      <c r="N37" s="54">
        <v>107.61642906089546</v>
      </c>
      <c r="O37" s="54">
        <v>103.81833833854702</v>
      </c>
      <c r="P37" s="54">
        <v>96.461041252037262</v>
      </c>
      <c r="Q37" s="54">
        <v>94.710112105628326</v>
      </c>
      <c r="R37" s="54">
        <v>94.659539301802113</v>
      </c>
      <c r="S37" s="54">
        <v>98.337777389334576</v>
      </c>
      <c r="T37" s="54">
        <v>144.7493642720772</v>
      </c>
    </row>
    <row r="38" spans="2:20">
      <c r="K38" s="204">
        <f t="shared" si="12"/>
        <v>0.15999999999999998</v>
      </c>
      <c r="L38" s="54">
        <v>65.196473714226016</v>
      </c>
      <c r="M38" s="54">
        <v>93.542116229367167</v>
      </c>
      <c r="N38" s="54">
        <v>104.22678354931642</v>
      </c>
      <c r="O38" s="54">
        <v>98.372550621024601</v>
      </c>
      <c r="P38" s="54">
        <v>88.217441458502293</v>
      </c>
      <c r="Q38" s="54">
        <v>82.949234476229435</v>
      </c>
      <c r="R38" s="54">
        <v>78.290957397644377</v>
      </c>
      <c r="S38" s="54">
        <v>76.242478245997887</v>
      </c>
      <c r="T38" s="54">
        <v>115.54940650363355</v>
      </c>
    </row>
    <row r="39" spans="2:20">
      <c r="K39" s="204">
        <f t="shared" si="12"/>
        <v>0.14999999999999997</v>
      </c>
      <c r="L39" s="54">
        <v>64.66075883212018</v>
      </c>
      <c r="M39" s="54">
        <v>91.776055134984745</v>
      </c>
      <c r="N39" s="54">
        <v>100.88489200298767</v>
      </c>
      <c r="O39" s="54">
        <v>93.049116027597449</v>
      </c>
      <c r="P39" s="54">
        <v>80.224094961917501</v>
      </c>
      <c r="Q39" s="54">
        <v>71.641776250973834</v>
      </c>
      <c r="R39" s="54">
        <v>62.680547872102011</v>
      </c>
      <c r="S39" s="54">
        <v>55.345046833948516</v>
      </c>
      <c r="T39" s="54">
        <v>88.168271428737825</v>
      </c>
    </row>
    <row r="40" spans="2:20">
      <c r="K40" s="204">
        <f t="shared" si="12"/>
        <v>0.13999999999999996</v>
      </c>
      <c r="L40" s="54">
        <v>64.125034532425261</v>
      </c>
      <c r="M40" s="54">
        <v>90.020631282468486</v>
      </c>
      <c r="N40" s="54">
        <v>97.59079168529064</v>
      </c>
      <c r="O40" s="54">
        <v>87.847284529367727</v>
      </c>
      <c r="P40" s="54">
        <v>72.475846601971426</v>
      </c>
      <c r="Q40" s="54">
        <v>60.772744721199501</v>
      </c>
      <c r="R40" s="54">
        <v>47.79581949131358</v>
      </c>
      <c r="S40" s="54">
        <v>35.587630410661518</v>
      </c>
      <c r="T40" s="54">
        <v>62.507290262478136</v>
      </c>
    </row>
    <row r="41" spans="2:20">
      <c r="K41" s="204">
        <f t="shared" si="12"/>
        <v>0.12999999999999995</v>
      </c>
      <c r="L41" s="54">
        <v>63.589316053384152</v>
      </c>
      <c r="M41" s="54">
        <v>88.275933720725988</v>
      </c>
      <c r="N41" s="54">
        <v>94.344030399529942</v>
      </c>
      <c r="O41" s="54">
        <v>82.764671939882533</v>
      </c>
      <c r="P41" s="54">
        <v>64.966274263297663</v>
      </c>
      <c r="Q41" s="54">
        <v>50.329149287339078</v>
      </c>
      <c r="R41" s="54">
        <v>33.610867633724553</v>
      </c>
      <c r="S41" s="54">
        <v>16.917650995296327</v>
      </c>
      <c r="T41" s="54">
        <v>38.470454204335113</v>
      </c>
    </row>
    <row r="42" spans="2:20">
      <c r="K42" s="204">
        <f t="shared" si="12"/>
        <v>0.11999999999999995</v>
      </c>
      <c r="L42" s="54">
        <v>63.053641390432318</v>
      </c>
      <c r="M42" s="54">
        <v>86.541992701955309</v>
      </c>
      <c r="N42" s="54">
        <v>91.144148989071368</v>
      </c>
      <c r="O42" s="54">
        <v>77.8001316764244</v>
      </c>
      <c r="P42" s="54">
        <v>57.690130729991552</v>
      </c>
      <c r="Q42" s="54">
        <v>40.295909848657061</v>
      </c>
      <c r="R42" s="54">
        <v>20.096000240168564</v>
      </c>
      <c r="S42" s="54">
        <v>-0.71784263394803816</v>
      </c>
      <c r="T42" s="54">
        <v>15.966129017463345</v>
      </c>
    </row>
    <row r="43" spans="2:20">
      <c r="K43" s="204">
        <f t="shared" si="12"/>
        <v>0.10999999999999996</v>
      </c>
      <c r="L43" s="54">
        <v>62.517952349361266</v>
      </c>
      <c r="M43" s="54">
        <v>84.818638860560327</v>
      </c>
      <c r="N43" s="54">
        <v>87.990996238089849</v>
      </c>
      <c r="O43" s="54">
        <v>72.95066003802043</v>
      </c>
      <c r="P43" s="54">
        <v>50.642133416384183</v>
      </c>
      <c r="Q43" s="54">
        <v>30.662070391527095</v>
      </c>
      <c r="R43" s="54">
        <v>7.2255123753194539</v>
      </c>
      <c r="S43" s="54">
        <v>-17.366851973831558</v>
      </c>
      <c r="T43" s="54">
        <v>-5.0930518359114103</v>
      </c>
    </row>
    <row r="44" spans="2:20">
      <c r="K44" s="204">
        <f t="shared" si="12"/>
        <v>9.9999999999999964E-2</v>
      </c>
      <c r="L44" s="54">
        <v>61.982236072201104</v>
      </c>
      <c r="M44" s="54">
        <v>83.106152181730664</v>
      </c>
      <c r="N44" s="54">
        <v>84.884502630514788</v>
      </c>
      <c r="O44" s="54">
        <v>68.216025934328343</v>
      </c>
      <c r="P44" s="54">
        <v>43.816284473192354</v>
      </c>
      <c r="Q44" s="54">
        <v>21.414336555757558</v>
      </c>
      <c r="R44" s="54">
        <v>-5.0274439726698574</v>
      </c>
      <c r="S44" s="54">
        <v>-33.080697224044513</v>
      </c>
      <c r="T44" s="54">
        <v>-24.789096622319533</v>
      </c>
    </row>
    <row r="45" spans="2:20">
      <c r="K45" s="204">
        <f t="shared" si="12"/>
        <v>8.9999999999999969E-2</v>
      </c>
      <c r="L45" s="54">
        <v>61.446507049695853</v>
      </c>
      <c r="M45" s="54">
        <v>81.404381663400244</v>
      </c>
      <c r="N45" s="54">
        <v>81.823783706605781</v>
      </c>
      <c r="O45" s="54">
        <v>63.593282115822767</v>
      </c>
      <c r="P45" s="54">
        <v>37.207380906922182</v>
      </c>
      <c r="Q45" s="54">
        <v>12.538738907307675</v>
      </c>
      <c r="R45" s="54">
        <v>-16.687997249990602</v>
      </c>
      <c r="S45" s="54">
        <v>-47.903305914075062</v>
      </c>
      <c r="T45" s="54">
        <v>-43.200091816268156</v>
      </c>
    </row>
    <row r="46" spans="2:20">
      <c r="K46" s="204">
        <f t="shared" si="12"/>
        <v>7.9999999999999974E-2</v>
      </c>
      <c r="L46" s="54">
        <v>60.910847398018518</v>
      </c>
      <c r="M46" s="54">
        <v>79.713144469073143</v>
      </c>
      <c r="N46" s="54">
        <v>78.809018928502155</v>
      </c>
      <c r="O46" s="54">
        <v>59.081234108475037</v>
      </c>
      <c r="P46" s="54">
        <v>30.81072085747688</v>
      </c>
      <c r="Q46" s="54">
        <v>4.0244432594925144</v>
      </c>
      <c r="R46" s="54">
        <v>-27.780935765093815</v>
      </c>
      <c r="S46" s="54">
        <v>-61.879435074418396</v>
      </c>
      <c r="T46" s="54">
        <v>-60.398208851837765</v>
      </c>
    </row>
    <row r="49" spans="2:22" ht="15.75">
      <c r="B49" s="15" t="s">
        <v>179</v>
      </c>
    </row>
    <row r="50" spans="2:22">
      <c r="B50" s="407" t="s">
        <v>180</v>
      </c>
      <c r="J50">
        <f>Output_Consol_USD!J47</f>
        <v>33.714919475699084</v>
      </c>
      <c r="K50">
        <f>Output_Consol_USD!K47</f>
        <v>41.349620821605754</v>
      </c>
      <c r="L50">
        <f>Output_Consol_USD!L47</f>
        <v>48.944656061358401</v>
      </c>
      <c r="M50">
        <f>Output_Consol_USD!M47</f>
        <v>54.3987042571015</v>
      </c>
      <c r="N50">
        <f>Output_Consol_USD!N47</f>
        <v>57.098350523499171</v>
      </c>
      <c r="O50">
        <f>Output_Consol_USD!O47</f>
        <v>59.707362282152431</v>
      </c>
      <c r="P50">
        <f>Output_Consol_USD!P47</f>
        <v>61.081339420365445</v>
      </c>
      <c r="Q50">
        <f>Output_Consol_USD!Q47</f>
        <v>64.212171056488188</v>
      </c>
      <c r="R50">
        <f>Output_Consol_USD!R47</f>
        <v>65.517654393152128</v>
      </c>
      <c r="S50">
        <f>Output_Consol_USD!S47</f>
        <v>67.181187014106072</v>
      </c>
      <c r="T50">
        <f>Output_Consol_USD!T47</f>
        <v>68.27519951078429</v>
      </c>
      <c r="U50">
        <f>Output_Consol_USD!U47</f>
        <v>69.220900544480131</v>
      </c>
      <c r="V50">
        <f>Output_Consol_USD!V47</f>
        <v>70.446741467378146</v>
      </c>
    </row>
    <row r="51" spans="2:22">
      <c r="B51" s="407" t="s">
        <v>181</v>
      </c>
      <c r="J51">
        <f>-Output_Consol_USD!J28</f>
        <v>3.9374672928165384</v>
      </c>
      <c r="K51">
        <f>-Output_Consol_USD!K28</f>
        <v>3.9215770167703443</v>
      </c>
      <c r="L51">
        <f>-Output_Consol_USD!L28</f>
        <v>2.5478020288964034</v>
      </c>
      <c r="M51">
        <f>-Output_Consol_USD!M28</f>
        <v>1.9364279126959731</v>
      </c>
      <c r="N51">
        <f>-Output_Consol_USD!N28</f>
        <v>1.4689209960036889</v>
      </c>
      <c r="O51">
        <f>-Output_Consol_USD!O28</f>
        <v>1.1996925914540424</v>
      </c>
      <c r="P51">
        <f>-Output_Consol_USD!P28</f>
        <v>1.015493390716262</v>
      </c>
      <c r="Q51">
        <f>-Output_Consol_USD!Q28</f>
        <v>0.95929910851521683</v>
      </c>
      <c r="R51">
        <f>-Output_Consol_USD!R28</f>
        <v>0.87697509990777733</v>
      </c>
      <c r="S51">
        <f>-Output_Consol_USD!S28</f>
        <v>0.84395942207193364</v>
      </c>
      <c r="T51">
        <f>-Output_Consol_USD!T28</f>
        <v>0.88718106363356908</v>
      </c>
      <c r="U51">
        <f>-Output_Consol_USD!U28</f>
        <v>0.9221026744543499</v>
      </c>
      <c r="V51">
        <f>-Output_Consol_USD!V28</f>
        <v>0.94767906547802039</v>
      </c>
    </row>
    <row r="52" spans="2:22">
      <c r="B52" s="407" t="s">
        <v>182</v>
      </c>
      <c r="J52">
        <f>Output_Consol_USD!J52</f>
        <v>-20.814048570550263</v>
      </c>
      <c r="K52">
        <f>Output_Consol_USD!K52</f>
        <v>-11.63470642483861</v>
      </c>
      <c r="L52">
        <f>Output_Consol_USD!L52</f>
        <v>-34.188258823357195</v>
      </c>
      <c r="M52">
        <f>Output_Consol_USD!M52</f>
        <v>-15.401391023670458</v>
      </c>
      <c r="N52">
        <f>Output_Consol_USD!N52</f>
        <v>-5.7854288349216105</v>
      </c>
      <c r="O52">
        <f>Output_Consol_USD!O52</f>
        <v>-5.4103904088533659</v>
      </c>
      <c r="P52">
        <f>Output_Consol_USD!P52</f>
        <v>-7.4208422994159235</v>
      </c>
      <c r="Q52">
        <f>Output_Consol_USD!Q52</f>
        <v>-6.6830617891177377</v>
      </c>
      <c r="R52">
        <f>Output_Consol_USD!R52</f>
        <v>-4.9431294189978487</v>
      </c>
      <c r="S52">
        <f>Output_Consol_USD!S52</f>
        <v>-7.2363971718413778</v>
      </c>
      <c r="T52">
        <f>Output_Consol_USD!T52</f>
        <v>-7.3962496157393174</v>
      </c>
      <c r="U52">
        <f>Output_Consol_USD!U52</f>
        <v>-7.5806947433138641</v>
      </c>
      <c r="V52">
        <f>Output_Consol_USD!V52</f>
        <v>-7.7958807254841682</v>
      </c>
    </row>
    <row r="53" spans="2:22">
      <c r="B53" s="28" t="s">
        <v>183</v>
      </c>
      <c r="C53" s="28"/>
      <c r="D53" s="28"/>
      <c r="E53" s="28"/>
      <c r="F53" s="28"/>
      <c r="G53" s="28"/>
      <c r="H53" s="28"/>
      <c r="I53" s="28"/>
      <c r="J53" s="28">
        <f>SUM(J50:J52)</f>
        <v>16.838338197965356</v>
      </c>
      <c r="K53" s="28">
        <f t="shared" ref="K53:V53" si="13">SUM(K50:K52)</f>
        <v>33.636491413537485</v>
      </c>
      <c r="L53" s="28">
        <f t="shared" si="13"/>
        <v>17.304199266897612</v>
      </c>
      <c r="M53" s="28">
        <f t="shared" si="13"/>
        <v>40.933741146127019</v>
      </c>
      <c r="N53" s="28">
        <f t="shared" si="13"/>
        <v>52.78184268458125</v>
      </c>
      <c r="O53" s="28">
        <f t="shared" si="13"/>
        <v>55.49666446475311</v>
      </c>
      <c r="P53" s="28">
        <f t="shared" si="13"/>
        <v>54.675990511665781</v>
      </c>
      <c r="Q53" s="28">
        <f t="shared" si="13"/>
        <v>58.488408375885662</v>
      </c>
      <c r="R53" s="28">
        <f t="shared" si="13"/>
        <v>61.451500074062061</v>
      </c>
      <c r="S53" s="28">
        <f t="shared" si="13"/>
        <v>60.78874926433663</v>
      </c>
      <c r="T53" s="28">
        <f t="shared" si="13"/>
        <v>61.766130958678538</v>
      </c>
      <c r="U53" s="28">
        <f t="shared" si="13"/>
        <v>62.562308475620618</v>
      </c>
      <c r="V53" s="28">
        <f t="shared" si="13"/>
        <v>63.598539807372006</v>
      </c>
    </row>
    <row r="55" spans="2:22">
      <c r="B55" s="407" t="s">
        <v>184</v>
      </c>
      <c r="J55">
        <f>Output_Consol_USD!J55</f>
        <v>0</v>
      </c>
      <c r="K55">
        <f>Output_Consol_USD!K55</f>
        <v>0</v>
      </c>
      <c r="L55">
        <f>Output_Consol_USD!L55</f>
        <v>25.80830186055363</v>
      </c>
      <c r="M55">
        <f>Output_Consol_USD!M55</f>
        <v>9.8372963418383037</v>
      </c>
      <c r="N55">
        <f>Output_Consol_USD!N55</f>
        <v>0</v>
      </c>
      <c r="O55">
        <f>Output_Consol_USD!O55</f>
        <v>0</v>
      </c>
      <c r="P55">
        <f>Output_Consol_USD!P55</f>
        <v>0</v>
      </c>
      <c r="Q55">
        <f>Output_Consol_USD!Q55</f>
        <v>0</v>
      </c>
      <c r="R55">
        <f>Output_Consol_USD!R55</f>
        <v>0</v>
      </c>
      <c r="S55">
        <f>Output_Consol_USD!S55</f>
        <v>0</v>
      </c>
      <c r="T55">
        <f>Output_Consol_USD!T55</f>
        <v>0</v>
      </c>
      <c r="U55">
        <f>Output_Consol_USD!U55</f>
        <v>0</v>
      </c>
      <c r="V55">
        <f>Output_Consol_USD!V55</f>
        <v>0</v>
      </c>
    </row>
    <row r="56" spans="2:22">
      <c r="B56" s="407" t="s">
        <v>185</v>
      </c>
      <c r="J56" s="57">
        <v>0</v>
      </c>
      <c r="K56" s="57">
        <v>0</v>
      </c>
      <c r="L56" s="57">
        <v>0</v>
      </c>
      <c r="M56" s="57">
        <v>0</v>
      </c>
      <c r="N56" s="57">
        <v>0</v>
      </c>
      <c r="O56" s="57">
        <v>0</v>
      </c>
      <c r="P56" s="57">
        <v>0</v>
      </c>
      <c r="Q56" s="57">
        <v>0</v>
      </c>
      <c r="R56" s="57">
        <v>0</v>
      </c>
      <c r="S56" s="57">
        <v>0</v>
      </c>
      <c r="T56" s="57">
        <v>0</v>
      </c>
      <c r="U56" s="57">
        <v>0</v>
      </c>
      <c r="V56" s="57">
        <v>0</v>
      </c>
    </row>
    <row r="57" spans="2:22">
      <c r="B57" s="407" t="s">
        <v>179</v>
      </c>
    </row>
  </sheetData>
  <conditionalFormatting sqref="J11:V11">
    <cfRule type="cellIs" dxfId="50" priority="9" operator="equal">
      <formula>1</formula>
    </cfRule>
  </conditionalFormatting>
  <conditionalFormatting sqref="K12:V12">
    <cfRule type="cellIs" dxfId="49" priority="8" operator="equal">
      <formula>1</formula>
    </cfRule>
  </conditionalFormatting>
  <conditionalFormatting sqref="J12">
    <cfRule type="cellIs" dxfId="48" priority="7" operator="equal">
      <formula>1</formula>
    </cfRule>
  </conditionalFormatting>
  <conditionalFormatting sqref="J22:V22">
    <cfRule type="cellIs" dxfId="47" priority="3" operator="equal">
      <formula>1</formula>
    </cfRule>
  </conditionalFormatting>
  <conditionalFormatting sqref="J20:J21">
    <cfRule type="cellIs" dxfId="46" priority="6" operator="equal">
      <formula>1</formula>
    </cfRule>
  </conditionalFormatting>
  <conditionalFormatting sqref="L20:V21">
    <cfRule type="cellIs" dxfId="45" priority="5" operator="equal">
      <formula>1</formula>
    </cfRule>
  </conditionalFormatting>
  <conditionalFormatting sqref="K20:K21">
    <cfRule type="cellIs" dxfId="44" priority="4" operator="equal">
      <formula>1</formula>
    </cfRule>
  </conditionalFormatting>
  <conditionalFormatting sqref="L34:T46">
    <cfRule type="cellIs" dxfId="43" priority="1" operator="lessThan">
      <formula>$G$30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0A6CF-98D8-4EFF-A9F0-E9E0621F071E}">
  <sheetPr codeName="Sheet3">
    <tabColor theme="7"/>
  </sheetPr>
  <dimension ref="A1"/>
  <sheetViews>
    <sheetView workbookViewId="0">
      <selection activeCell="E24" sqref="E24"/>
    </sheetView>
  </sheetViews>
  <sheetFormatPr defaultRowHeight="1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9B82B-F73D-495F-AAAB-236F4BF9FFEA}">
  <sheetPr codeName="Sheet9"/>
  <dimension ref="A2:V66"/>
  <sheetViews>
    <sheetView showGridLines="0" topLeftCell="G1" workbookViewId="0">
      <selection activeCell="V10" sqref="V10"/>
    </sheetView>
  </sheetViews>
  <sheetFormatPr defaultRowHeight="15"/>
  <cols>
    <col min="1" max="1" width="34.42578125" bestFit="1" customWidth="1"/>
    <col min="5" max="5" width="31.85546875" bestFit="1" customWidth="1"/>
    <col min="9" max="9" width="19.7109375" customWidth="1"/>
    <col min="13" max="13" width="19.7109375" customWidth="1"/>
    <col min="20" max="20" width="23.7109375" bestFit="1" customWidth="1"/>
    <col min="22" max="22" width="10.5703125" bestFit="1" customWidth="1"/>
  </cols>
  <sheetData>
    <row r="2" spans="1:22">
      <c r="A2" s="2" t="s">
        <v>186</v>
      </c>
      <c r="B2" s="127"/>
      <c r="C2" s="127"/>
      <c r="E2" s="2" t="s">
        <v>187</v>
      </c>
      <c r="F2" s="148"/>
      <c r="G2" s="148"/>
      <c r="I2" s="2" t="s">
        <v>188</v>
      </c>
      <c r="J2" s="148"/>
      <c r="K2" s="148"/>
      <c r="M2" s="190" t="s">
        <v>189</v>
      </c>
      <c r="N2" s="191"/>
      <c r="O2" s="191"/>
      <c r="T2" t="s">
        <v>190</v>
      </c>
    </row>
    <row r="3" spans="1:22">
      <c r="E3" s="149"/>
      <c r="F3" s="148"/>
      <c r="G3" s="148"/>
      <c r="I3" s="149"/>
      <c r="J3" s="148"/>
      <c r="K3" s="148"/>
      <c r="M3" s="191"/>
      <c r="N3" s="191"/>
      <c r="O3" s="191"/>
    </row>
    <row r="4" spans="1:22" ht="25.5">
      <c r="A4" s="128" t="s">
        <v>191</v>
      </c>
      <c r="B4" s="129" t="s">
        <v>192</v>
      </c>
      <c r="C4" s="129" t="s">
        <v>193</v>
      </c>
      <c r="E4" s="150" t="s">
        <v>194</v>
      </c>
      <c r="F4" s="151" t="s">
        <v>192</v>
      </c>
      <c r="G4" s="151" t="s">
        <v>193</v>
      </c>
      <c r="I4" s="173" t="s">
        <v>191</v>
      </c>
      <c r="J4" s="174" t="s">
        <v>192</v>
      </c>
      <c r="K4" s="174" t="s">
        <v>193</v>
      </c>
      <c r="M4" s="128" t="s">
        <v>191</v>
      </c>
      <c r="N4" s="129" t="s">
        <v>192</v>
      </c>
      <c r="O4" s="129" t="s">
        <v>193</v>
      </c>
      <c r="T4" s="128" t="s">
        <v>191</v>
      </c>
      <c r="U4" s="129" t="s">
        <v>192</v>
      </c>
      <c r="V4" s="129" t="s">
        <v>193</v>
      </c>
    </row>
    <row r="5" spans="1:22">
      <c r="A5" s="130" t="s">
        <v>195</v>
      </c>
      <c r="B5" s="131"/>
      <c r="C5" s="131"/>
      <c r="E5" s="152" t="s">
        <v>195</v>
      </c>
      <c r="F5" s="153"/>
      <c r="G5" s="153"/>
      <c r="I5" s="175" t="s">
        <v>196</v>
      </c>
      <c r="J5" s="176"/>
      <c r="K5" s="176"/>
      <c r="M5" s="130" t="s">
        <v>195</v>
      </c>
      <c r="N5" s="131"/>
      <c r="O5" s="131"/>
      <c r="T5" s="130" t="s">
        <v>195</v>
      </c>
      <c r="U5" s="131"/>
      <c r="V5" s="131"/>
    </row>
    <row r="6" spans="1:22">
      <c r="A6" s="130" t="s">
        <v>197</v>
      </c>
      <c r="B6" s="131"/>
      <c r="C6" s="131"/>
      <c r="E6" s="152" t="s">
        <v>197</v>
      </c>
      <c r="F6" s="153"/>
      <c r="G6" s="153"/>
      <c r="I6" s="177" t="s">
        <v>197</v>
      </c>
      <c r="J6" s="176"/>
      <c r="K6" s="176"/>
      <c r="M6" s="130" t="s">
        <v>197</v>
      </c>
      <c r="N6" s="131"/>
      <c r="O6" s="131"/>
      <c r="T6" s="130" t="s">
        <v>197</v>
      </c>
      <c r="U6" s="131"/>
      <c r="V6" s="131"/>
    </row>
    <row r="7" spans="1:22">
      <c r="A7" s="132" t="s">
        <v>198</v>
      </c>
      <c r="B7" s="133">
        <v>40164.927415373597</v>
      </c>
      <c r="C7" s="133">
        <v>27540.885190540001</v>
      </c>
      <c r="E7" s="154" t="s">
        <v>198</v>
      </c>
      <c r="F7" s="155">
        <v>20204.022814270003</v>
      </c>
      <c r="G7" s="155">
        <v>3826.6761344599995</v>
      </c>
      <c r="I7" s="178" t="s">
        <v>199</v>
      </c>
      <c r="J7" s="179">
        <v>16665.163426429997</v>
      </c>
      <c r="K7" s="179">
        <v>14062.554449529996</v>
      </c>
      <c r="M7" s="192" t="s">
        <v>198</v>
      </c>
      <c r="N7" s="133">
        <v>24361.840384359999</v>
      </c>
      <c r="O7" s="133">
        <v>15208.789275749998</v>
      </c>
      <c r="T7" s="192" t="s">
        <v>198</v>
      </c>
      <c r="U7" s="133"/>
      <c r="V7" s="133">
        <f>SUM(C7,G7,K7,O7)</f>
        <v>60638.905050279995</v>
      </c>
    </row>
    <row r="8" spans="1:22">
      <c r="A8" s="132" t="s">
        <v>200</v>
      </c>
      <c r="B8" s="133">
        <v>35000</v>
      </c>
      <c r="C8" s="133">
        <v>35000</v>
      </c>
      <c r="E8" s="154" t="s">
        <v>200</v>
      </c>
      <c r="F8" s="155">
        <v>0</v>
      </c>
      <c r="G8" s="155"/>
      <c r="M8" s="192" t="s">
        <v>200</v>
      </c>
      <c r="N8" s="133">
        <v>21500</v>
      </c>
      <c r="O8" s="133">
        <v>26000</v>
      </c>
      <c r="T8" s="192" t="s">
        <v>200</v>
      </c>
      <c r="U8" s="133"/>
      <c r="V8" s="133"/>
    </row>
    <row r="9" spans="1:22">
      <c r="A9" s="132" t="s">
        <v>201</v>
      </c>
      <c r="B9" s="133">
        <v>51847.293276763201</v>
      </c>
      <c r="C9" s="133">
        <v>49576.902899366796</v>
      </c>
      <c r="E9" s="154" t="s">
        <v>201</v>
      </c>
      <c r="F9" s="155">
        <v>33476.39856732</v>
      </c>
      <c r="G9" s="155">
        <v>28929.635620569999</v>
      </c>
      <c r="I9" s="178" t="s">
        <v>202</v>
      </c>
      <c r="J9" s="179">
        <v>10978.849115390001</v>
      </c>
      <c r="K9" s="179">
        <v>6905.7608811199989</v>
      </c>
      <c r="M9" s="192" t="s">
        <v>201</v>
      </c>
      <c r="N9" s="133">
        <v>25603.9776389</v>
      </c>
      <c r="O9" s="133">
        <v>18715.276232300002</v>
      </c>
      <c r="T9" s="192" t="s">
        <v>201</v>
      </c>
      <c r="U9" s="133"/>
      <c r="V9" s="201">
        <f>SUM(C9,G9,K9,O9)</f>
        <v>104127.5756333568</v>
      </c>
    </row>
    <row r="10" spans="1:22">
      <c r="A10" s="132" t="s">
        <v>203</v>
      </c>
      <c r="B10" s="133">
        <v>575.96068659790001</v>
      </c>
      <c r="C10" s="133">
        <v>242.19629178259999</v>
      </c>
      <c r="E10" s="154" t="s">
        <v>203</v>
      </c>
      <c r="F10" s="155">
        <v>399.57269237999998</v>
      </c>
      <c r="G10" s="155">
        <v>191.22536400999999</v>
      </c>
      <c r="I10" s="178" t="s">
        <v>204</v>
      </c>
      <c r="J10" s="179">
        <v>69.540235630000012</v>
      </c>
      <c r="K10" s="179">
        <v>86.389031689999982</v>
      </c>
      <c r="M10" s="192" t="s">
        <v>203</v>
      </c>
      <c r="N10" s="133">
        <v>0</v>
      </c>
      <c r="O10" s="133">
        <v>0</v>
      </c>
      <c r="T10" s="192" t="s">
        <v>203</v>
      </c>
      <c r="U10" s="133"/>
      <c r="V10" s="201">
        <f>SUM(C10,G10,K10,O10)</f>
        <v>519.81068748259997</v>
      </c>
    </row>
    <row r="11" spans="1:22">
      <c r="A11" s="132" t="s">
        <v>205</v>
      </c>
      <c r="B11" s="133">
        <v>0</v>
      </c>
      <c r="C11" s="133">
        <v>0</v>
      </c>
      <c r="E11" s="154" t="s">
        <v>205</v>
      </c>
      <c r="F11" s="155">
        <v>189.406093</v>
      </c>
      <c r="G11" s="155">
        <v>84.052717000000001</v>
      </c>
      <c r="I11" s="178" t="s">
        <v>206</v>
      </c>
      <c r="J11" s="179">
        <v>34.448</v>
      </c>
      <c r="K11" s="179">
        <v>33.75</v>
      </c>
      <c r="M11" s="192" t="s">
        <v>205</v>
      </c>
      <c r="N11" s="133">
        <v>2486.8750551300004</v>
      </c>
      <c r="O11" s="133">
        <v>1680.6491457300001</v>
      </c>
      <c r="T11" s="192" t="s">
        <v>205</v>
      </c>
      <c r="U11" s="133"/>
      <c r="V11" s="133"/>
    </row>
    <row r="12" spans="1:22">
      <c r="A12" s="132" t="s">
        <v>207</v>
      </c>
      <c r="B12" s="133">
        <v>2120.9563608549997</v>
      </c>
      <c r="C12" s="133">
        <v>708.39363476209996</v>
      </c>
      <c r="E12" s="154" t="s">
        <v>207</v>
      </c>
      <c r="F12" s="155">
        <v>1078.7387349099999</v>
      </c>
      <c r="G12" s="155">
        <v>1529.7643249100001</v>
      </c>
      <c r="I12" s="178" t="s">
        <v>208</v>
      </c>
      <c r="J12" s="179">
        <v>10247.5596511</v>
      </c>
      <c r="K12" s="179">
        <v>11915.66909474</v>
      </c>
      <c r="M12" s="192" t="s">
        <v>207</v>
      </c>
      <c r="N12" s="133">
        <v>104.96717185999999</v>
      </c>
      <c r="O12" s="133">
        <v>16.752162219999999</v>
      </c>
      <c r="T12" s="192" t="s">
        <v>207</v>
      </c>
      <c r="U12" s="133"/>
      <c r="V12" s="133"/>
    </row>
    <row r="13" spans="1:22">
      <c r="A13" s="132" t="s">
        <v>209</v>
      </c>
      <c r="B13" s="133">
        <v>1750.44496815</v>
      </c>
      <c r="C13" s="133">
        <v>1496.7568371500001</v>
      </c>
      <c r="E13" s="154" t="s">
        <v>210</v>
      </c>
      <c r="F13" s="155">
        <v>7373.48228621</v>
      </c>
      <c r="G13" s="155">
        <v>10113.61420557</v>
      </c>
      <c r="I13" s="178" t="s">
        <v>211</v>
      </c>
      <c r="J13" s="179">
        <v>95.470575739999958</v>
      </c>
      <c r="K13" s="179">
        <v>82.754347899999999</v>
      </c>
      <c r="M13" s="192" t="s">
        <v>209</v>
      </c>
      <c r="N13" s="133">
        <v>445.86899399000004</v>
      </c>
      <c r="O13" s="133">
        <v>443.79759658</v>
      </c>
      <c r="T13" s="192" t="s">
        <v>209</v>
      </c>
      <c r="U13" s="133"/>
      <c r="V13" s="133"/>
    </row>
    <row r="14" spans="1:22">
      <c r="A14" s="134" t="s">
        <v>212</v>
      </c>
      <c r="B14" s="133">
        <v>0</v>
      </c>
      <c r="C14" s="133">
        <v>0</v>
      </c>
      <c r="E14" s="156" t="s">
        <v>212</v>
      </c>
      <c r="F14" s="155">
        <v>-69.162701999999996</v>
      </c>
      <c r="G14" s="155">
        <v>-69.162701999999996</v>
      </c>
      <c r="I14" s="178" t="s">
        <v>213</v>
      </c>
      <c r="J14" s="179">
        <v>0</v>
      </c>
      <c r="K14" s="179"/>
      <c r="M14" s="193" t="s">
        <v>212</v>
      </c>
      <c r="N14" s="133">
        <v>5272.5813364299993</v>
      </c>
      <c r="O14" s="133">
        <v>4760.1237434899995</v>
      </c>
      <c r="T14" s="193" t="s">
        <v>212</v>
      </c>
      <c r="U14" s="133"/>
      <c r="V14" s="133"/>
    </row>
    <row r="15" spans="1:22">
      <c r="A15" s="135" t="s">
        <v>214</v>
      </c>
      <c r="B15" s="136">
        <v>131459.5827077397</v>
      </c>
      <c r="C15" s="136">
        <v>114565.1348536015</v>
      </c>
      <c r="E15" s="157" t="s">
        <v>214</v>
      </c>
      <c r="F15" s="158">
        <v>62652.458486089999</v>
      </c>
      <c r="G15" s="158">
        <v>44605.805664519998</v>
      </c>
      <c r="I15" s="180" t="s">
        <v>214</v>
      </c>
      <c r="J15" s="181">
        <v>38091.031004290002</v>
      </c>
      <c r="K15" s="181">
        <v>33086.877804979995</v>
      </c>
      <c r="M15" s="135" t="s">
        <v>214</v>
      </c>
      <c r="N15" s="136">
        <v>79776.110580670007</v>
      </c>
      <c r="O15" s="136">
        <v>66825.388156069996</v>
      </c>
      <c r="T15" s="135" t="s">
        <v>214</v>
      </c>
      <c r="U15" s="136"/>
      <c r="V15" s="133"/>
    </row>
    <row r="16" spans="1:22">
      <c r="A16" s="130"/>
      <c r="B16" s="137"/>
      <c r="C16" s="137"/>
      <c r="E16" s="152"/>
      <c r="F16" s="159"/>
      <c r="G16" s="159"/>
      <c r="I16" s="177" t="s">
        <v>215</v>
      </c>
      <c r="J16" s="182"/>
      <c r="K16" s="182"/>
      <c r="M16" s="130"/>
      <c r="N16" s="137"/>
      <c r="O16" s="137"/>
    </row>
    <row r="17" spans="1:22">
      <c r="A17" s="130" t="s">
        <v>216</v>
      </c>
      <c r="B17" s="138"/>
      <c r="C17" s="138"/>
      <c r="E17" s="152" t="s">
        <v>216</v>
      </c>
      <c r="F17" s="160"/>
      <c r="G17" s="160"/>
      <c r="I17" s="178" t="s">
        <v>217</v>
      </c>
      <c r="J17" s="179">
        <v>4744.1652402000009</v>
      </c>
      <c r="K17" s="179">
        <v>4703.9252402000011</v>
      </c>
      <c r="M17" s="130" t="s">
        <v>216</v>
      </c>
      <c r="N17" s="160"/>
      <c r="O17" s="160"/>
      <c r="T17" t="s">
        <v>218</v>
      </c>
      <c r="V17">
        <f>SUM(C18:C19,G20:G21,K17:K18,O18:O19)</f>
        <v>826022.31893299636</v>
      </c>
    </row>
    <row r="18" spans="1:22">
      <c r="A18" s="132" t="s">
        <v>218</v>
      </c>
      <c r="B18" s="133">
        <v>571480.83669784991</v>
      </c>
      <c r="C18" s="133">
        <v>571291.7615398498</v>
      </c>
      <c r="E18" s="161" t="s">
        <v>219</v>
      </c>
      <c r="F18" s="155">
        <v>2200.1</v>
      </c>
      <c r="G18" s="155">
        <v>2200.1</v>
      </c>
      <c r="I18" s="178" t="s">
        <v>220</v>
      </c>
      <c r="J18" s="179">
        <v>-1870.3019348899998</v>
      </c>
      <c r="K18" s="179">
        <v>-1655.07150224</v>
      </c>
      <c r="M18" s="192" t="s">
        <v>218</v>
      </c>
      <c r="N18" s="133">
        <v>3638.3169993299998</v>
      </c>
      <c r="O18" s="133">
        <v>3622.0669993299998</v>
      </c>
      <c r="V18">
        <f>SUM(V7:V17)</f>
        <v>991308.61030411581</v>
      </c>
    </row>
    <row r="19" spans="1:22">
      <c r="A19" s="132" t="s">
        <v>220</v>
      </c>
      <c r="B19" s="133">
        <v>-257321.5333342966</v>
      </c>
      <c r="C19" s="133">
        <v>-243965.9213804233</v>
      </c>
      <c r="E19" s="152" t="s">
        <v>221</v>
      </c>
      <c r="F19" s="159">
        <v>480087.19577133999</v>
      </c>
      <c r="G19" s="159">
        <v>494442.84118394996</v>
      </c>
      <c r="I19" s="178" t="s">
        <v>222</v>
      </c>
      <c r="J19" s="179">
        <v>0</v>
      </c>
      <c r="K19" s="179">
        <v>0</v>
      </c>
      <c r="M19" s="192" t="s">
        <v>220</v>
      </c>
      <c r="N19" s="133">
        <v>-2528.0445266600004</v>
      </c>
      <c r="O19" s="133">
        <v>-2417.2831476700003</v>
      </c>
    </row>
    <row r="20" spans="1:22">
      <c r="A20" s="132" t="s">
        <v>223</v>
      </c>
      <c r="B20" s="133">
        <v>490.29273000000001</v>
      </c>
      <c r="C20" s="133">
        <v>0</v>
      </c>
      <c r="E20" s="154" t="s">
        <v>218</v>
      </c>
      <c r="F20" s="155">
        <v>662574.12765544001</v>
      </c>
      <c r="G20" s="155">
        <v>662574.12765544001</v>
      </c>
      <c r="I20" s="178" t="s">
        <v>209</v>
      </c>
      <c r="J20" s="179">
        <v>176.576829</v>
      </c>
      <c r="K20" s="179">
        <v>171.78167300000001</v>
      </c>
      <c r="M20" s="192" t="s">
        <v>223</v>
      </c>
      <c r="N20" s="133">
        <v>0</v>
      </c>
      <c r="O20" s="133">
        <v>0</v>
      </c>
    </row>
    <row r="21" spans="1:22">
      <c r="A21" s="132" t="s">
        <v>224</v>
      </c>
      <c r="B21" s="133">
        <v>3323.8289598049996</v>
      </c>
      <c r="C21" s="133">
        <v>3323.8289598049996</v>
      </c>
      <c r="E21" s="154" t="s">
        <v>220</v>
      </c>
      <c r="F21" s="155">
        <v>-182486.93188410002</v>
      </c>
      <c r="G21" s="155">
        <v>-168131.28647149002</v>
      </c>
      <c r="I21" s="178" t="s">
        <v>225</v>
      </c>
      <c r="J21" s="179">
        <v>586.05924300000004</v>
      </c>
      <c r="K21" s="179">
        <v>465.71018099999998</v>
      </c>
      <c r="M21" s="192" t="s">
        <v>224</v>
      </c>
      <c r="N21" s="133">
        <v>422.36</v>
      </c>
      <c r="O21" s="133">
        <v>422.36</v>
      </c>
    </row>
    <row r="22" spans="1:22">
      <c r="A22" s="132" t="s">
        <v>226</v>
      </c>
      <c r="B22" s="133">
        <v>-2910.6954744836003</v>
      </c>
      <c r="C22" s="133">
        <v>-2843.8393241791</v>
      </c>
      <c r="E22" s="162" t="s">
        <v>227</v>
      </c>
      <c r="F22" s="159">
        <v>1650.85426981</v>
      </c>
      <c r="G22" s="159">
        <v>2113.5450065300001</v>
      </c>
      <c r="I22" s="178" t="s">
        <v>228</v>
      </c>
      <c r="J22" s="179">
        <v>10</v>
      </c>
      <c r="K22" s="179">
        <v>10</v>
      </c>
      <c r="M22" s="192" t="s">
        <v>226</v>
      </c>
      <c r="N22" s="133">
        <v>-234.44625001999998</v>
      </c>
      <c r="O22" s="133">
        <v>-199.24958336</v>
      </c>
    </row>
    <row r="23" spans="1:22">
      <c r="A23" s="134" t="s">
        <v>229</v>
      </c>
      <c r="B23" s="133">
        <v>0</v>
      </c>
      <c r="C23" s="133">
        <v>0</v>
      </c>
      <c r="E23" s="154" t="s">
        <v>224</v>
      </c>
      <c r="F23" s="155">
        <v>7334.5680401</v>
      </c>
      <c r="G23" s="155">
        <v>7334.5680401</v>
      </c>
      <c r="I23" s="180" t="s">
        <v>230</v>
      </c>
      <c r="J23" s="181">
        <v>3646.4993773100014</v>
      </c>
      <c r="K23" s="181">
        <v>3696.345591960001</v>
      </c>
      <c r="M23" s="135" t="s">
        <v>231</v>
      </c>
      <c r="N23" s="136">
        <v>1298.1862226499995</v>
      </c>
      <c r="O23" s="136">
        <v>1427.8942682999996</v>
      </c>
      <c r="T23" t="s">
        <v>232</v>
      </c>
      <c r="V23">
        <f>V24-V18</f>
        <v>331262.62486915803</v>
      </c>
    </row>
    <row r="24" spans="1:22">
      <c r="A24" s="134" t="s">
        <v>233</v>
      </c>
      <c r="B24" s="133">
        <v>1650.8813319999999</v>
      </c>
      <c r="C24" s="133">
        <v>1788.9313320000001</v>
      </c>
      <c r="E24" s="154" t="s">
        <v>226</v>
      </c>
      <c r="F24" s="155">
        <v>-5683.71377029</v>
      </c>
      <c r="G24" s="155">
        <v>-5221.0230335699998</v>
      </c>
      <c r="I24" s="180" t="s">
        <v>234</v>
      </c>
      <c r="J24" s="181">
        <v>41737.530381600001</v>
      </c>
      <c r="K24" s="181">
        <v>36783.223396939997</v>
      </c>
      <c r="M24" s="135" t="s">
        <v>174</v>
      </c>
      <c r="N24" s="163">
        <v>81074.296803320001</v>
      </c>
      <c r="O24" s="163">
        <v>68253.282424370002</v>
      </c>
      <c r="T24" t="s">
        <v>174</v>
      </c>
      <c r="V24">
        <f>SUM(C27,G31,K24,O24)</f>
        <v>1322571.2351732738</v>
      </c>
    </row>
    <row r="25" spans="1:22">
      <c r="A25" s="134" t="s">
        <v>235</v>
      </c>
      <c r="B25" s="133">
        <v>-388.05979967000002</v>
      </c>
      <c r="C25" s="133">
        <v>-178.89313300000001</v>
      </c>
      <c r="E25" s="154" t="s">
        <v>223</v>
      </c>
      <c r="F25" s="155">
        <v>209529.45872210999</v>
      </c>
      <c r="G25" s="155">
        <v>197410.43441970999</v>
      </c>
      <c r="I25" s="183" t="s">
        <v>236</v>
      </c>
      <c r="J25" s="184"/>
      <c r="K25" s="184"/>
      <c r="M25" s="194"/>
      <c r="N25" s="195"/>
      <c r="O25" s="195"/>
    </row>
    <row r="26" spans="1:22">
      <c r="A26" s="135" t="s">
        <v>231</v>
      </c>
      <c r="B26" s="136">
        <v>316325.55111120472</v>
      </c>
      <c r="C26" s="136">
        <v>329415.86799405242</v>
      </c>
      <c r="E26" s="154" t="s">
        <v>237</v>
      </c>
      <c r="F26" s="155">
        <v>977.31511870000008</v>
      </c>
      <c r="G26" s="155">
        <v>977.31511870000008</v>
      </c>
      <c r="I26" s="185" t="s">
        <v>238</v>
      </c>
      <c r="J26" s="182"/>
      <c r="K26" s="182"/>
      <c r="M26" s="130" t="s">
        <v>239</v>
      </c>
      <c r="N26" s="165"/>
      <c r="O26" s="165"/>
      <c r="T26" t="s">
        <v>240</v>
      </c>
      <c r="V26">
        <f>SUM(C31,G38,K27,O28)</f>
        <v>23295.693518561198</v>
      </c>
    </row>
    <row r="27" spans="1:22">
      <c r="A27" s="135" t="s">
        <v>174</v>
      </c>
      <c r="B27" s="139">
        <v>447785.13381894445</v>
      </c>
      <c r="C27" s="139">
        <v>443981.00284765393</v>
      </c>
      <c r="E27" s="154" t="s">
        <v>241</v>
      </c>
      <c r="F27" s="155">
        <v>19924.651591999998</v>
      </c>
      <c r="G27" s="155">
        <v>20550.060058999999</v>
      </c>
      <c r="I27" s="186" t="s">
        <v>242</v>
      </c>
      <c r="J27" s="179">
        <v>1195.5859131600037</v>
      </c>
      <c r="K27" s="179">
        <v>961.51195252000332</v>
      </c>
      <c r="M27" s="130" t="s">
        <v>243</v>
      </c>
      <c r="N27" s="137"/>
      <c r="O27" s="137"/>
      <c r="T27" t="s">
        <v>66</v>
      </c>
      <c r="V27">
        <f>SUM(C36,G36,G50,)</f>
        <v>224518.4652487601</v>
      </c>
    </row>
    <row r="28" spans="1:22">
      <c r="A28" s="140"/>
      <c r="B28" s="141"/>
      <c r="C28" s="141"/>
      <c r="E28" s="154" t="s">
        <v>244</v>
      </c>
      <c r="F28" s="155">
        <v>12326.06063451</v>
      </c>
      <c r="G28" s="155">
        <v>11253.6250519</v>
      </c>
      <c r="I28" s="186" t="s">
        <v>245</v>
      </c>
      <c r="J28" s="179">
        <v>0</v>
      </c>
      <c r="K28" s="179">
        <v>0</v>
      </c>
      <c r="M28" s="192" t="s">
        <v>242</v>
      </c>
      <c r="N28" s="133">
        <v>5523.3297748300001</v>
      </c>
      <c r="O28" s="133">
        <v>2815.2108832200006</v>
      </c>
      <c r="T28" t="s">
        <v>246</v>
      </c>
      <c r="V28">
        <f>V29-SUM(V26:V27)</f>
        <v>106434.46405712303</v>
      </c>
    </row>
    <row r="29" spans="1:22">
      <c r="A29" s="130" t="s">
        <v>239</v>
      </c>
      <c r="B29" s="142"/>
      <c r="C29" s="142"/>
      <c r="E29" s="154" t="s">
        <v>229</v>
      </c>
      <c r="F29" s="155">
        <v>0</v>
      </c>
      <c r="G29" s="155"/>
      <c r="I29" s="186" t="s">
        <v>247</v>
      </c>
      <c r="J29" s="179">
        <v>3307.6625365999998</v>
      </c>
      <c r="K29" s="179">
        <v>3428.5324575200007</v>
      </c>
      <c r="M29" s="193" t="s">
        <v>247</v>
      </c>
      <c r="N29" s="133">
        <v>12668.07025911</v>
      </c>
      <c r="O29" s="133">
        <v>10742.545791179999</v>
      </c>
      <c r="T29" t="s">
        <v>248</v>
      </c>
      <c r="V29">
        <f>SUM(C46,G55,K39,O42)</f>
        <v>354248.62282444432</v>
      </c>
    </row>
    <row r="30" spans="1:22">
      <c r="A30" s="130" t="s">
        <v>243</v>
      </c>
      <c r="B30" s="137"/>
      <c r="C30" s="137"/>
      <c r="E30" s="157" t="s">
        <v>231</v>
      </c>
      <c r="F30" s="158">
        <v>726695.63610847003</v>
      </c>
      <c r="G30" s="158">
        <v>728947.92083979002</v>
      </c>
      <c r="I30" s="186" t="s">
        <v>249</v>
      </c>
      <c r="J30" s="179">
        <v>796.76089423999997</v>
      </c>
      <c r="K30" s="179">
        <v>288.50392947000012</v>
      </c>
      <c r="M30" s="196" t="s">
        <v>250</v>
      </c>
      <c r="N30" s="133">
        <v>1326.2239676199999</v>
      </c>
      <c r="O30" s="133">
        <v>813.61074622000001</v>
      </c>
    </row>
    <row r="31" spans="1:22">
      <c r="A31" s="132" t="s">
        <v>242</v>
      </c>
      <c r="B31" s="133">
        <v>1679.8363858700004</v>
      </c>
      <c r="C31" s="133">
        <v>2537.9526752912002</v>
      </c>
      <c r="E31" s="157" t="s">
        <v>174</v>
      </c>
      <c r="F31" s="163">
        <v>789348.09459455998</v>
      </c>
      <c r="G31" s="163">
        <v>773553.72650431003</v>
      </c>
      <c r="I31" s="186" t="s">
        <v>251</v>
      </c>
      <c r="J31" s="179">
        <v>0</v>
      </c>
      <c r="K31" s="179">
        <v>0</v>
      </c>
      <c r="M31" s="193" t="s">
        <v>252</v>
      </c>
      <c r="N31" s="133">
        <v>232.96373500000001</v>
      </c>
      <c r="O31" s="133">
        <v>256.74837500000001</v>
      </c>
    </row>
    <row r="32" spans="1:22">
      <c r="A32" s="134" t="s">
        <v>247</v>
      </c>
      <c r="B32" s="133">
        <v>7620.4554916833995</v>
      </c>
      <c r="C32" s="133">
        <v>4873.6253116834005</v>
      </c>
      <c r="F32" s="164"/>
      <c r="G32" s="164"/>
      <c r="I32" s="186" t="s">
        <v>253</v>
      </c>
      <c r="J32" s="179">
        <v>0</v>
      </c>
      <c r="K32" s="179">
        <v>0</v>
      </c>
      <c r="M32" s="193" t="s">
        <v>254</v>
      </c>
      <c r="N32" s="133">
        <v>0</v>
      </c>
      <c r="O32" s="133">
        <v>0</v>
      </c>
      <c r="T32" t="s">
        <v>255</v>
      </c>
      <c r="V32">
        <f>SUM(C49,C50,G58,K41,O45)</f>
        <v>677730.6</v>
      </c>
    </row>
    <row r="33" spans="1:22">
      <c r="A33" s="143" t="s">
        <v>250</v>
      </c>
      <c r="B33" s="133">
        <v>4723.7246055326996</v>
      </c>
      <c r="C33" s="133">
        <v>3646.3451916683998</v>
      </c>
      <c r="E33" s="150" t="s">
        <v>194</v>
      </c>
      <c r="F33" s="151" t="s">
        <v>256</v>
      </c>
      <c r="G33" s="151"/>
      <c r="I33" s="186" t="s">
        <v>257</v>
      </c>
      <c r="J33" s="179">
        <v>331.80417999999997</v>
      </c>
      <c r="K33" s="179">
        <v>270.98659700000002</v>
      </c>
      <c r="M33" s="193" t="s">
        <v>258</v>
      </c>
      <c r="N33" s="133">
        <v>0</v>
      </c>
      <c r="O33" s="133">
        <v>0</v>
      </c>
      <c r="T33" t="s">
        <v>259</v>
      </c>
      <c r="V33">
        <f>V34-V32</f>
        <v>290592.01234880986</v>
      </c>
    </row>
    <row r="34" spans="1:22">
      <c r="A34" s="134" t="s">
        <v>252</v>
      </c>
      <c r="B34" s="133">
        <v>0</v>
      </c>
      <c r="C34" s="133">
        <v>0</v>
      </c>
      <c r="E34" s="152" t="s">
        <v>239</v>
      </c>
      <c r="F34" s="165"/>
      <c r="G34" s="165"/>
      <c r="I34" s="186" t="s">
        <v>260</v>
      </c>
      <c r="J34" s="187">
        <v>0</v>
      </c>
      <c r="K34" s="187"/>
      <c r="M34" s="193" t="s">
        <v>261</v>
      </c>
      <c r="N34" s="133">
        <v>1721.1922956800001</v>
      </c>
      <c r="O34" s="133">
        <v>1623.8990080000001</v>
      </c>
      <c r="T34" t="s">
        <v>262</v>
      </c>
      <c r="V34">
        <f>SUM(C54,G63,K45,O50)</f>
        <v>968322.61234880984</v>
      </c>
    </row>
    <row r="35" spans="1:22">
      <c r="A35" s="134" t="s">
        <v>254</v>
      </c>
      <c r="B35" s="133">
        <v>0</v>
      </c>
      <c r="C35" s="133">
        <v>0</v>
      </c>
      <c r="E35" s="152" t="s">
        <v>243</v>
      </c>
      <c r="F35" s="159"/>
      <c r="G35" s="159"/>
      <c r="I35" s="188" t="s">
        <v>263</v>
      </c>
      <c r="J35" s="181">
        <v>5631.8135240000038</v>
      </c>
      <c r="K35" s="181">
        <v>4949.5349365100037</v>
      </c>
      <c r="M35" s="193" t="s">
        <v>264</v>
      </c>
      <c r="N35" s="133">
        <v>0</v>
      </c>
      <c r="O35" s="133">
        <v>0</v>
      </c>
    </row>
    <row r="36" spans="1:22">
      <c r="A36" s="134" t="s">
        <v>258</v>
      </c>
      <c r="B36" s="133">
        <v>49146.171965310001</v>
      </c>
      <c r="C36" s="133">
        <v>47191.546302620103</v>
      </c>
      <c r="E36" s="161" t="s">
        <v>265</v>
      </c>
      <c r="F36" s="155">
        <v>0</v>
      </c>
      <c r="G36" s="155">
        <v>498.09254613999997</v>
      </c>
      <c r="I36" s="175" t="s">
        <v>266</v>
      </c>
      <c r="J36" s="184"/>
      <c r="K36" s="184"/>
      <c r="M36" s="135" t="s">
        <v>263</v>
      </c>
      <c r="N36" s="167">
        <v>21471.780032240003</v>
      </c>
      <c r="O36" s="167">
        <v>16252.014803619999</v>
      </c>
    </row>
    <row r="37" spans="1:22">
      <c r="A37" s="134" t="s">
        <v>261</v>
      </c>
      <c r="B37" s="133">
        <v>4619.09680097</v>
      </c>
      <c r="C37" s="133">
        <v>4360.5120508099999</v>
      </c>
      <c r="E37" s="161" t="s">
        <v>267</v>
      </c>
      <c r="F37" s="155">
        <v>0</v>
      </c>
      <c r="G37" s="155"/>
      <c r="I37" s="189" t="s">
        <v>268</v>
      </c>
      <c r="J37" s="187">
        <v>0</v>
      </c>
      <c r="K37" s="187"/>
      <c r="M37" s="130"/>
      <c r="N37" s="195"/>
      <c r="O37" s="195"/>
    </row>
    <row r="38" spans="1:22">
      <c r="A38" s="134" t="s">
        <v>269</v>
      </c>
      <c r="B38" s="133">
        <v>373.20706424000002</v>
      </c>
      <c r="C38" s="133">
        <v>526.33970699999998</v>
      </c>
      <c r="E38" s="154" t="s">
        <v>242</v>
      </c>
      <c r="F38" s="155">
        <v>34245.106465980003</v>
      </c>
      <c r="G38" s="155">
        <v>16981.018007529998</v>
      </c>
      <c r="I38" s="180" t="s">
        <v>270</v>
      </c>
      <c r="J38" s="181"/>
      <c r="K38" s="181"/>
      <c r="M38" s="130" t="s">
        <v>271</v>
      </c>
      <c r="N38" s="195"/>
      <c r="O38" s="195"/>
    </row>
    <row r="39" spans="1:22">
      <c r="A39" s="134" t="s">
        <v>264</v>
      </c>
      <c r="B39" s="133">
        <v>0</v>
      </c>
      <c r="C39" s="133"/>
      <c r="E39" s="156" t="s">
        <v>247</v>
      </c>
      <c r="F39" s="155">
        <v>20217.5125472</v>
      </c>
      <c r="G39" s="155">
        <v>25755.690784379996</v>
      </c>
      <c r="I39" s="188" t="s">
        <v>272</v>
      </c>
      <c r="J39" s="181">
        <v>5631.8135240000038</v>
      </c>
      <c r="K39" s="181">
        <v>4949.5349365100037</v>
      </c>
      <c r="M39" s="193" t="s">
        <v>273</v>
      </c>
      <c r="N39" s="133">
        <v>0</v>
      </c>
      <c r="O39" s="133">
        <v>0</v>
      </c>
    </row>
    <row r="40" spans="1:22">
      <c r="A40" s="135" t="s">
        <v>263</v>
      </c>
      <c r="B40" s="144">
        <v>68162.492313606112</v>
      </c>
      <c r="C40" s="144">
        <v>63136.321239073106</v>
      </c>
      <c r="E40" s="166" t="s">
        <v>250</v>
      </c>
      <c r="F40" s="155">
        <v>864.00050872999998</v>
      </c>
      <c r="G40" s="155">
        <v>503.93011954999997</v>
      </c>
      <c r="I40" s="185" t="s">
        <v>255</v>
      </c>
      <c r="J40" s="184"/>
      <c r="K40" s="184"/>
      <c r="M40" s="135" t="s">
        <v>274</v>
      </c>
      <c r="N40" s="167">
        <v>0</v>
      </c>
      <c r="O40" s="167">
        <v>0</v>
      </c>
    </row>
    <row r="41" spans="1:22">
      <c r="A41" s="130"/>
      <c r="B41" s="141"/>
      <c r="C41" s="141"/>
      <c r="E41" s="156" t="s">
        <v>252</v>
      </c>
      <c r="F41" s="155">
        <v>3.99</v>
      </c>
      <c r="G41" s="155">
        <v>0</v>
      </c>
      <c r="I41" s="186" t="s">
        <v>275</v>
      </c>
      <c r="J41" s="179">
        <v>16010.1</v>
      </c>
      <c r="K41" s="179">
        <v>16010.1</v>
      </c>
      <c r="M41" s="130"/>
      <c r="N41" s="195"/>
      <c r="O41" s="195"/>
    </row>
    <row r="42" spans="1:22">
      <c r="A42" s="130" t="s">
        <v>271</v>
      </c>
      <c r="B42" s="141"/>
      <c r="C42" s="141"/>
      <c r="E42" s="156" t="s">
        <v>254</v>
      </c>
      <c r="F42" s="155">
        <v>5846.9214503699995</v>
      </c>
      <c r="G42" s="155">
        <v>9528.8536003699992</v>
      </c>
      <c r="I42" s="186" t="s">
        <v>276</v>
      </c>
      <c r="J42" s="179">
        <v>14837.970332429997</v>
      </c>
      <c r="K42" s="179">
        <v>6981.5032996599984</v>
      </c>
      <c r="M42" s="135" t="s">
        <v>272</v>
      </c>
      <c r="N42" s="197">
        <v>21471.780032240003</v>
      </c>
      <c r="O42" s="197">
        <v>16252.014803619999</v>
      </c>
    </row>
    <row r="43" spans="1:22">
      <c r="A43" s="134" t="s">
        <v>273</v>
      </c>
      <c r="B43" s="133">
        <v>13230.3503396212</v>
      </c>
      <c r="C43" s="133">
        <v>26471.3233116212</v>
      </c>
      <c r="E43" s="156" t="s">
        <v>277</v>
      </c>
      <c r="F43" s="155">
        <v>1048.06539946</v>
      </c>
      <c r="G43" s="155">
        <v>1467.8460324300002</v>
      </c>
      <c r="I43" s="186" t="s">
        <v>278</v>
      </c>
      <c r="J43" s="179">
        <v>5335.7453111699997</v>
      </c>
      <c r="K43" s="179">
        <v>8894.569427770004</v>
      </c>
      <c r="M43" s="194"/>
      <c r="N43" s="195"/>
      <c r="O43" s="195"/>
    </row>
    <row r="44" spans="1:22">
      <c r="A44" s="134" t="s">
        <v>279</v>
      </c>
      <c r="B44" s="133">
        <v>929.61553000000004</v>
      </c>
      <c r="C44" s="133">
        <v>929.61553000000004</v>
      </c>
      <c r="E44" s="156" t="s">
        <v>280</v>
      </c>
      <c r="F44" s="155">
        <v>0</v>
      </c>
      <c r="G44" s="155"/>
      <c r="I44" s="186" t="s">
        <v>281</v>
      </c>
      <c r="J44" s="187">
        <v>-78.098786000000004</v>
      </c>
      <c r="K44" s="187">
        <v>-52.484267000000003</v>
      </c>
      <c r="M44" s="130" t="s">
        <v>255</v>
      </c>
      <c r="N44" s="195"/>
      <c r="O44" s="195"/>
    </row>
    <row r="45" spans="1:22">
      <c r="A45" s="135" t="s">
        <v>274</v>
      </c>
      <c r="B45" s="145">
        <v>14159.965869621199</v>
      </c>
      <c r="C45" s="145">
        <v>27400.938841621199</v>
      </c>
      <c r="E45" s="156" t="s">
        <v>264</v>
      </c>
      <c r="F45" s="155">
        <v>0</v>
      </c>
      <c r="G45" s="155"/>
      <c r="I45" s="188" t="s">
        <v>262</v>
      </c>
      <c r="J45" s="181">
        <v>36105.716857599997</v>
      </c>
      <c r="K45" s="181">
        <v>31833.688460429999</v>
      </c>
      <c r="M45" s="147" t="s">
        <v>275</v>
      </c>
      <c r="N45" s="133">
        <v>3950</v>
      </c>
      <c r="O45" s="133">
        <v>3950</v>
      </c>
    </row>
    <row r="46" spans="1:22">
      <c r="A46" s="135" t="s">
        <v>272</v>
      </c>
      <c r="B46" s="146">
        <v>82322.458183227311</v>
      </c>
      <c r="C46" s="146">
        <v>90537.260080694308</v>
      </c>
      <c r="E46" s="157" t="s">
        <v>263</v>
      </c>
      <c r="F46" s="167">
        <v>62225.596371740001</v>
      </c>
      <c r="G46" s="167">
        <v>54735.431090399994</v>
      </c>
      <c r="I46" s="188" t="s">
        <v>282</v>
      </c>
      <c r="J46" s="181">
        <v>41737.530381600001</v>
      </c>
      <c r="K46" s="181">
        <v>36783.223396940004</v>
      </c>
      <c r="M46" s="147" t="s">
        <v>283</v>
      </c>
      <c r="N46" s="133">
        <v>0</v>
      </c>
      <c r="O46" s="133">
        <v>0</v>
      </c>
    </row>
    <row r="47" spans="1:22">
      <c r="A47" s="140"/>
      <c r="B47" s="141"/>
      <c r="C47" s="141"/>
      <c r="E47" s="152"/>
      <c r="F47" s="168"/>
      <c r="G47" s="168"/>
      <c r="M47" s="147" t="s">
        <v>259</v>
      </c>
      <c r="N47" s="133">
        <v>48848.039325499994</v>
      </c>
      <c r="O47" s="133">
        <v>19327.707539900002</v>
      </c>
    </row>
    <row r="48" spans="1:22">
      <c r="A48" s="130" t="s">
        <v>255</v>
      </c>
      <c r="B48" s="141"/>
      <c r="C48" s="141"/>
      <c r="E48" s="152" t="s">
        <v>271</v>
      </c>
      <c r="F48" s="169"/>
      <c r="G48" s="169"/>
      <c r="M48" s="147" t="s">
        <v>278</v>
      </c>
      <c r="N48" s="133">
        <v>7108.7414055500003</v>
      </c>
      <c r="O48" s="133">
        <v>29010.153296819997</v>
      </c>
    </row>
    <row r="49" spans="1:15">
      <c r="A49" s="147" t="s">
        <v>275</v>
      </c>
      <c r="B49" s="133">
        <v>320000</v>
      </c>
      <c r="C49" s="133">
        <v>320000</v>
      </c>
      <c r="E49" s="161" t="s">
        <v>284</v>
      </c>
      <c r="F49" s="169">
        <v>0</v>
      </c>
      <c r="G49" s="169"/>
      <c r="M49" s="147" t="s">
        <v>281</v>
      </c>
      <c r="N49" s="133">
        <v>-304.26396</v>
      </c>
      <c r="O49" s="133">
        <v>-286.59321599999998</v>
      </c>
    </row>
    <row r="50" spans="1:15">
      <c r="A50" s="147" t="s">
        <v>283</v>
      </c>
      <c r="B50" s="133">
        <v>50</v>
      </c>
      <c r="C50" s="133">
        <v>50</v>
      </c>
      <c r="E50" s="161" t="s">
        <v>285</v>
      </c>
      <c r="F50" s="168">
        <v>181575.1771</v>
      </c>
      <c r="G50" s="155">
        <v>176828.82639999999</v>
      </c>
      <c r="M50" s="135" t="s">
        <v>262</v>
      </c>
      <c r="N50" s="167">
        <v>59602.516771049995</v>
      </c>
      <c r="O50" s="167">
        <v>52001.267620719998</v>
      </c>
    </row>
    <row r="51" spans="1:15">
      <c r="A51" s="147" t="s">
        <v>259</v>
      </c>
      <c r="B51" s="133">
        <v>33393.742766969801</v>
      </c>
      <c r="C51" s="133">
        <v>120560.72625107761</v>
      </c>
      <c r="E51" s="156" t="s">
        <v>286</v>
      </c>
      <c r="F51" s="155">
        <v>937.31226822000008</v>
      </c>
      <c r="G51" s="155">
        <v>937.31226822000008</v>
      </c>
      <c r="M51" s="130"/>
      <c r="N51" s="195"/>
      <c r="O51" s="195"/>
    </row>
    <row r="52" spans="1:15">
      <c r="A52" s="147" t="s">
        <v>278</v>
      </c>
      <c r="B52" s="133">
        <v>12018.932868747403</v>
      </c>
      <c r="C52" s="133">
        <v>-87166.983484107797</v>
      </c>
      <c r="E52" s="156" t="s">
        <v>261</v>
      </c>
      <c r="F52" s="155">
        <v>10579.517852999999</v>
      </c>
      <c r="G52" s="155">
        <v>10008.243245</v>
      </c>
      <c r="M52" s="135" t="s">
        <v>287</v>
      </c>
      <c r="N52" s="197">
        <v>81074.296803289995</v>
      </c>
      <c r="O52" s="197">
        <v>68253.282424339995</v>
      </c>
    </row>
    <row r="53" spans="1:15">
      <c r="A53" s="147" t="s">
        <v>281</v>
      </c>
      <c r="B53" s="133">
        <v>0</v>
      </c>
      <c r="C53" s="133"/>
      <c r="E53" s="156" t="s">
        <v>264</v>
      </c>
      <c r="F53" s="155">
        <v>0</v>
      </c>
      <c r="G53" s="155"/>
      <c r="M53" s="191"/>
      <c r="N53" s="191"/>
      <c r="O53" s="191"/>
    </row>
    <row r="54" spans="1:15">
      <c r="A54" s="135" t="s">
        <v>262</v>
      </c>
      <c r="B54" s="145">
        <v>365462.67563571717</v>
      </c>
      <c r="C54" s="145">
        <v>353443.74276696984</v>
      </c>
      <c r="E54" s="157" t="s">
        <v>274</v>
      </c>
      <c r="F54" s="170">
        <v>193092.00722122</v>
      </c>
      <c r="G54" s="170">
        <v>187774.38191321999</v>
      </c>
      <c r="M54" s="191"/>
      <c r="N54" s="198">
        <v>-3.0006049200892448E-8</v>
      </c>
      <c r="O54" s="198"/>
    </row>
    <row r="55" spans="1:15">
      <c r="A55" s="135" t="s">
        <v>287</v>
      </c>
      <c r="B55" s="146">
        <v>447785.13381894445</v>
      </c>
      <c r="C55" s="146">
        <v>443981.00284766417</v>
      </c>
      <c r="E55" s="157" t="s">
        <v>272</v>
      </c>
      <c r="F55" s="170">
        <v>255317.60359295999</v>
      </c>
      <c r="G55" s="170">
        <v>242509.81300361999</v>
      </c>
    </row>
    <row r="56" spans="1:15">
      <c r="E56" s="171"/>
      <c r="F56" s="169"/>
      <c r="G56" s="169"/>
    </row>
    <row r="57" spans="1:15">
      <c r="E57" s="152" t="s">
        <v>255</v>
      </c>
      <c r="F57" s="169"/>
      <c r="G57" s="169"/>
    </row>
    <row r="58" spans="1:15">
      <c r="E58" s="161" t="s">
        <v>275</v>
      </c>
      <c r="F58" s="155">
        <v>337720.5</v>
      </c>
      <c r="G58" s="155">
        <v>337720.5</v>
      </c>
    </row>
    <row r="59" spans="1:15">
      <c r="E59" s="161" t="s">
        <v>283</v>
      </c>
      <c r="F59" s="155">
        <v>0</v>
      </c>
      <c r="G59" s="155">
        <v>0</v>
      </c>
    </row>
    <row r="60" spans="1:15">
      <c r="E60" s="161" t="s">
        <v>259</v>
      </c>
      <c r="F60" s="155">
        <v>194608.27507569001</v>
      </c>
      <c r="G60" s="155">
        <v>161845.06528516999</v>
      </c>
    </row>
    <row r="61" spans="1:15">
      <c r="E61" s="161" t="s">
        <v>278</v>
      </c>
      <c r="F61" s="155">
        <v>2801.9161979099995</v>
      </c>
      <c r="G61" s="155">
        <v>32578.54848752002</v>
      </c>
    </row>
    <row r="62" spans="1:15">
      <c r="E62" s="161" t="s">
        <v>281</v>
      </c>
      <c r="F62" s="155">
        <v>-1100.200272</v>
      </c>
      <c r="G62" s="155">
        <v>-1100.200272</v>
      </c>
    </row>
    <row r="63" spans="1:15">
      <c r="E63" s="157" t="s">
        <v>262</v>
      </c>
      <c r="F63" s="167">
        <v>534030.49100159993</v>
      </c>
      <c r="G63" s="167">
        <v>531043.91350069002</v>
      </c>
    </row>
    <row r="64" spans="1:15">
      <c r="E64" s="157" t="s">
        <v>287</v>
      </c>
      <c r="F64" s="170">
        <v>789348.09459455987</v>
      </c>
      <c r="G64" s="170">
        <v>773553.72650431003</v>
      </c>
    </row>
    <row r="65" spans="5:7">
      <c r="E65" s="149"/>
      <c r="F65" s="148"/>
      <c r="G65" s="148"/>
    </row>
    <row r="66" spans="5:7">
      <c r="E66" s="172" t="s">
        <v>288</v>
      </c>
      <c r="F66" s="172">
        <v>0</v>
      </c>
      <c r="G66" s="17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7623C-0477-4FE9-8140-972DBFDB4CF4}">
  <sheetPr codeName="Sheet8">
    <tabColor theme="9"/>
  </sheetPr>
  <dimension ref="A1"/>
  <sheetViews>
    <sheetView topLeftCell="A4" workbookViewId="0">
      <selection activeCell="E25" sqref="E25"/>
    </sheetView>
  </sheetViews>
  <sheetFormatPr defaultRowHeight="1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B7708-5831-4FD4-B528-1DA8ACD9AFDF}">
  <sheetPr codeName="Sheet16">
    <tabColor theme="9" tint="0.39997558519241921"/>
  </sheetPr>
  <dimension ref="B1:W201"/>
  <sheetViews>
    <sheetView showGridLines="0" zoomScale="71" workbookViewId="0">
      <pane xSplit="9" ySplit="14" topLeftCell="J15" activePane="bottomRight" state="frozen"/>
      <selection pane="topRight" activeCell="G206" sqref="G206"/>
      <selection pane="bottomLeft" activeCell="G206" sqref="G206"/>
      <selection pane="bottomRight" activeCell="I27" sqref="I27"/>
    </sheetView>
  </sheetViews>
  <sheetFormatPr defaultColWidth="0" defaultRowHeight="15"/>
  <cols>
    <col min="1" max="1" width="3" customWidth="1"/>
    <col min="2" max="4" width="9.140625" customWidth="1"/>
    <col min="5" max="5" width="15.28515625" customWidth="1"/>
    <col min="6" max="6" width="15.42578125" bestFit="1" customWidth="1"/>
    <col min="7" max="7" width="15.28515625" customWidth="1"/>
    <col min="8" max="8" width="35.42578125" customWidth="1"/>
    <col min="9" max="22" width="14.7109375" customWidth="1"/>
    <col min="23" max="23" width="10.5703125" customWidth="1"/>
  </cols>
  <sheetData>
    <row r="1" spans="2:22" s="3" customFormat="1" ht="23.25">
      <c r="B1" s="4" t="s">
        <v>289</v>
      </c>
    </row>
    <row r="2" spans="2:22" ht="15.75">
      <c r="B2" s="5" t="s">
        <v>290</v>
      </c>
    </row>
    <row r="4" spans="2:22">
      <c r="B4" t="s">
        <v>29</v>
      </c>
      <c r="D4" s="6">
        <v>1</v>
      </c>
    </row>
    <row r="6" spans="2:22">
      <c r="B6" t="s">
        <v>30</v>
      </c>
      <c r="I6" s="7">
        <v>44927</v>
      </c>
      <c r="J6" s="7">
        <f>I7+1</f>
        <v>45292</v>
      </c>
      <c r="K6" s="7">
        <f t="shared" ref="K6:V6" si="0">J7+1</f>
        <v>45658</v>
      </c>
      <c r="L6" s="7">
        <f t="shared" si="0"/>
        <v>46023</v>
      </c>
      <c r="M6" s="7">
        <f t="shared" si="0"/>
        <v>46388</v>
      </c>
      <c r="N6" s="7">
        <f t="shared" si="0"/>
        <v>46753</v>
      </c>
      <c r="O6" s="7">
        <f t="shared" si="0"/>
        <v>47119</v>
      </c>
      <c r="P6" s="7">
        <f t="shared" si="0"/>
        <v>47484</v>
      </c>
      <c r="Q6" s="7">
        <f t="shared" si="0"/>
        <v>47849</v>
      </c>
      <c r="R6" s="7">
        <f t="shared" si="0"/>
        <v>48214</v>
      </c>
      <c r="S6" s="7">
        <f t="shared" si="0"/>
        <v>48580</v>
      </c>
      <c r="T6" s="7">
        <f t="shared" si="0"/>
        <v>48945</v>
      </c>
      <c r="U6" s="7">
        <f t="shared" si="0"/>
        <v>49310</v>
      </c>
      <c r="V6" s="7">
        <f t="shared" si="0"/>
        <v>49675</v>
      </c>
    </row>
    <row r="7" spans="2:22">
      <c r="B7" t="s">
        <v>31</v>
      </c>
      <c r="I7" s="8">
        <f>'Output_Standalone (IDR)'!I7</f>
        <v>45291</v>
      </c>
      <c r="J7" s="7">
        <f>EOMONTH(J6,12-1)</f>
        <v>45657</v>
      </c>
      <c r="K7" s="7">
        <f t="shared" ref="K7:V7" si="1">EOMONTH(K6,12-1)</f>
        <v>46022</v>
      </c>
      <c r="L7" s="7">
        <f t="shared" si="1"/>
        <v>46387</v>
      </c>
      <c r="M7" s="7">
        <f t="shared" si="1"/>
        <v>46752</v>
      </c>
      <c r="N7" s="7">
        <f t="shared" si="1"/>
        <v>47118</v>
      </c>
      <c r="O7" s="7">
        <f t="shared" si="1"/>
        <v>47483</v>
      </c>
      <c r="P7" s="7">
        <f t="shared" si="1"/>
        <v>47848</v>
      </c>
      <c r="Q7" s="7">
        <f t="shared" si="1"/>
        <v>48213</v>
      </c>
      <c r="R7" s="7">
        <f t="shared" si="1"/>
        <v>48579</v>
      </c>
      <c r="S7" s="7">
        <f t="shared" si="1"/>
        <v>48944</v>
      </c>
      <c r="T7" s="7">
        <f t="shared" si="1"/>
        <v>49309</v>
      </c>
      <c r="U7" s="7">
        <f t="shared" si="1"/>
        <v>49674</v>
      </c>
      <c r="V7" s="7">
        <f t="shared" si="1"/>
        <v>50040</v>
      </c>
    </row>
    <row r="8" spans="2:22">
      <c r="B8" t="s">
        <v>32</v>
      </c>
      <c r="I8" s="9">
        <f>YEAR(I7)</f>
        <v>2023</v>
      </c>
      <c r="J8" s="9">
        <f>YEAR(J7)</f>
        <v>2024</v>
      </c>
      <c r="K8" s="9">
        <f t="shared" ref="K8:V8" si="2">YEAR(K7)</f>
        <v>2025</v>
      </c>
      <c r="L8" s="9">
        <f t="shared" si="2"/>
        <v>2026</v>
      </c>
      <c r="M8" s="9">
        <f t="shared" si="2"/>
        <v>2027</v>
      </c>
      <c r="N8" s="9">
        <f t="shared" si="2"/>
        <v>2028</v>
      </c>
      <c r="O8" s="9">
        <f t="shared" si="2"/>
        <v>2029</v>
      </c>
      <c r="P8" s="9">
        <f t="shared" si="2"/>
        <v>2030</v>
      </c>
      <c r="Q8" s="9">
        <f t="shared" si="2"/>
        <v>2031</v>
      </c>
      <c r="R8" s="9">
        <f t="shared" si="2"/>
        <v>2032</v>
      </c>
      <c r="S8" s="9">
        <f t="shared" si="2"/>
        <v>2033</v>
      </c>
      <c r="T8" s="9">
        <f t="shared" si="2"/>
        <v>2034</v>
      </c>
      <c r="U8" s="9">
        <f t="shared" si="2"/>
        <v>2035</v>
      </c>
      <c r="V8" s="9">
        <f t="shared" si="2"/>
        <v>2036</v>
      </c>
    </row>
    <row r="9" spans="2:22">
      <c r="B9" t="s">
        <v>33</v>
      </c>
      <c r="I9" s="10">
        <f>I7-I6+1</f>
        <v>365</v>
      </c>
      <c r="J9" s="10">
        <f>J7-J6+1</f>
        <v>366</v>
      </c>
      <c r="K9" s="10">
        <f t="shared" ref="K9:V9" si="3">K7-K6+1</f>
        <v>365</v>
      </c>
      <c r="L9" s="10">
        <f t="shared" si="3"/>
        <v>365</v>
      </c>
      <c r="M9" s="10">
        <f t="shared" si="3"/>
        <v>365</v>
      </c>
      <c r="N9" s="10">
        <f t="shared" si="3"/>
        <v>366</v>
      </c>
      <c r="O9" s="10">
        <f t="shared" si="3"/>
        <v>365</v>
      </c>
      <c r="P9" s="10">
        <f t="shared" si="3"/>
        <v>365</v>
      </c>
      <c r="Q9" s="10">
        <f t="shared" si="3"/>
        <v>365</v>
      </c>
      <c r="R9" s="10">
        <f t="shared" si="3"/>
        <v>366</v>
      </c>
      <c r="S9" s="10">
        <f t="shared" si="3"/>
        <v>365</v>
      </c>
      <c r="T9" s="10">
        <f t="shared" si="3"/>
        <v>365</v>
      </c>
      <c r="U9" s="10">
        <f t="shared" si="3"/>
        <v>365</v>
      </c>
      <c r="V9" s="10">
        <f t="shared" si="3"/>
        <v>366</v>
      </c>
    </row>
    <row r="10" spans="2:22">
      <c r="E10" s="11" t="s">
        <v>34</v>
      </c>
      <c r="F10" s="11" t="s">
        <v>35</v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</row>
    <row r="11" spans="2:22">
      <c r="B11" s="407" t="s">
        <v>36</v>
      </c>
      <c r="E11" s="12">
        <f>'Output_Standalone (IDR)'!E11</f>
        <v>45291</v>
      </c>
      <c r="F11" s="12">
        <f>'Output_Standalone (IDR)'!F11</f>
        <v>45291</v>
      </c>
      <c r="J11" s="13">
        <f t="shared" ref="J11:V11" si="4">IF(J7=$F$11,1,0)</f>
        <v>0</v>
      </c>
      <c r="K11" s="13">
        <f t="shared" si="4"/>
        <v>0</v>
      </c>
      <c r="L11" s="13">
        <f t="shared" si="4"/>
        <v>0</v>
      </c>
      <c r="M11" s="13">
        <f t="shared" si="4"/>
        <v>0</v>
      </c>
      <c r="N11" s="13">
        <f t="shared" si="4"/>
        <v>0</v>
      </c>
      <c r="O11" s="13">
        <f t="shared" si="4"/>
        <v>0</v>
      </c>
      <c r="P11" s="13">
        <f t="shared" si="4"/>
        <v>0</v>
      </c>
      <c r="Q11" s="13">
        <f t="shared" si="4"/>
        <v>0</v>
      </c>
      <c r="R11" s="13">
        <f t="shared" si="4"/>
        <v>0</v>
      </c>
      <c r="S11" s="13">
        <f t="shared" si="4"/>
        <v>0</v>
      </c>
      <c r="T11" s="13">
        <f t="shared" si="4"/>
        <v>0</v>
      </c>
      <c r="U11" s="13">
        <f t="shared" si="4"/>
        <v>0</v>
      </c>
      <c r="V11" s="13">
        <f t="shared" si="4"/>
        <v>0</v>
      </c>
    </row>
    <row r="12" spans="2:22">
      <c r="B12" t="s">
        <v>37</v>
      </c>
      <c r="E12" s="12">
        <f>'Output_Standalone (IDR)'!E12</f>
        <v>45292</v>
      </c>
      <c r="F12" s="12">
        <f>'Output_Standalone (IDR)'!F12</f>
        <v>50040</v>
      </c>
      <c r="J12" s="13">
        <f>IF(J11=1,0,IF(J7&gt;$F$12,0,1))</f>
        <v>1</v>
      </c>
      <c r="K12" s="13">
        <f>IF(K11=1,0,IF(K7&gt;$F$12,0,1))</f>
        <v>1</v>
      </c>
      <c r="L12" s="13">
        <f t="shared" ref="L12:V12" si="5">IF(L11=1,0,IF(L7&gt;$F$12,0,1))</f>
        <v>1</v>
      </c>
      <c r="M12" s="13">
        <f t="shared" si="5"/>
        <v>1</v>
      </c>
      <c r="N12" s="13">
        <f t="shared" si="5"/>
        <v>1</v>
      </c>
      <c r="O12" s="13">
        <f t="shared" si="5"/>
        <v>1</v>
      </c>
      <c r="P12" s="13">
        <f t="shared" si="5"/>
        <v>1</v>
      </c>
      <c r="Q12" s="13">
        <f t="shared" si="5"/>
        <v>1</v>
      </c>
      <c r="R12" s="13">
        <f t="shared" si="5"/>
        <v>1</v>
      </c>
      <c r="S12" s="13">
        <f t="shared" si="5"/>
        <v>1</v>
      </c>
      <c r="T12" s="13">
        <f t="shared" si="5"/>
        <v>1</v>
      </c>
      <c r="U12" s="13">
        <f t="shared" si="5"/>
        <v>1</v>
      </c>
      <c r="V12" s="13">
        <f t="shared" si="5"/>
        <v>1</v>
      </c>
    </row>
    <row r="13" spans="2:22">
      <c r="F13" s="7"/>
    </row>
    <row r="14" spans="2:22">
      <c r="B14" t="s">
        <v>38</v>
      </c>
      <c r="J14">
        <f>SUM($J$12:J12)</f>
        <v>1</v>
      </c>
      <c r="K14">
        <f>SUM($J$12:K12)</f>
        <v>2</v>
      </c>
      <c r="L14">
        <f>SUM($J$12:L12)</f>
        <v>3</v>
      </c>
      <c r="M14">
        <f>SUM($J$12:M12)</f>
        <v>4</v>
      </c>
      <c r="N14">
        <f>SUM($J$12:N12)</f>
        <v>5</v>
      </c>
      <c r="O14">
        <f>SUM($J$12:O12)</f>
        <v>6</v>
      </c>
      <c r="P14">
        <f>SUM($J$12:P12)</f>
        <v>7</v>
      </c>
      <c r="Q14">
        <f>SUM($J$12:Q12)</f>
        <v>8</v>
      </c>
      <c r="R14">
        <f>SUM($J$12:R12)</f>
        <v>9</v>
      </c>
      <c r="S14">
        <f>SUM($J$12:S12)</f>
        <v>10</v>
      </c>
      <c r="T14">
        <f>SUM($J$12:T12)</f>
        <v>11</v>
      </c>
      <c r="U14">
        <f>SUM($J$12:U12)</f>
        <v>12</v>
      </c>
      <c r="V14">
        <f>SUM($J$12:V12)</f>
        <v>13</v>
      </c>
    </row>
    <row r="16" spans="2:22">
      <c r="B16" t="s">
        <v>291</v>
      </c>
      <c r="J16" s="122"/>
      <c r="K16" s="122">
        <v>-2439.75</v>
      </c>
      <c r="L16" s="122">
        <v>0</v>
      </c>
      <c r="M16" s="122">
        <v>0</v>
      </c>
      <c r="N16" s="122">
        <v>0</v>
      </c>
      <c r="O16" s="122">
        <v>0</v>
      </c>
      <c r="P16" s="122">
        <v>0</v>
      </c>
      <c r="Q16" s="122">
        <v>0</v>
      </c>
      <c r="R16" s="122">
        <v>0</v>
      </c>
      <c r="S16" s="122">
        <v>0</v>
      </c>
      <c r="T16" s="122">
        <v>0</v>
      </c>
      <c r="U16" s="122">
        <v>0</v>
      </c>
      <c r="V16" s="122">
        <v>0</v>
      </c>
    </row>
    <row r="17" spans="2:22" ht="15.75">
      <c r="B17" s="15" t="s">
        <v>292</v>
      </c>
    </row>
    <row r="18" spans="2:22">
      <c r="B18" t="s">
        <v>186</v>
      </c>
      <c r="F18" s="90">
        <v>1</v>
      </c>
    </row>
    <row r="19" spans="2:22">
      <c r="B19" t="s">
        <v>293</v>
      </c>
      <c r="F19" s="90">
        <v>1</v>
      </c>
    </row>
    <row r="20" spans="2:22">
      <c r="B20" s="407" t="s">
        <v>294</v>
      </c>
      <c r="F20" s="90">
        <v>1</v>
      </c>
    </row>
    <row r="21" spans="2:22">
      <c r="B21" s="407" t="s">
        <v>295</v>
      </c>
      <c r="F21" s="90">
        <v>1</v>
      </c>
    </row>
    <row r="22" spans="2:22">
      <c r="B22" t="s">
        <v>296</v>
      </c>
      <c r="F22" s="90">
        <v>1</v>
      </c>
    </row>
    <row r="23" spans="2:22">
      <c r="B23" t="s">
        <v>297</v>
      </c>
      <c r="F23" s="90">
        <v>1</v>
      </c>
    </row>
    <row r="24" spans="2:22">
      <c r="B24" t="s">
        <v>298</v>
      </c>
      <c r="F24" s="90">
        <v>1</v>
      </c>
    </row>
    <row r="25" spans="2:22">
      <c r="B25" t="s">
        <v>299</v>
      </c>
      <c r="F25" s="90">
        <v>1</v>
      </c>
    </row>
    <row r="27" spans="2:22" ht="24" thickBot="1">
      <c r="B27" s="14" t="s">
        <v>300</v>
      </c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</row>
    <row r="29" spans="2:22" ht="15.75">
      <c r="B29" s="15" t="s">
        <v>301</v>
      </c>
      <c r="J29" s="21"/>
    </row>
    <row r="30" spans="2:22">
      <c r="J30" s="21"/>
    </row>
    <row r="31" spans="2:22">
      <c r="J31" s="21"/>
    </row>
    <row r="32" spans="2:22">
      <c r="B32" s="407" t="s">
        <v>302</v>
      </c>
      <c r="J32" s="22">
        <f>J36/J33*J9</f>
        <v>45.000650374458019</v>
      </c>
      <c r="K32" s="22">
        <f t="shared" ref="K32:S32" si="6">K36/K33*K9</f>
        <v>45.531634606618645</v>
      </c>
      <c r="L32" s="22">
        <f t="shared" si="6"/>
        <v>45.797061281949752</v>
      </c>
      <c r="M32" s="22">
        <f t="shared" si="6"/>
        <v>45.841370223978913</v>
      </c>
      <c r="N32" s="22">
        <f t="shared" si="6"/>
        <v>45.955392092473396</v>
      </c>
      <c r="O32" s="22">
        <f t="shared" si="6"/>
        <v>45.903868800977023</v>
      </c>
      <c r="P32" s="22">
        <f t="shared" si="6"/>
        <v>46.048144049037973</v>
      </c>
      <c r="Q32" s="22">
        <f t="shared" si="6"/>
        <v>46.334855093139844</v>
      </c>
      <c r="R32" s="22">
        <f t="shared" si="6"/>
        <v>46.460161014881677</v>
      </c>
      <c r="S32" s="22">
        <f t="shared" si="6"/>
        <v>46.397870790155437</v>
      </c>
    </row>
    <row r="33" spans="2:23">
      <c r="B33" s="407" t="s">
        <v>9</v>
      </c>
      <c r="I33">
        <v>1851.5</v>
      </c>
      <c r="J33" s="50">
        <f>Output_Sapphire!J29</f>
        <v>2029.6</v>
      </c>
      <c r="K33" s="50">
        <f>Output_Sapphire!K29</f>
        <v>2193.8000000000002</v>
      </c>
      <c r="L33" s="50">
        <f>Output_Sapphire!L29</f>
        <v>2273.1</v>
      </c>
      <c r="M33" s="50">
        <f>Output_Sapphire!M29</f>
        <v>2277</v>
      </c>
      <c r="N33" s="50">
        <f>Output_Sapphire!N29</f>
        <v>2283.9</v>
      </c>
      <c r="O33" s="50">
        <f>Output_Sapphire!O29</f>
        <v>2292.6999999999998</v>
      </c>
      <c r="P33" s="50">
        <f>Output_Sapphire!P29</f>
        <v>2349.1999999999998</v>
      </c>
      <c r="Q33" s="50">
        <f>Output_Sapphire!Q29</f>
        <v>2453.3000000000002</v>
      </c>
      <c r="R33" s="50">
        <f>Output_Sapphire!R29</f>
        <v>2459.4</v>
      </c>
      <c r="S33" s="50">
        <f>Output_Sapphire!S29</f>
        <v>2470.4</v>
      </c>
      <c r="T33" s="50">
        <f>Output_Sapphire!T29</f>
        <v>2498.6</v>
      </c>
      <c r="U33" s="50">
        <f>Output_Sapphire!U29</f>
        <v>2601.3000000000002</v>
      </c>
      <c r="V33" s="50">
        <f>Output_Sapphire!V29</f>
        <v>2618.4</v>
      </c>
    </row>
    <row r="34" spans="2:23">
      <c r="B34" s="407" t="s">
        <v>303</v>
      </c>
      <c r="F34" s="19">
        <v>45</v>
      </c>
      <c r="I34" s="19">
        <v>44.177585741290848</v>
      </c>
      <c r="J34" s="19">
        <v>45</v>
      </c>
      <c r="K34" s="19">
        <v>45</v>
      </c>
      <c r="L34" s="19">
        <v>45</v>
      </c>
      <c r="M34" s="19">
        <v>45</v>
      </c>
      <c r="N34" s="19">
        <v>45</v>
      </c>
      <c r="O34" s="19">
        <v>45</v>
      </c>
      <c r="P34" s="19">
        <v>45</v>
      </c>
      <c r="Q34" s="19">
        <v>45</v>
      </c>
      <c r="R34" s="19">
        <v>45</v>
      </c>
      <c r="S34" s="19">
        <v>45</v>
      </c>
      <c r="T34" s="23"/>
      <c r="U34" s="23"/>
      <c r="V34" s="23"/>
    </row>
    <row r="35" spans="2:23">
      <c r="B35" s="28" t="s">
        <v>304</v>
      </c>
      <c r="C35" s="28"/>
      <c r="D35" s="28"/>
      <c r="E35" s="28"/>
      <c r="F35" s="28"/>
      <c r="G35" s="28"/>
      <c r="H35" s="28"/>
      <c r="I35" s="47">
        <f>I33*I34/I$9</f>
        <v>224.09534246575342</v>
      </c>
      <c r="J35" s="47">
        <f>J33*J34/J$9</f>
        <v>249.54098360655738</v>
      </c>
      <c r="K35" s="47">
        <f t="shared" ref="K35:V35" si="7">K33*K34/K$9</f>
        <v>270.46849315068499</v>
      </c>
      <c r="L35" s="47">
        <f t="shared" si="7"/>
        <v>280.24520547945207</v>
      </c>
      <c r="M35" s="47">
        <f t="shared" si="7"/>
        <v>280.72602739726028</v>
      </c>
      <c r="N35" s="47">
        <f t="shared" si="7"/>
        <v>280.80737704918033</v>
      </c>
      <c r="O35" s="47">
        <f t="shared" si="7"/>
        <v>282.66164383561642</v>
      </c>
      <c r="P35" s="47">
        <f t="shared" si="7"/>
        <v>289.62739726027394</v>
      </c>
      <c r="Q35" s="47">
        <f t="shared" si="7"/>
        <v>302.46164383561648</v>
      </c>
      <c r="R35" s="47">
        <f t="shared" si="7"/>
        <v>302.38524590163934</v>
      </c>
      <c r="S35" s="47">
        <f t="shared" si="7"/>
        <v>304.56986301369864</v>
      </c>
      <c r="T35" s="47">
        <f t="shared" si="7"/>
        <v>0</v>
      </c>
      <c r="U35" s="47">
        <f t="shared" si="7"/>
        <v>0</v>
      </c>
      <c r="V35" s="47">
        <f t="shared" si="7"/>
        <v>0</v>
      </c>
    </row>
    <row r="36" spans="2:23">
      <c r="B36" s="407" t="s">
        <v>305</v>
      </c>
      <c r="J36" s="22">
        <f>J47+J45</f>
        <v>249.5445901639344</v>
      </c>
      <c r="K36" s="22">
        <f t="shared" ref="K36:S36" si="8">K47+K45</f>
        <v>273.66383561643835</v>
      </c>
      <c r="L36" s="22">
        <f t="shared" si="8"/>
        <v>285.20904109589037</v>
      </c>
      <c r="M36" s="22">
        <f t="shared" si="8"/>
        <v>285.9747945205479</v>
      </c>
      <c r="N36" s="22">
        <f t="shared" si="8"/>
        <v>286.76918032786881</v>
      </c>
      <c r="O36" s="22">
        <f t="shared" si="8"/>
        <v>288.33917808219178</v>
      </c>
      <c r="P36" s="22">
        <f t="shared" si="8"/>
        <v>296.3734246575342</v>
      </c>
      <c r="Q36" s="22">
        <f t="shared" si="8"/>
        <v>311.43369863013697</v>
      </c>
      <c r="R36" s="22">
        <f t="shared" si="8"/>
        <v>312.19704918032789</v>
      </c>
      <c r="S36" s="22">
        <f t="shared" si="8"/>
        <v>314.03095890410958</v>
      </c>
      <c r="T36" s="22"/>
      <c r="U36" s="22"/>
      <c r="V36" s="22"/>
    </row>
    <row r="37" spans="2:23">
      <c r="B37" s="407" t="s">
        <v>306</v>
      </c>
      <c r="J37" s="21"/>
    </row>
    <row r="38" spans="2:23">
      <c r="B38" s="407" t="s">
        <v>307</v>
      </c>
      <c r="J38" s="33">
        <v>0</v>
      </c>
      <c r="K38" s="33">
        <v>0</v>
      </c>
      <c r="L38" s="33">
        <v>0</v>
      </c>
      <c r="M38" s="33">
        <v>0</v>
      </c>
      <c r="N38" s="33">
        <v>0</v>
      </c>
      <c r="O38" s="33">
        <v>0</v>
      </c>
      <c r="P38" s="33">
        <v>0</v>
      </c>
      <c r="Q38" s="33">
        <v>0</v>
      </c>
      <c r="R38" s="33">
        <v>0</v>
      </c>
      <c r="S38" s="33">
        <v>0</v>
      </c>
      <c r="T38" s="33">
        <v>0</v>
      </c>
      <c r="U38" s="33">
        <v>0</v>
      </c>
      <c r="V38" s="33">
        <v>0</v>
      </c>
    </row>
    <row r="39" spans="2:23">
      <c r="B39" s="407" t="s">
        <v>308</v>
      </c>
      <c r="F39" s="19">
        <v>40</v>
      </c>
    </row>
    <row r="40" spans="2:23">
      <c r="B40" s="28" t="s">
        <v>204</v>
      </c>
      <c r="C40" s="28"/>
      <c r="D40" s="28"/>
      <c r="E40" s="28"/>
      <c r="F40" s="28"/>
      <c r="G40" s="28"/>
      <c r="H40" s="28"/>
      <c r="I40" s="28"/>
      <c r="J40" s="28">
        <f t="shared" ref="J40:S40" si="9">J38*$F39/J$9*0+$I$976</f>
        <v>0</v>
      </c>
      <c r="K40" s="28">
        <f t="shared" si="9"/>
        <v>0</v>
      </c>
      <c r="L40" s="28">
        <f t="shared" si="9"/>
        <v>0</v>
      </c>
      <c r="M40" s="28">
        <f t="shared" si="9"/>
        <v>0</v>
      </c>
      <c r="N40" s="28">
        <f t="shared" si="9"/>
        <v>0</v>
      </c>
      <c r="O40" s="28">
        <f t="shared" si="9"/>
        <v>0</v>
      </c>
      <c r="P40" s="28">
        <f t="shared" si="9"/>
        <v>0</v>
      </c>
      <c r="Q40" s="28">
        <f t="shared" si="9"/>
        <v>0</v>
      </c>
      <c r="R40" s="28">
        <f t="shared" si="9"/>
        <v>0</v>
      </c>
      <c r="S40" s="28">
        <f t="shared" si="9"/>
        <v>0</v>
      </c>
      <c r="T40" s="28">
        <f>T38*$F39/T$9</f>
        <v>0</v>
      </c>
      <c r="U40" s="28">
        <f>U38*$F39/U$9</f>
        <v>0</v>
      </c>
      <c r="V40" s="28">
        <f>V38*$F39/V$9</f>
        <v>0</v>
      </c>
    </row>
    <row r="41" spans="2:23">
      <c r="J41" s="21"/>
    </row>
    <row r="42" spans="2:23">
      <c r="B42" s="407" t="s">
        <v>309</v>
      </c>
      <c r="J42" s="21"/>
    </row>
    <row r="43" spans="2:23">
      <c r="B43" s="407" t="s">
        <v>307</v>
      </c>
      <c r="I43" s="23">
        <v>1153.0999999999999</v>
      </c>
      <c r="J43" s="50">
        <f>-Output_Sapphire!J30</f>
        <v>1263</v>
      </c>
      <c r="K43" s="50">
        <f>-Output_Sapphire!K30</f>
        <v>1363.2</v>
      </c>
      <c r="L43" s="50">
        <f>-Output_Sapphire!L30</f>
        <v>1411.2</v>
      </c>
      <c r="M43" s="50">
        <f>-Output_Sapphire!M30</f>
        <v>1412</v>
      </c>
      <c r="N43" s="50">
        <f>-Output_Sapphire!N30</f>
        <v>1415.8</v>
      </c>
      <c r="O43" s="50">
        <f>-Output_Sapphire!O30</f>
        <v>1421.3</v>
      </c>
      <c r="P43" s="50">
        <f>-Output_Sapphire!P30</f>
        <v>1457</v>
      </c>
      <c r="Q43" s="50">
        <f>-Output_Sapphire!Q30</f>
        <v>1521</v>
      </c>
      <c r="R43" s="50">
        <f>-Output_Sapphire!R30</f>
        <v>1523.5</v>
      </c>
      <c r="S43" s="50">
        <f>-Output_Sapphire!S30</f>
        <v>1530.7</v>
      </c>
      <c r="T43" s="50">
        <f>-Output_Sapphire!T30</f>
        <v>1548.6</v>
      </c>
      <c r="U43" s="50">
        <f>-Output_Sapphire!U30</f>
        <v>1611.9</v>
      </c>
      <c r="V43" s="50">
        <f>-Output_Sapphire!V30</f>
        <v>1622.8</v>
      </c>
    </row>
    <row r="44" spans="2:23">
      <c r="B44" s="407" t="s">
        <v>310</v>
      </c>
      <c r="F44" s="19">
        <v>30</v>
      </c>
      <c r="I44" s="19">
        <v>30</v>
      </c>
      <c r="J44" s="19">
        <v>30</v>
      </c>
      <c r="K44" s="19">
        <v>30</v>
      </c>
      <c r="L44" s="19">
        <v>30</v>
      </c>
      <c r="M44" s="19">
        <v>30</v>
      </c>
      <c r="N44" s="19">
        <v>30</v>
      </c>
      <c r="O44" s="19">
        <v>30</v>
      </c>
      <c r="P44" s="19">
        <v>30</v>
      </c>
      <c r="Q44" s="19">
        <v>30</v>
      </c>
      <c r="R44" s="19">
        <v>30</v>
      </c>
      <c r="S44" s="19">
        <v>30</v>
      </c>
      <c r="T44" s="23"/>
      <c r="U44" s="23"/>
      <c r="V44" s="23"/>
    </row>
    <row r="45" spans="2:23">
      <c r="B45" s="28" t="s">
        <v>240</v>
      </c>
      <c r="C45" s="28"/>
      <c r="D45" s="28"/>
      <c r="E45" s="28"/>
      <c r="F45" s="28"/>
      <c r="G45" s="28"/>
      <c r="H45" s="28"/>
      <c r="I45" s="47">
        <f>I43*I44/I$9</f>
        <v>94.775342465753425</v>
      </c>
      <c r="J45" s="47">
        <f>J43*J44/J$9</f>
        <v>103.52459016393442</v>
      </c>
      <c r="K45" s="47">
        <f t="shared" ref="K45:V45" si="10">K43*K44/K$9</f>
        <v>112.04383561643836</v>
      </c>
      <c r="L45" s="47">
        <f t="shared" si="10"/>
        <v>115.98904109589041</v>
      </c>
      <c r="M45" s="47">
        <f t="shared" si="10"/>
        <v>116.05479452054794</v>
      </c>
      <c r="N45" s="47">
        <f t="shared" si="10"/>
        <v>116.04918032786885</v>
      </c>
      <c r="O45" s="47">
        <f t="shared" si="10"/>
        <v>116.81917808219178</v>
      </c>
      <c r="P45" s="47">
        <f t="shared" si="10"/>
        <v>119.75342465753425</v>
      </c>
      <c r="Q45" s="47">
        <f t="shared" si="10"/>
        <v>125.01369863013699</v>
      </c>
      <c r="R45" s="47">
        <f t="shared" si="10"/>
        <v>124.87704918032787</v>
      </c>
      <c r="S45" s="47">
        <f t="shared" si="10"/>
        <v>125.81095890410958</v>
      </c>
      <c r="T45" s="47">
        <f t="shared" si="10"/>
        <v>0</v>
      </c>
      <c r="U45" s="47">
        <f t="shared" si="10"/>
        <v>0</v>
      </c>
      <c r="V45" s="47">
        <f t="shared" si="10"/>
        <v>0</v>
      </c>
    </row>
    <row r="47" spans="2:23">
      <c r="B47" t="s">
        <v>300</v>
      </c>
      <c r="I47" s="23">
        <f>SUM(I35,I40,-I45)</f>
        <v>129.32</v>
      </c>
      <c r="J47" s="23">
        <f>I47-J48</f>
        <v>146.01999999999998</v>
      </c>
      <c r="K47" s="23">
        <f t="shared" ref="K47:S47" si="11">J47-K48</f>
        <v>161.61999999999998</v>
      </c>
      <c r="L47" s="23">
        <f t="shared" si="11"/>
        <v>169.21999999999997</v>
      </c>
      <c r="M47" s="23">
        <f t="shared" si="11"/>
        <v>169.91999999999996</v>
      </c>
      <c r="N47" s="23">
        <f t="shared" si="11"/>
        <v>170.71999999999997</v>
      </c>
      <c r="O47" s="23">
        <f t="shared" si="11"/>
        <v>171.51999999999998</v>
      </c>
      <c r="P47" s="23">
        <f t="shared" si="11"/>
        <v>176.61999999999998</v>
      </c>
      <c r="Q47" s="23">
        <f t="shared" si="11"/>
        <v>186.42</v>
      </c>
      <c r="R47" s="23">
        <f t="shared" si="11"/>
        <v>187.32</v>
      </c>
      <c r="S47" s="23">
        <f t="shared" si="11"/>
        <v>188.22</v>
      </c>
      <c r="T47" s="23"/>
      <c r="U47" s="23"/>
      <c r="V47" s="23"/>
    </row>
    <row r="48" spans="2:23">
      <c r="B48" t="s">
        <v>311</v>
      </c>
      <c r="I48">
        <v>-19.100000000000001</v>
      </c>
      <c r="J48" s="23">
        <v>-16.7</v>
      </c>
      <c r="K48" s="23">
        <v>-15.6</v>
      </c>
      <c r="L48" s="23">
        <v>-7.6</v>
      </c>
      <c r="M48" s="23">
        <v>-0.7</v>
      </c>
      <c r="N48" s="23">
        <v>-0.8</v>
      </c>
      <c r="O48" s="23">
        <v>-0.8</v>
      </c>
      <c r="P48" s="23">
        <v>-5.0999999999999996</v>
      </c>
      <c r="Q48" s="23">
        <v>-9.8000000000000007</v>
      </c>
      <c r="R48" s="23">
        <v>-0.9</v>
      </c>
      <c r="S48" s="23">
        <v>-0.9</v>
      </c>
      <c r="T48" s="23">
        <v>-2.5</v>
      </c>
      <c r="U48" s="23">
        <v>-9.6</v>
      </c>
      <c r="V48" s="23">
        <v>-1.5</v>
      </c>
      <c r="W48">
        <v>-1.7</v>
      </c>
    </row>
    <row r="49" spans="2:22">
      <c r="B49" s="407"/>
      <c r="J49" s="99"/>
    </row>
    <row r="50" spans="2:22" ht="24" thickBot="1">
      <c r="B50" s="14" t="s">
        <v>312</v>
      </c>
      <c r="C50" s="14"/>
      <c r="D50" s="14"/>
      <c r="E50" s="14"/>
      <c r="F50" s="14"/>
      <c r="G50" s="14"/>
      <c r="H50" s="14"/>
      <c r="I50" s="14"/>
      <c r="J50" s="14" t="s">
        <v>313</v>
      </c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</row>
    <row r="51" spans="2:22">
      <c r="J51" s="21"/>
    </row>
    <row r="52" spans="2:22">
      <c r="I52" s="9">
        <f>I8</f>
        <v>2023</v>
      </c>
      <c r="J52" s="9">
        <f t="shared" ref="J52:V52" si="12">J8</f>
        <v>2024</v>
      </c>
      <c r="K52" s="9">
        <f t="shared" si="12"/>
        <v>2025</v>
      </c>
      <c r="L52" s="9">
        <f t="shared" si="12"/>
        <v>2026</v>
      </c>
      <c r="M52" s="9">
        <f t="shared" si="12"/>
        <v>2027</v>
      </c>
      <c r="N52" s="9">
        <f t="shared" si="12"/>
        <v>2028</v>
      </c>
      <c r="O52" s="9">
        <f t="shared" si="12"/>
        <v>2029</v>
      </c>
      <c r="P52" s="9">
        <f t="shared" si="12"/>
        <v>2030</v>
      </c>
      <c r="Q52" s="9">
        <f t="shared" si="12"/>
        <v>2031</v>
      </c>
      <c r="R52" s="9">
        <f t="shared" si="12"/>
        <v>2032</v>
      </c>
      <c r="S52" s="9">
        <f t="shared" si="12"/>
        <v>2033</v>
      </c>
      <c r="T52" s="9">
        <f t="shared" si="12"/>
        <v>2034</v>
      </c>
      <c r="U52" s="9">
        <f t="shared" si="12"/>
        <v>2035</v>
      </c>
      <c r="V52" s="9">
        <f t="shared" si="12"/>
        <v>2036</v>
      </c>
    </row>
    <row r="53" spans="2:22">
      <c r="B53" s="407" t="s">
        <v>314</v>
      </c>
      <c r="G53" s="17" t="s">
        <v>315</v>
      </c>
      <c r="J53">
        <f>-Output_Sapphire!J62</f>
        <v>213.3</v>
      </c>
      <c r="K53">
        <f>-Output_Sapphire!K62</f>
        <v>174.6</v>
      </c>
      <c r="L53">
        <f>-Output_Sapphire!L62</f>
        <v>136.30000000000001</v>
      </c>
      <c r="M53">
        <f>-Output_Sapphire!M62</f>
        <v>90.5</v>
      </c>
      <c r="N53">
        <f>-Output_Sapphire!N62</f>
        <v>94.1</v>
      </c>
      <c r="O53">
        <f>-Output_Sapphire!O62</f>
        <v>88</v>
      </c>
      <c r="P53">
        <f>-Output_Sapphire!P62</f>
        <v>120.7</v>
      </c>
      <c r="Q53">
        <f>-Output_Sapphire!Q62</f>
        <v>108.7</v>
      </c>
      <c r="R53">
        <f>-Output_Sapphire!R62</f>
        <v>80.400000000000006</v>
      </c>
      <c r="S53">
        <f>-Output_Sapphire!S62</f>
        <v>117.7</v>
      </c>
      <c r="T53">
        <f>-Output_Sapphire!T62</f>
        <v>120.3</v>
      </c>
      <c r="U53">
        <f>-Output_Sapphire!U62</f>
        <v>123.3</v>
      </c>
      <c r="V53">
        <f>-Output_Sapphire!V62</f>
        <v>126.8</v>
      </c>
    </row>
    <row r="54" spans="2:22">
      <c r="B54" s="407"/>
      <c r="G54" s="17" t="s">
        <v>315</v>
      </c>
      <c r="I54">
        <f>Input!J331</f>
        <v>0</v>
      </c>
      <c r="J54">
        <f>Input!K331*Output_FSL!$F$40</f>
        <v>0</v>
      </c>
      <c r="K54">
        <f>Input!L331*Output_FSL!$F$40</f>
        <v>0</v>
      </c>
      <c r="L54">
        <f>Input!M331*Output_FSL!$F$40</f>
        <v>0</v>
      </c>
      <c r="M54">
        <f>Input!N331*Output_FSL!$F$40</f>
        <v>0</v>
      </c>
      <c r="N54">
        <f>Input!O331*Output_FSL!$F$40</f>
        <v>0</v>
      </c>
      <c r="O54">
        <f>Input!P331*Output_FSL!$F$40</f>
        <v>0</v>
      </c>
      <c r="P54">
        <f>Input!Q331*Output_FSL!$F$40</f>
        <v>0</v>
      </c>
      <c r="Q54">
        <f>Input!R331*Output_FSL!$F$40</f>
        <v>0</v>
      </c>
      <c r="R54">
        <f>Input!S331*Output_FSL!$F$40</f>
        <v>0</v>
      </c>
      <c r="S54">
        <f>Input!T331*Output_FSL!$F$40</f>
        <v>0</v>
      </c>
      <c r="T54">
        <f>Input!U331*Output_FSL!$F$40</f>
        <v>0</v>
      </c>
      <c r="U54">
        <f>Input!V331*Output_FSL!$F$40</f>
        <v>0</v>
      </c>
      <c r="V54">
        <f>Input!W331*Output_FSL!$F$40</f>
        <v>0</v>
      </c>
    </row>
    <row r="55" spans="2:22">
      <c r="B55" s="28" t="s">
        <v>316</v>
      </c>
      <c r="C55" s="28"/>
      <c r="D55" s="28"/>
      <c r="E55" s="28"/>
      <c r="F55" s="28"/>
      <c r="G55" s="94" t="s">
        <v>315</v>
      </c>
      <c r="H55" s="42">
        <f>SUM(I55:V55)</f>
        <v>1594.7</v>
      </c>
      <c r="I55" s="28">
        <f t="shared" ref="I55:V55" si="13">SUM(I53:I54)</f>
        <v>0</v>
      </c>
      <c r="J55" s="28">
        <f t="shared" si="13"/>
        <v>213.3</v>
      </c>
      <c r="K55" s="28">
        <f t="shared" si="13"/>
        <v>174.6</v>
      </c>
      <c r="L55" s="28">
        <f t="shared" si="13"/>
        <v>136.30000000000001</v>
      </c>
      <c r="M55" s="28">
        <f t="shared" si="13"/>
        <v>90.5</v>
      </c>
      <c r="N55" s="28">
        <f t="shared" si="13"/>
        <v>94.1</v>
      </c>
      <c r="O55" s="28">
        <f t="shared" si="13"/>
        <v>88</v>
      </c>
      <c r="P55" s="28">
        <f t="shared" si="13"/>
        <v>120.7</v>
      </c>
      <c r="Q55" s="28">
        <f t="shared" si="13"/>
        <v>108.7</v>
      </c>
      <c r="R55" s="28">
        <f t="shared" si="13"/>
        <v>80.400000000000006</v>
      </c>
      <c r="S55" s="28">
        <f t="shared" si="13"/>
        <v>117.7</v>
      </c>
      <c r="T55" s="28">
        <f t="shared" si="13"/>
        <v>120.3</v>
      </c>
      <c r="U55" s="28">
        <f t="shared" si="13"/>
        <v>123.3</v>
      </c>
      <c r="V55" s="28">
        <f t="shared" si="13"/>
        <v>126.8</v>
      </c>
    </row>
    <row r="57" spans="2:22">
      <c r="B57" s="407" t="s">
        <v>316</v>
      </c>
      <c r="G57" s="17" t="s">
        <v>315</v>
      </c>
      <c r="I57">
        <f>I55*Million*USD_IDR/Billion</f>
        <v>0</v>
      </c>
      <c r="J57">
        <f>J55</f>
        <v>213.3</v>
      </c>
      <c r="K57">
        <f t="shared" ref="K57:V57" si="14">K55</f>
        <v>174.6</v>
      </c>
      <c r="L57">
        <f t="shared" si="14"/>
        <v>136.30000000000001</v>
      </c>
      <c r="M57">
        <f t="shared" si="14"/>
        <v>90.5</v>
      </c>
      <c r="N57">
        <f t="shared" si="14"/>
        <v>94.1</v>
      </c>
      <c r="O57">
        <f t="shared" si="14"/>
        <v>88</v>
      </c>
      <c r="P57">
        <f t="shared" si="14"/>
        <v>120.7</v>
      </c>
      <c r="Q57">
        <f t="shared" si="14"/>
        <v>108.7</v>
      </c>
      <c r="R57">
        <f t="shared" si="14"/>
        <v>80.400000000000006</v>
      </c>
      <c r="S57">
        <f t="shared" si="14"/>
        <v>117.7</v>
      </c>
      <c r="T57">
        <f t="shared" si="14"/>
        <v>120.3</v>
      </c>
      <c r="U57">
        <f t="shared" si="14"/>
        <v>123.3</v>
      </c>
      <c r="V57">
        <f t="shared" si="14"/>
        <v>126.8</v>
      </c>
    </row>
    <row r="59" spans="2:22">
      <c r="B59" t="s">
        <v>195</v>
      </c>
      <c r="J59">
        <f>I62</f>
        <v>1479.114</v>
      </c>
      <c r="K59">
        <f t="shared" ref="K59:V59" si="15">J62</f>
        <v>1485.5139999999999</v>
      </c>
      <c r="L59">
        <f t="shared" si="15"/>
        <v>1439.9139999999998</v>
      </c>
      <c r="M59">
        <f t="shared" si="15"/>
        <v>1348.4139999999998</v>
      </c>
      <c r="N59">
        <f t="shared" si="15"/>
        <v>1203.9139999999998</v>
      </c>
      <c r="O59">
        <f t="shared" si="15"/>
        <v>1083.7139999999997</v>
      </c>
      <c r="P59">
        <f t="shared" si="15"/>
        <v>964.01399999999967</v>
      </c>
      <c r="Q59">
        <f t="shared" si="15"/>
        <v>908.11399999999969</v>
      </c>
      <c r="R59">
        <f t="shared" si="15"/>
        <v>839.91399999999976</v>
      </c>
      <c r="S59">
        <f t="shared" si="15"/>
        <v>786.61399999999981</v>
      </c>
      <c r="T59">
        <f t="shared" si="15"/>
        <v>781.41399999999987</v>
      </c>
      <c r="U59">
        <f t="shared" si="15"/>
        <v>782.71399999999983</v>
      </c>
      <c r="V59">
        <f t="shared" si="15"/>
        <v>781.71399999999983</v>
      </c>
    </row>
    <row r="60" spans="2:22">
      <c r="B60" t="s">
        <v>58</v>
      </c>
      <c r="J60">
        <f>J57</f>
        <v>213.3</v>
      </c>
      <c r="K60">
        <f t="shared" ref="K60:V60" si="16">K57</f>
        <v>174.6</v>
      </c>
      <c r="L60">
        <f t="shared" si="16"/>
        <v>136.30000000000001</v>
      </c>
      <c r="M60">
        <f t="shared" si="16"/>
        <v>90.5</v>
      </c>
      <c r="N60">
        <f t="shared" si="16"/>
        <v>94.1</v>
      </c>
      <c r="O60">
        <f t="shared" si="16"/>
        <v>88</v>
      </c>
      <c r="P60">
        <f t="shared" si="16"/>
        <v>120.7</v>
      </c>
      <c r="Q60">
        <f t="shared" si="16"/>
        <v>108.7</v>
      </c>
      <c r="R60">
        <f t="shared" si="16"/>
        <v>80.400000000000006</v>
      </c>
      <c r="S60">
        <f t="shared" si="16"/>
        <v>117.7</v>
      </c>
      <c r="T60">
        <f t="shared" si="16"/>
        <v>120.3</v>
      </c>
      <c r="U60">
        <f t="shared" si="16"/>
        <v>123.3</v>
      </c>
      <c r="V60">
        <f t="shared" si="16"/>
        <v>126.8</v>
      </c>
    </row>
    <row r="61" spans="2:22">
      <c r="B61" t="s">
        <v>317</v>
      </c>
      <c r="J61">
        <f>Output_Sapphire!J36</f>
        <v>-206.9</v>
      </c>
      <c r="K61">
        <f>Output_Sapphire!K36</f>
        <v>-220.2</v>
      </c>
      <c r="L61">
        <f>Output_Sapphire!L36</f>
        <v>-227.8</v>
      </c>
      <c r="M61">
        <f>Output_Sapphire!M36</f>
        <v>-235</v>
      </c>
      <c r="N61">
        <f>Output_Sapphire!N36</f>
        <v>-214.3</v>
      </c>
      <c r="O61">
        <f>Output_Sapphire!O36</f>
        <v>-207.7</v>
      </c>
      <c r="P61">
        <f>Output_Sapphire!P36</f>
        <v>-176.6</v>
      </c>
      <c r="Q61">
        <f>Output_Sapphire!Q36</f>
        <v>-176.9</v>
      </c>
      <c r="R61">
        <f>Output_Sapphire!R36</f>
        <v>-133.69999999999999</v>
      </c>
      <c r="S61">
        <f>Output_Sapphire!S36</f>
        <v>-122.9</v>
      </c>
      <c r="T61">
        <f>Output_Sapphire!T36</f>
        <v>-119</v>
      </c>
      <c r="U61">
        <f>Output_Sapphire!U36</f>
        <v>-124.3</v>
      </c>
      <c r="V61">
        <f>Output_Sapphire!V36</f>
        <v>-130.19999999999999</v>
      </c>
    </row>
    <row r="62" spans="2:22">
      <c r="B62" s="28" t="s">
        <v>60</v>
      </c>
      <c r="C62" s="28"/>
      <c r="D62" s="28"/>
      <c r="E62" s="28"/>
      <c r="F62" s="28"/>
      <c r="G62" s="28"/>
      <c r="H62" s="28"/>
      <c r="I62" s="28">
        <v>1479.114</v>
      </c>
      <c r="J62" s="28">
        <f>SUM(J59:J61)</f>
        <v>1485.5139999999999</v>
      </c>
      <c r="K62" s="28">
        <f t="shared" ref="K62:V62" si="17">SUM(K59:K61)</f>
        <v>1439.9139999999998</v>
      </c>
      <c r="L62" s="28">
        <f t="shared" si="17"/>
        <v>1348.4139999999998</v>
      </c>
      <c r="M62" s="28">
        <f t="shared" si="17"/>
        <v>1203.9139999999998</v>
      </c>
      <c r="N62" s="28">
        <f t="shared" si="17"/>
        <v>1083.7139999999997</v>
      </c>
      <c r="O62" s="28">
        <f t="shared" si="17"/>
        <v>964.01399999999967</v>
      </c>
      <c r="P62" s="28">
        <f t="shared" si="17"/>
        <v>908.11399999999969</v>
      </c>
      <c r="Q62" s="28">
        <f t="shared" si="17"/>
        <v>839.91399999999976</v>
      </c>
      <c r="R62" s="28">
        <f t="shared" si="17"/>
        <v>786.61399999999981</v>
      </c>
      <c r="S62" s="28">
        <f t="shared" si="17"/>
        <v>781.41399999999987</v>
      </c>
      <c r="T62" s="28">
        <f t="shared" si="17"/>
        <v>782.71399999999983</v>
      </c>
      <c r="U62" s="28">
        <f t="shared" si="17"/>
        <v>781.71399999999983</v>
      </c>
      <c r="V62" s="28">
        <f t="shared" si="17"/>
        <v>778.31399999999985</v>
      </c>
    </row>
    <row r="63" spans="2:22">
      <c r="H63">
        <f>I35+I62+Output_Sapphire!I80</f>
        <v>1955.9323424657534</v>
      </c>
    </row>
    <row r="64" spans="2:22">
      <c r="B64" s="407" t="s">
        <v>318</v>
      </c>
      <c r="I64">
        <f>H65-H63</f>
        <v>1115.0886575342467</v>
      </c>
      <c r="J64">
        <f>I64</f>
        <v>1115.0886575342467</v>
      </c>
      <c r="K64">
        <f t="shared" ref="K64:V64" si="18">J64</f>
        <v>1115.0886575342467</v>
      </c>
      <c r="L64">
        <f t="shared" si="18"/>
        <v>1115.0886575342467</v>
      </c>
      <c r="M64">
        <f t="shared" si="18"/>
        <v>1115.0886575342467</v>
      </c>
      <c r="N64">
        <f t="shared" si="18"/>
        <v>1115.0886575342467</v>
      </c>
      <c r="O64">
        <f t="shared" si="18"/>
        <v>1115.0886575342467</v>
      </c>
      <c r="P64">
        <f t="shared" si="18"/>
        <v>1115.0886575342467</v>
      </c>
      <c r="Q64">
        <f t="shared" si="18"/>
        <v>1115.0886575342467</v>
      </c>
      <c r="R64">
        <f t="shared" si="18"/>
        <v>1115.0886575342467</v>
      </c>
      <c r="S64">
        <f t="shared" si="18"/>
        <v>1115.0886575342467</v>
      </c>
      <c r="T64">
        <f t="shared" si="18"/>
        <v>1115.0886575342467</v>
      </c>
      <c r="U64">
        <f t="shared" si="18"/>
        <v>1115.0886575342467</v>
      </c>
      <c r="V64">
        <f t="shared" si="18"/>
        <v>1115.0886575342467</v>
      </c>
    </row>
    <row r="65" spans="2:22">
      <c r="H65">
        <v>3071.0210000000002</v>
      </c>
    </row>
    <row r="66" spans="2:22" ht="24" thickBot="1">
      <c r="B66" s="14" t="s">
        <v>319</v>
      </c>
      <c r="C66" s="14"/>
      <c r="D66" s="14"/>
      <c r="E66" s="14"/>
      <c r="F66" s="14"/>
      <c r="G66" s="14"/>
      <c r="H66" s="14"/>
      <c r="I66" s="14"/>
      <c r="J66" s="14" t="s">
        <v>313</v>
      </c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</row>
    <row r="68" spans="2:22">
      <c r="B68" s="407" t="s">
        <v>320</v>
      </c>
      <c r="G68" s="17" t="s">
        <v>176</v>
      </c>
      <c r="J68" s="57"/>
      <c r="K68" s="57">
        <v>55</v>
      </c>
      <c r="L68" s="57">
        <v>55</v>
      </c>
      <c r="M68" s="57"/>
      <c r="N68" s="57"/>
      <c r="O68" s="57"/>
      <c r="P68" s="57"/>
      <c r="Q68" s="57"/>
      <c r="R68" s="57"/>
      <c r="S68" s="57"/>
      <c r="T68" s="57"/>
      <c r="U68" s="57"/>
      <c r="V68" s="57"/>
    </row>
    <row r="70" spans="2:22">
      <c r="B70" s="407" t="s">
        <v>320</v>
      </c>
      <c r="G70" s="17" t="s">
        <v>315</v>
      </c>
      <c r="J70">
        <f t="shared" ref="J70:V70" si="19">J68*Million*USD_IDR/Billion</f>
        <v>0</v>
      </c>
      <c r="K70">
        <f t="shared" si="19"/>
        <v>894.57500000000005</v>
      </c>
      <c r="L70">
        <f t="shared" si="19"/>
        <v>894.57500000000005</v>
      </c>
      <c r="M70">
        <f t="shared" si="19"/>
        <v>0</v>
      </c>
      <c r="N70">
        <f t="shared" si="19"/>
        <v>0</v>
      </c>
      <c r="O70">
        <f t="shared" si="19"/>
        <v>0</v>
      </c>
      <c r="P70">
        <f t="shared" si="19"/>
        <v>0</v>
      </c>
      <c r="Q70">
        <f t="shared" si="19"/>
        <v>0</v>
      </c>
      <c r="R70">
        <f t="shared" si="19"/>
        <v>0</v>
      </c>
      <c r="S70">
        <f t="shared" si="19"/>
        <v>0</v>
      </c>
      <c r="T70">
        <f t="shared" si="19"/>
        <v>0</v>
      </c>
      <c r="U70">
        <f t="shared" si="19"/>
        <v>0</v>
      </c>
      <c r="V70">
        <f t="shared" si="19"/>
        <v>0</v>
      </c>
    </row>
    <row r="72" spans="2:22">
      <c r="B72" s="407" t="s">
        <v>321</v>
      </c>
      <c r="G72" s="17" t="s">
        <v>176</v>
      </c>
      <c r="J72" s="57"/>
      <c r="K72" s="57"/>
      <c r="L72" s="57"/>
      <c r="M72" s="57"/>
      <c r="N72" s="57"/>
      <c r="O72" s="57">
        <v>20</v>
      </c>
      <c r="P72" s="57"/>
      <c r="Q72" s="57">
        <v>20</v>
      </c>
      <c r="R72" s="57"/>
      <c r="S72" s="57"/>
      <c r="T72" s="57"/>
      <c r="U72" s="57"/>
      <c r="V72" s="57"/>
    </row>
    <row r="74" spans="2:22" hidden="1">
      <c r="B74" s="2" t="s">
        <v>322</v>
      </c>
    </row>
    <row r="75" spans="2:22" hidden="1">
      <c r="B75" s="407" t="s">
        <v>57</v>
      </c>
      <c r="J75" t="e">
        <f>I77</f>
        <v>#REF!</v>
      </c>
      <c r="K75" t="e">
        <f t="shared" ref="K75:V75" si="20">J77</f>
        <v>#REF!</v>
      </c>
      <c r="L75" t="e">
        <f t="shared" si="20"/>
        <v>#REF!</v>
      </c>
      <c r="M75" t="e">
        <f t="shared" si="20"/>
        <v>#REF!</v>
      </c>
      <c r="N75" t="e">
        <f t="shared" si="20"/>
        <v>#REF!</v>
      </c>
      <c r="O75" t="e">
        <f t="shared" si="20"/>
        <v>#REF!</v>
      </c>
      <c r="P75" t="e">
        <f t="shared" si="20"/>
        <v>#REF!</v>
      </c>
      <c r="Q75" t="e">
        <f t="shared" si="20"/>
        <v>#REF!</v>
      </c>
      <c r="R75" t="e">
        <f t="shared" si="20"/>
        <v>#REF!</v>
      </c>
      <c r="S75" t="e">
        <f t="shared" si="20"/>
        <v>#REF!</v>
      </c>
      <c r="T75" t="e">
        <f t="shared" si="20"/>
        <v>#REF!</v>
      </c>
      <c r="U75" t="e">
        <f t="shared" si="20"/>
        <v>#REF!</v>
      </c>
      <c r="V75" t="e">
        <f t="shared" si="20"/>
        <v>#REF!</v>
      </c>
    </row>
    <row r="76" spans="2:22" hidden="1">
      <c r="B76" s="407" t="s">
        <v>58</v>
      </c>
      <c r="J76">
        <f>J70</f>
        <v>0</v>
      </c>
      <c r="K76">
        <f t="shared" ref="K76:V76" si="21">K70</f>
        <v>894.57500000000005</v>
      </c>
      <c r="L76">
        <f t="shared" si="21"/>
        <v>894.57500000000005</v>
      </c>
      <c r="M76">
        <f t="shared" si="21"/>
        <v>0</v>
      </c>
      <c r="N76">
        <f t="shared" si="21"/>
        <v>0</v>
      </c>
      <c r="O76">
        <f t="shared" si="21"/>
        <v>0</v>
      </c>
      <c r="P76">
        <f t="shared" si="21"/>
        <v>0</v>
      </c>
      <c r="Q76">
        <f t="shared" si="21"/>
        <v>0</v>
      </c>
      <c r="R76">
        <f t="shared" si="21"/>
        <v>0</v>
      </c>
      <c r="S76">
        <f t="shared" si="21"/>
        <v>0</v>
      </c>
      <c r="T76">
        <f t="shared" si="21"/>
        <v>0</v>
      </c>
      <c r="U76">
        <f t="shared" si="21"/>
        <v>0</v>
      </c>
      <c r="V76">
        <f t="shared" si="21"/>
        <v>0</v>
      </c>
    </row>
    <row r="77" spans="2:22" hidden="1">
      <c r="B77" s="407" t="s">
        <v>60</v>
      </c>
      <c r="I77" t="e">
        <f>Output_FSL!#REF!</f>
        <v>#REF!</v>
      </c>
      <c r="J77" t="e">
        <f>SUM(J75:J76)</f>
        <v>#REF!</v>
      </c>
      <c r="K77" t="e">
        <f t="shared" ref="K77:V77" si="22">SUM(K75:K76)</f>
        <v>#REF!</v>
      </c>
      <c r="L77" t="e">
        <f t="shared" si="22"/>
        <v>#REF!</v>
      </c>
      <c r="M77" t="e">
        <f t="shared" si="22"/>
        <v>#REF!</v>
      </c>
      <c r="N77" t="e">
        <f t="shared" si="22"/>
        <v>#REF!</v>
      </c>
      <c r="O77" t="e">
        <f t="shared" si="22"/>
        <v>#REF!</v>
      </c>
      <c r="P77" t="e">
        <f t="shared" si="22"/>
        <v>#REF!</v>
      </c>
      <c r="Q77" t="e">
        <f t="shared" si="22"/>
        <v>#REF!</v>
      </c>
      <c r="R77" t="e">
        <f t="shared" si="22"/>
        <v>#REF!</v>
      </c>
      <c r="S77" t="e">
        <f t="shared" si="22"/>
        <v>#REF!</v>
      </c>
      <c r="T77" t="e">
        <f t="shared" si="22"/>
        <v>#REF!</v>
      </c>
      <c r="U77" t="e">
        <f t="shared" si="22"/>
        <v>#REF!</v>
      </c>
      <c r="V77" t="e">
        <f t="shared" si="22"/>
        <v>#REF!</v>
      </c>
    </row>
    <row r="78" spans="2:22" hidden="1"/>
    <row r="79" spans="2:22" ht="24" hidden="1" thickBot="1">
      <c r="B79" s="14" t="s">
        <v>323</v>
      </c>
      <c r="C79" s="14"/>
      <c r="D79" s="14"/>
      <c r="E79" s="14"/>
      <c r="F79" s="14"/>
      <c r="G79" s="14"/>
      <c r="H79" s="14"/>
      <c r="I79" s="14"/>
      <c r="J79" s="14" t="s">
        <v>313</v>
      </c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</row>
    <row r="80" spans="2:22" hidden="1"/>
    <row r="81" spans="2:22" hidden="1">
      <c r="B81" s="407" t="s">
        <v>320</v>
      </c>
      <c r="G81" s="17" t="s">
        <v>176</v>
      </c>
      <c r="J81" s="57"/>
      <c r="K81" s="57">
        <v>12</v>
      </c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</row>
    <row r="82" spans="2:22" hidden="1"/>
    <row r="83" spans="2:22" hidden="1">
      <c r="B83" s="407" t="s">
        <v>320</v>
      </c>
      <c r="G83" s="17" t="s">
        <v>315</v>
      </c>
      <c r="J83">
        <f t="shared" ref="J83:V83" si="23">J81*Million*USD_IDR/Billion</f>
        <v>0</v>
      </c>
      <c r="K83">
        <f t="shared" si="23"/>
        <v>195.18</v>
      </c>
      <c r="L83">
        <f t="shared" si="23"/>
        <v>0</v>
      </c>
      <c r="M83">
        <f t="shared" si="23"/>
        <v>0</v>
      </c>
      <c r="N83">
        <f t="shared" si="23"/>
        <v>0</v>
      </c>
      <c r="O83">
        <f t="shared" si="23"/>
        <v>0</v>
      </c>
      <c r="P83">
        <f t="shared" si="23"/>
        <v>0</v>
      </c>
      <c r="Q83">
        <f t="shared" si="23"/>
        <v>0</v>
      </c>
      <c r="R83">
        <f t="shared" si="23"/>
        <v>0</v>
      </c>
      <c r="S83">
        <f t="shared" si="23"/>
        <v>0</v>
      </c>
      <c r="T83">
        <f t="shared" si="23"/>
        <v>0</v>
      </c>
      <c r="U83">
        <f t="shared" si="23"/>
        <v>0</v>
      </c>
      <c r="V83">
        <f t="shared" si="23"/>
        <v>0</v>
      </c>
    </row>
    <row r="84" spans="2:22" hidden="1"/>
    <row r="85" spans="2:22" hidden="1">
      <c r="B85" s="407" t="s">
        <v>57</v>
      </c>
      <c r="J85">
        <f>I87</f>
        <v>289.11399999999998</v>
      </c>
      <c r="K85">
        <f>J87</f>
        <v>246</v>
      </c>
      <c r="L85">
        <f t="shared" ref="L85:V85" si="24">K87</f>
        <v>230.5</v>
      </c>
      <c r="M85">
        <f t="shared" si="24"/>
        <v>205.65100000000001</v>
      </c>
      <c r="N85">
        <f t="shared" si="24"/>
        <v>171.36200000000002</v>
      </c>
      <c r="O85">
        <f t="shared" si="24"/>
        <v>110.25800000000002</v>
      </c>
      <c r="P85">
        <f t="shared" si="24"/>
        <v>72.295000000000016</v>
      </c>
      <c r="Q85">
        <f t="shared" si="24"/>
        <v>21.397000000000013</v>
      </c>
      <c r="R85">
        <f t="shared" si="24"/>
        <v>0</v>
      </c>
      <c r="S85">
        <f t="shared" si="24"/>
        <v>0</v>
      </c>
      <c r="T85">
        <f t="shared" si="24"/>
        <v>0</v>
      </c>
      <c r="U85">
        <f t="shared" si="24"/>
        <v>0</v>
      </c>
      <c r="V85">
        <f t="shared" si="24"/>
        <v>0</v>
      </c>
    </row>
    <row r="86" spans="2:22" hidden="1">
      <c r="B86" s="407" t="s">
        <v>67</v>
      </c>
      <c r="J86" s="57">
        <f>-(J85-J87)</f>
        <v>-43.113999999999976</v>
      </c>
      <c r="K86">
        <v>-15.5</v>
      </c>
      <c r="L86">
        <v>-24.849</v>
      </c>
      <c r="M86">
        <v>-34.289000000000001</v>
      </c>
      <c r="N86">
        <v>-61.103999999999999</v>
      </c>
      <c r="O86">
        <v>-37.963000000000001</v>
      </c>
      <c r="P86">
        <f>-50.898</f>
        <v>-50.898000000000003</v>
      </c>
      <c r="Q86">
        <f>-Q85</f>
        <v>-21.397000000000013</v>
      </c>
      <c r="R86">
        <f>-R83</f>
        <v>0</v>
      </c>
      <c r="S86">
        <f>-S83</f>
        <v>0</v>
      </c>
      <c r="T86">
        <f>-T83</f>
        <v>0</v>
      </c>
      <c r="U86">
        <f>-U83</f>
        <v>0</v>
      </c>
      <c r="V86">
        <f>-V83</f>
        <v>0</v>
      </c>
    </row>
    <row r="87" spans="2:22" hidden="1">
      <c r="B87" s="407" t="s">
        <v>60</v>
      </c>
      <c r="I87">
        <v>289.11399999999998</v>
      </c>
      <c r="J87" s="57">
        <v>246</v>
      </c>
      <c r="K87">
        <f>SUM(K85:K86)</f>
        <v>230.5</v>
      </c>
      <c r="L87">
        <f t="shared" ref="L87:V87" si="25">SUM(L85:L86)</f>
        <v>205.65100000000001</v>
      </c>
      <c r="M87">
        <f t="shared" si="25"/>
        <v>171.36200000000002</v>
      </c>
      <c r="N87">
        <f t="shared" si="25"/>
        <v>110.25800000000002</v>
      </c>
      <c r="O87">
        <f t="shared" si="25"/>
        <v>72.295000000000016</v>
      </c>
      <c r="P87">
        <f t="shared" si="25"/>
        <v>21.397000000000013</v>
      </c>
      <c r="Q87">
        <f t="shared" si="25"/>
        <v>0</v>
      </c>
      <c r="R87">
        <f t="shared" si="25"/>
        <v>0</v>
      </c>
      <c r="S87">
        <f t="shared" si="25"/>
        <v>0</v>
      </c>
      <c r="T87">
        <f t="shared" si="25"/>
        <v>0</v>
      </c>
      <c r="U87">
        <f t="shared" si="25"/>
        <v>0</v>
      </c>
      <c r="V87">
        <f t="shared" si="25"/>
        <v>0</v>
      </c>
    </row>
    <row r="88" spans="2:22" hidden="1"/>
    <row r="89" spans="2:22" hidden="1">
      <c r="B89" s="407" t="s">
        <v>246</v>
      </c>
      <c r="I89">
        <f>I90-SUM(I87,I45)</f>
        <v>164.88665753424652</v>
      </c>
      <c r="J89">
        <f>I89</f>
        <v>164.88665753424652</v>
      </c>
      <c r="K89">
        <f t="shared" ref="K89:V89" si="26">J89</f>
        <v>164.88665753424652</v>
      </c>
      <c r="L89">
        <f t="shared" si="26"/>
        <v>164.88665753424652</v>
      </c>
      <c r="M89">
        <f t="shared" si="26"/>
        <v>164.88665753424652</v>
      </c>
      <c r="N89">
        <f t="shared" si="26"/>
        <v>164.88665753424652</v>
      </c>
      <c r="O89">
        <f t="shared" si="26"/>
        <v>164.88665753424652</v>
      </c>
      <c r="P89">
        <f t="shared" si="26"/>
        <v>164.88665753424652</v>
      </c>
      <c r="Q89">
        <f t="shared" si="26"/>
        <v>164.88665753424652</v>
      </c>
      <c r="R89">
        <f t="shared" si="26"/>
        <v>164.88665753424652</v>
      </c>
      <c r="S89">
        <f t="shared" si="26"/>
        <v>164.88665753424652</v>
      </c>
      <c r="T89">
        <f t="shared" si="26"/>
        <v>164.88665753424652</v>
      </c>
      <c r="U89">
        <f t="shared" si="26"/>
        <v>164.88665753424652</v>
      </c>
      <c r="V89">
        <f t="shared" si="26"/>
        <v>164.88665753424652</v>
      </c>
    </row>
    <row r="90" spans="2:22" hidden="1">
      <c r="B90" s="407" t="s">
        <v>272</v>
      </c>
      <c r="I90">
        <v>548.77599999999995</v>
      </c>
    </row>
    <row r="91" spans="2:22" ht="24" hidden="1" thickBot="1">
      <c r="B91" s="14" t="s">
        <v>39</v>
      </c>
      <c r="C91" s="14"/>
      <c r="D91" s="14"/>
      <c r="E91" s="14"/>
      <c r="F91" s="14"/>
      <c r="G91" s="14"/>
      <c r="H91" s="14"/>
      <c r="I91" s="14"/>
      <c r="J91" s="14" t="s">
        <v>313</v>
      </c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</row>
    <row r="92" spans="2:22" hidden="1"/>
    <row r="93" spans="2:22" hidden="1">
      <c r="B93" s="407" t="s">
        <v>324</v>
      </c>
      <c r="G93" s="17" t="s">
        <v>315</v>
      </c>
      <c r="J93">
        <f>J57</f>
        <v>213.3</v>
      </c>
      <c r="K93">
        <f t="shared" ref="K93:V93" si="27">K57</f>
        <v>174.6</v>
      </c>
      <c r="L93">
        <f t="shared" si="27"/>
        <v>136.30000000000001</v>
      </c>
      <c r="M93">
        <f t="shared" si="27"/>
        <v>90.5</v>
      </c>
      <c r="N93">
        <f t="shared" si="27"/>
        <v>94.1</v>
      </c>
      <c r="O93">
        <f t="shared" si="27"/>
        <v>88</v>
      </c>
      <c r="P93">
        <f t="shared" si="27"/>
        <v>120.7</v>
      </c>
      <c r="Q93">
        <f t="shared" si="27"/>
        <v>108.7</v>
      </c>
      <c r="R93">
        <f t="shared" si="27"/>
        <v>80.400000000000006</v>
      </c>
      <c r="S93">
        <f t="shared" si="27"/>
        <v>117.7</v>
      </c>
      <c r="T93">
        <f t="shared" si="27"/>
        <v>120.3</v>
      </c>
      <c r="U93">
        <f t="shared" si="27"/>
        <v>123.3</v>
      </c>
      <c r="V93">
        <f t="shared" si="27"/>
        <v>126.8</v>
      </c>
    </row>
    <row r="94" spans="2:22" hidden="1">
      <c r="G94" s="17"/>
    </row>
    <row r="95" spans="2:22" hidden="1">
      <c r="B95" s="407" t="s">
        <v>48</v>
      </c>
      <c r="F95" s="39">
        <v>1</v>
      </c>
      <c r="G95" s="17" t="s">
        <v>325</v>
      </c>
      <c r="J95">
        <f>J93*$F$954</f>
        <v>0</v>
      </c>
      <c r="K95">
        <f t="shared" ref="K95:V95" si="28">K93*$F$954</f>
        <v>0</v>
      </c>
      <c r="L95">
        <f t="shared" si="28"/>
        <v>0</v>
      </c>
      <c r="M95">
        <f t="shared" si="28"/>
        <v>0</v>
      </c>
      <c r="N95">
        <f t="shared" si="28"/>
        <v>0</v>
      </c>
      <c r="O95">
        <f t="shared" si="28"/>
        <v>0</v>
      </c>
      <c r="P95">
        <f t="shared" si="28"/>
        <v>0</v>
      </c>
      <c r="Q95">
        <f t="shared" si="28"/>
        <v>0</v>
      </c>
      <c r="R95">
        <f t="shared" si="28"/>
        <v>0</v>
      </c>
      <c r="S95">
        <f t="shared" si="28"/>
        <v>0</v>
      </c>
      <c r="T95">
        <f t="shared" si="28"/>
        <v>0</v>
      </c>
      <c r="U95">
        <f t="shared" si="28"/>
        <v>0</v>
      </c>
      <c r="V95">
        <f t="shared" si="28"/>
        <v>0</v>
      </c>
    </row>
    <row r="96" spans="2:22" hidden="1">
      <c r="B96" s="407" t="s">
        <v>47</v>
      </c>
      <c r="F96">
        <f>100%-F95</f>
        <v>0</v>
      </c>
      <c r="G96" s="17" t="s">
        <v>325</v>
      </c>
      <c r="J96">
        <f>J93*$F$955</f>
        <v>0</v>
      </c>
      <c r="K96">
        <f t="shared" ref="K96:V96" si="29">K93*$F$955</f>
        <v>0</v>
      </c>
      <c r="L96">
        <f t="shared" si="29"/>
        <v>0</v>
      </c>
      <c r="M96">
        <f t="shared" si="29"/>
        <v>0</v>
      </c>
      <c r="N96">
        <f t="shared" si="29"/>
        <v>0</v>
      </c>
      <c r="O96">
        <f t="shared" si="29"/>
        <v>0</v>
      </c>
      <c r="P96">
        <f t="shared" si="29"/>
        <v>0</v>
      </c>
      <c r="Q96">
        <f t="shared" si="29"/>
        <v>0</v>
      </c>
      <c r="R96">
        <f t="shared" si="29"/>
        <v>0</v>
      </c>
      <c r="S96">
        <f t="shared" si="29"/>
        <v>0</v>
      </c>
      <c r="T96">
        <f t="shared" si="29"/>
        <v>0</v>
      </c>
      <c r="U96">
        <f t="shared" si="29"/>
        <v>0</v>
      </c>
      <c r="V96">
        <f t="shared" si="29"/>
        <v>0</v>
      </c>
    </row>
    <row r="97" spans="2:22" hidden="1">
      <c r="B97" s="28" t="s">
        <v>326</v>
      </c>
      <c r="C97" s="28"/>
      <c r="D97" s="28"/>
      <c r="E97" s="28"/>
      <c r="F97" s="28"/>
      <c r="G97" s="28"/>
      <c r="H97" s="28"/>
      <c r="I97" s="28"/>
      <c r="J97" s="28">
        <f>SUM(J95:J96)</f>
        <v>0</v>
      </c>
      <c r="K97" s="28">
        <f t="shared" ref="K97:V97" si="30">SUM(K95:K96)</f>
        <v>0</v>
      </c>
      <c r="L97" s="28">
        <f t="shared" si="30"/>
        <v>0</v>
      </c>
      <c r="M97" s="28">
        <f t="shared" si="30"/>
        <v>0</v>
      </c>
      <c r="N97" s="28">
        <f t="shared" si="30"/>
        <v>0</v>
      </c>
      <c r="O97" s="28">
        <f t="shared" si="30"/>
        <v>0</v>
      </c>
      <c r="P97" s="28">
        <f t="shared" si="30"/>
        <v>0</v>
      </c>
      <c r="Q97" s="28">
        <f t="shared" si="30"/>
        <v>0</v>
      </c>
      <c r="R97" s="28">
        <f t="shared" si="30"/>
        <v>0</v>
      </c>
      <c r="S97" s="28">
        <f t="shared" si="30"/>
        <v>0</v>
      </c>
      <c r="T97" s="28">
        <f t="shared" si="30"/>
        <v>0</v>
      </c>
      <c r="U97" s="28">
        <f t="shared" si="30"/>
        <v>0</v>
      </c>
      <c r="V97" s="28">
        <f t="shared" si="30"/>
        <v>0</v>
      </c>
    </row>
    <row r="98" spans="2:22" hidden="1">
      <c r="G98" s="17"/>
    </row>
    <row r="99" spans="2:22" ht="15.75" hidden="1">
      <c r="B99" s="15" t="s">
        <v>327</v>
      </c>
    </row>
    <row r="100" spans="2:22" hidden="1"/>
    <row r="101" spans="2:22" hidden="1">
      <c r="B101" t="s">
        <v>328</v>
      </c>
      <c r="J101" t="e">
        <f>Output_FSL!#REF!</f>
        <v>#REF!</v>
      </c>
      <c r="K101" t="e">
        <f>Output_FSL!#REF!</f>
        <v>#REF!</v>
      </c>
      <c r="L101" t="e">
        <f>Output_FSL!#REF!</f>
        <v>#REF!</v>
      </c>
      <c r="M101" t="e">
        <f>Output_FSL!#REF!</f>
        <v>#REF!</v>
      </c>
      <c r="N101" t="e">
        <f>Output_FSL!#REF!</f>
        <v>#REF!</v>
      </c>
      <c r="O101" t="e">
        <f>Output_FSL!#REF!</f>
        <v>#REF!</v>
      </c>
      <c r="P101" t="e">
        <f>Output_FSL!#REF!</f>
        <v>#REF!</v>
      </c>
      <c r="Q101" t="e">
        <f>Output_FSL!#REF!</f>
        <v>#REF!</v>
      </c>
      <c r="R101" t="e">
        <f>Output_FSL!#REF!</f>
        <v>#REF!</v>
      </c>
      <c r="S101" t="e">
        <f>Output_FSL!#REF!</f>
        <v>#REF!</v>
      </c>
      <c r="T101" t="e">
        <f>Output_FSL!#REF!</f>
        <v>#REF!</v>
      </c>
      <c r="U101" t="e">
        <f>Output_FSL!#REF!</f>
        <v>#REF!</v>
      </c>
      <c r="V101" t="e">
        <f>Output_FSL!#REF!</f>
        <v>#REF!</v>
      </c>
    </row>
    <row r="102" spans="2:22" hidden="1">
      <c r="B102" t="s">
        <v>329</v>
      </c>
      <c r="J102" t="e">
        <f>SUM(Output_FSL!#REF!,Output_FSL!#REF!,Output_FSL!#REF!)</f>
        <v>#REF!</v>
      </c>
      <c r="K102" t="e">
        <f>SUM(Output_FSL!#REF!,Output_FSL!#REF!,Output_FSL!#REF!)</f>
        <v>#REF!</v>
      </c>
      <c r="L102" t="e">
        <f>SUM(Output_FSL!#REF!,Output_FSL!#REF!,Output_FSL!#REF!)</f>
        <v>#REF!</v>
      </c>
      <c r="M102" t="e">
        <f>SUM(Output_FSL!#REF!,Output_FSL!#REF!,Output_FSL!#REF!)</f>
        <v>#REF!</v>
      </c>
      <c r="N102" t="e">
        <f>SUM(Output_FSL!#REF!,Output_FSL!#REF!,Output_FSL!#REF!)</f>
        <v>#REF!</v>
      </c>
      <c r="O102" t="e">
        <f>SUM(Output_FSL!#REF!,Output_FSL!#REF!,Output_FSL!#REF!)</f>
        <v>#REF!</v>
      </c>
      <c r="P102" t="e">
        <f>SUM(Output_FSL!#REF!,Output_FSL!#REF!,Output_FSL!#REF!)</f>
        <v>#REF!</v>
      </c>
      <c r="Q102" t="e">
        <f>SUM(Output_FSL!#REF!,Output_FSL!#REF!,Output_FSL!#REF!)</f>
        <v>#REF!</v>
      </c>
      <c r="R102" t="e">
        <f>SUM(Output_FSL!#REF!,Output_FSL!#REF!,Output_FSL!#REF!)</f>
        <v>#REF!</v>
      </c>
      <c r="S102" t="e">
        <f>SUM(Output_FSL!#REF!,Output_FSL!#REF!,Output_FSL!#REF!)</f>
        <v>#REF!</v>
      </c>
      <c r="T102" t="e">
        <f>SUM(Output_FSL!#REF!,Output_FSL!#REF!,Output_FSL!#REF!)</f>
        <v>#REF!</v>
      </c>
      <c r="U102" t="e">
        <f>SUM(Output_FSL!#REF!,Output_FSL!#REF!,Output_FSL!#REF!)</f>
        <v>#REF!</v>
      </c>
      <c r="V102" t="e">
        <f>SUM(Output_FSL!#REF!,Output_FSL!#REF!,Output_FSL!#REF!)</f>
        <v>#REF!</v>
      </c>
    </row>
    <row r="103" spans="2:22" hidden="1">
      <c r="B103" t="s">
        <v>330</v>
      </c>
      <c r="F103" s="95"/>
      <c r="J103">
        <v>-3</v>
      </c>
      <c r="K103">
        <v>-3</v>
      </c>
      <c r="L103">
        <v>-3</v>
      </c>
      <c r="M103">
        <v>-3</v>
      </c>
      <c r="N103">
        <v>-3</v>
      </c>
      <c r="O103">
        <v>-3</v>
      </c>
      <c r="P103">
        <v>-3</v>
      </c>
      <c r="Q103">
        <v>-3</v>
      </c>
      <c r="R103">
        <v>-3</v>
      </c>
      <c r="S103">
        <v>-3</v>
      </c>
      <c r="T103">
        <v>-3</v>
      </c>
      <c r="U103">
        <v>-3</v>
      </c>
      <c r="V103">
        <v>-3</v>
      </c>
    </row>
    <row r="104" spans="2:22" hidden="1">
      <c r="B104" s="28" t="s">
        <v>331</v>
      </c>
      <c r="C104" s="28"/>
      <c r="D104" s="28"/>
      <c r="E104" s="28"/>
      <c r="F104" s="28"/>
      <c r="G104" s="28"/>
      <c r="H104" s="28"/>
      <c r="I104" s="28"/>
      <c r="J104" s="28" t="e">
        <f>MAX(SUM(J101:J103),0)</f>
        <v>#REF!</v>
      </c>
      <c r="K104" s="28" t="e">
        <f t="shared" ref="K104:V104" si="31">MAX(SUM(K101:K103),0)</f>
        <v>#REF!</v>
      </c>
      <c r="L104" s="28" t="e">
        <f t="shared" si="31"/>
        <v>#REF!</v>
      </c>
      <c r="M104" s="28" t="e">
        <f t="shared" si="31"/>
        <v>#REF!</v>
      </c>
      <c r="N104" s="28" t="e">
        <f t="shared" si="31"/>
        <v>#REF!</v>
      </c>
      <c r="O104" s="28" t="e">
        <f t="shared" si="31"/>
        <v>#REF!</v>
      </c>
      <c r="P104" s="28" t="e">
        <f t="shared" si="31"/>
        <v>#REF!</v>
      </c>
      <c r="Q104" s="28" t="e">
        <f t="shared" si="31"/>
        <v>#REF!</v>
      </c>
      <c r="R104" s="28" t="e">
        <f t="shared" si="31"/>
        <v>#REF!</v>
      </c>
      <c r="S104" s="28" t="e">
        <f t="shared" si="31"/>
        <v>#REF!</v>
      </c>
      <c r="T104" s="28" t="e">
        <f t="shared" si="31"/>
        <v>#REF!</v>
      </c>
      <c r="U104" s="28" t="e">
        <f t="shared" si="31"/>
        <v>#REF!</v>
      </c>
      <c r="V104" s="28" t="e">
        <f t="shared" si="31"/>
        <v>#REF!</v>
      </c>
    </row>
    <row r="105" spans="2:22" hidden="1"/>
    <row r="106" spans="2:22" hidden="1"/>
    <row r="107" spans="2:22" ht="15.75" hidden="1">
      <c r="B107" s="15" t="s">
        <v>332</v>
      </c>
    </row>
    <row r="108" spans="2:22" hidden="1">
      <c r="F108" s="9">
        <v>2023</v>
      </c>
    </row>
    <row r="109" spans="2:22" hidden="1">
      <c r="B109" t="s">
        <v>322</v>
      </c>
      <c r="F109" s="29">
        <f>18*Million*USD_IDR/Billion</f>
        <v>292.77</v>
      </c>
      <c r="G109" s="96">
        <v>1</v>
      </c>
    </row>
    <row r="110" spans="2:22" hidden="1">
      <c r="B110" t="s">
        <v>333</v>
      </c>
      <c r="F110" s="35">
        <v>0.2</v>
      </c>
      <c r="J110" t="e">
        <f>$F$968*$F$969*#REF!</f>
        <v>#REF!</v>
      </c>
      <c r="K110" t="e">
        <f>$F$968*$F$969*#REF!</f>
        <v>#REF!</v>
      </c>
      <c r="L110" t="e">
        <f>$F$968*$F$969*#REF!</f>
        <v>#REF!</v>
      </c>
      <c r="M110" t="e">
        <f>$F$968*$F$969*#REF!</f>
        <v>#REF!</v>
      </c>
      <c r="N110" t="e">
        <f>$F$968*$F$969*#REF!</f>
        <v>#REF!</v>
      </c>
      <c r="O110" t="e">
        <f>$F$968*$F$969*#REF!</f>
        <v>#REF!</v>
      </c>
      <c r="P110" t="e">
        <f>$F$968*$F$969*#REF!</f>
        <v>#REF!</v>
      </c>
      <c r="Q110" t="e">
        <f>$F$968*$F$969*#REF!</f>
        <v>#REF!</v>
      </c>
      <c r="R110" t="e">
        <f>$F$968*$F$969*#REF!</f>
        <v>#REF!</v>
      </c>
      <c r="S110" t="e">
        <f>$F$968*$F$969*#REF!</f>
        <v>#REF!</v>
      </c>
      <c r="T110" t="e">
        <f>$F$968*$F$969*#REF!</f>
        <v>#REF!</v>
      </c>
      <c r="U110" t="e">
        <f>$F$968*$F$969*#REF!</f>
        <v>#REF!</v>
      </c>
      <c r="V110" t="e">
        <f>$F$968*$F$969*#REF!</f>
        <v>#REF!</v>
      </c>
    </row>
    <row r="111" spans="2:22" hidden="1"/>
    <row r="112" spans="2:22" hidden="1">
      <c r="B112" t="s">
        <v>334</v>
      </c>
      <c r="J112" t="e">
        <f>Output_FSL!#REF!</f>
        <v>#REF!</v>
      </c>
      <c r="K112" t="e">
        <f>Output_FSL!#REF!</f>
        <v>#REF!</v>
      </c>
      <c r="L112" t="e">
        <f>Output_FSL!#REF!</f>
        <v>#REF!</v>
      </c>
      <c r="M112" t="e">
        <f>Output_FSL!#REF!</f>
        <v>#REF!</v>
      </c>
      <c r="N112" t="e">
        <f>Output_FSL!#REF!</f>
        <v>#REF!</v>
      </c>
      <c r="O112" t="e">
        <f>Output_FSL!#REF!</f>
        <v>#REF!</v>
      </c>
      <c r="P112" t="e">
        <f>Output_FSL!#REF!</f>
        <v>#REF!</v>
      </c>
      <c r="Q112" t="e">
        <f>Output_FSL!#REF!</f>
        <v>#REF!</v>
      </c>
      <c r="R112" t="e">
        <f>Output_FSL!#REF!</f>
        <v>#REF!</v>
      </c>
      <c r="S112" t="e">
        <f>Output_FSL!#REF!</f>
        <v>#REF!</v>
      </c>
      <c r="T112" t="e">
        <f>Output_FSL!#REF!</f>
        <v>#REF!</v>
      </c>
      <c r="U112" t="e">
        <f>Output_FSL!#REF!</f>
        <v>#REF!</v>
      </c>
      <c r="V112" t="e">
        <f>Output_FSL!#REF!</f>
        <v>#REF!</v>
      </c>
    </row>
    <row r="113" spans="2:22" hidden="1">
      <c r="B113" t="s">
        <v>335</v>
      </c>
      <c r="J113" t="e">
        <f>Output_FSL!#REF!</f>
        <v>#REF!</v>
      </c>
      <c r="K113" t="e">
        <f>Output_FSL!#REF!</f>
        <v>#REF!</v>
      </c>
      <c r="L113" t="e">
        <f>Output_FSL!#REF!</f>
        <v>#REF!</v>
      </c>
      <c r="M113" t="e">
        <f>Output_FSL!#REF!</f>
        <v>#REF!</v>
      </c>
      <c r="N113" t="e">
        <f>Output_FSL!#REF!</f>
        <v>#REF!</v>
      </c>
      <c r="O113" t="e">
        <f>Output_FSL!#REF!</f>
        <v>#REF!</v>
      </c>
      <c r="P113" t="e">
        <f>Output_FSL!#REF!</f>
        <v>#REF!</v>
      </c>
      <c r="Q113" t="e">
        <f>Output_FSL!#REF!</f>
        <v>#REF!</v>
      </c>
      <c r="R113" t="e">
        <f>Output_FSL!#REF!</f>
        <v>#REF!</v>
      </c>
      <c r="S113" t="e">
        <f>Output_FSL!#REF!</f>
        <v>#REF!</v>
      </c>
      <c r="T113" t="e">
        <f>Output_FSL!#REF!</f>
        <v>#REF!</v>
      </c>
      <c r="U113" t="e">
        <f>Output_FSL!#REF!</f>
        <v>#REF!</v>
      </c>
      <c r="V113" t="e">
        <f>Output_FSL!#REF!</f>
        <v>#REF!</v>
      </c>
    </row>
    <row r="114" spans="2:22" hidden="1">
      <c r="B114" t="s">
        <v>336</v>
      </c>
      <c r="J114" t="e">
        <f>-J110</f>
        <v>#REF!</v>
      </c>
      <c r="K114" t="e">
        <f t="shared" ref="K114:V114" si="32">-K110</f>
        <v>#REF!</v>
      </c>
      <c r="L114" t="e">
        <f t="shared" si="32"/>
        <v>#REF!</v>
      </c>
      <c r="M114" t="e">
        <f t="shared" si="32"/>
        <v>#REF!</v>
      </c>
      <c r="N114" t="e">
        <f t="shared" si="32"/>
        <v>#REF!</v>
      </c>
      <c r="O114" t="e">
        <f t="shared" si="32"/>
        <v>#REF!</v>
      </c>
      <c r="P114" t="e">
        <f t="shared" si="32"/>
        <v>#REF!</v>
      </c>
      <c r="Q114" t="e">
        <f t="shared" si="32"/>
        <v>#REF!</v>
      </c>
      <c r="R114" t="e">
        <f t="shared" si="32"/>
        <v>#REF!</v>
      </c>
      <c r="S114" t="e">
        <f t="shared" si="32"/>
        <v>#REF!</v>
      </c>
      <c r="T114" t="e">
        <f t="shared" si="32"/>
        <v>#REF!</v>
      </c>
      <c r="U114" t="e">
        <f t="shared" si="32"/>
        <v>#REF!</v>
      </c>
      <c r="V114" t="e">
        <f t="shared" si="32"/>
        <v>#REF!</v>
      </c>
    </row>
    <row r="115" spans="2:22" hidden="1">
      <c r="B115" s="28" t="s">
        <v>337</v>
      </c>
      <c r="C115" s="28"/>
      <c r="D115" s="28"/>
      <c r="E115" s="28"/>
      <c r="F115" s="28"/>
      <c r="G115" s="28"/>
      <c r="H115" s="28"/>
      <c r="I115" s="28"/>
      <c r="J115" s="28" t="e">
        <f>MAX(SUM(J112:J114),0)</f>
        <v>#REF!</v>
      </c>
      <c r="K115" s="28" t="e">
        <f t="shared" ref="K115:V115" si="33">MAX(SUM(K112:K114),0)</f>
        <v>#REF!</v>
      </c>
      <c r="L115" s="28" t="e">
        <f t="shared" si="33"/>
        <v>#REF!</v>
      </c>
      <c r="M115" s="28" t="e">
        <f t="shared" si="33"/>
        <v>#REF!</v>
      </c>
      <c r="N115" s="28" t="e">
        <f t="shared" si="33"/>
        <v>#REF!</v>
      </c>
      <c r="O115" s="28" t="e">
        <f t="shared" si="33"/>
        <v>#REF!</v>
      </c>
      <c r="P115" s="28" t="e">
        <f t="shared" si="33"/>
        <v>#REF!</v>
      </c>
      <c r="Q115" s="28" t="e">
        <f t="shared" si="33"/>
        <v>#REF!</v>
      </c>
      <c r="R115" s="28" t="e">
        <f t="shared" si="33"/>
        <v>#REF!</v>
      </c>
      <c r="S115" s="28" t="e">
        <f t="shared" si="33"/>
        <v>#REF!</v>
      </c>
      <c r="T115" s="28" t="e">
        <f t="shared" si="33"/>
        <v>#REF!</v>
      </c>
      <c r="U115" s="28" t="e">
        <f t="shared" si="33"/>
        <v>#REF!</v>
      </c>
      <c r="V115" s="28" t="e">
        <f t="shared" si="33"/>
        <v>#REF!</v>
      </c>
    </row>
    <row r="116" spans="2:22" hidden="1"/>
    <row r="117" spans="2:22" hidden="1">
      <c r="B117" s="407" t="s">
        <v>334</v>
      </c>
      <c r="J117" t="e">
        <f>Output_FSL!#REF!</f>
        <v>#REF!</v>
      </c>
      <c r="K117" t="e">
        <f>Output_FSL!#REF!</f>
        <v>#REF!</v>
      </c>
      <c r="L117" t="e">
        <f>Output_FSL!#REF!</f>
        <v>#REF!</v>
      </c>
      <c r="M117" t="e">
        <f>Output_FSL!#REF!</f>
        <v>#REF!</v>
      </c>
      <c r="N117" t="e">
        <f>Output_FSL!#REF!</f>
        <v>#REF!</v>
      </c>
      <c r="O117" t="e">
        <f>Output_FSL!#REF!</f>
        <v>#REF!</v>
      </c>
      <c r="P117" t="e">
        <f>Output_FSL!#REF!</f>
        <v>#REF!</v>
      </c>
      <c r="Q117" t="e">
        <f>Output_FSL!#REF!</f>
        <v>#REF!</v>
      </c>
      <c r="R117" t="e">
        <f>Output_FSL!#REF!</f>
        <v>#REF!</v>
      </c>
      <c r="S117" t="e">
        <f>Output_FSL!#REF!</f>
        <v>#REF!</v>
      </c>
      <c r="T117" t="e">
        <f>Output_FSL!#REF!</f>
        <v>#REF!</v>
      </c>
      <c r="U117" t="e">
        <f>Output_FSL!#REF!</f>
        <v>#REF!</v>
      </c>
      <c r="V117" t="e">
        <f>Output_FSL!#REF!</f>
        <v>#REF!</v>
      </c>
    </row>
    <row r="118" spans="2:22" hidden="1">
      <c r="B118" t="s">
        <v>332</v>
      </c>
      <c r="F118" s="35">
        <v>0.3</v>
      </c>
      <c r="I118" t="e">
        <f>SUM(J118:V118)</f>
        <v>#REF!</v>
      </c>
      <c r="J118" t="e">
        <f>$F$977*J117</f>
        <v>#REF!</v>
      </c>
      <c r="K118" t="e">
        <f t="shared" ref="K118:V118" si="34">$F$977*K117</f>
        <v>#REF!</v>
      </c>
      <c r="L118" t="e">
        <f t="shared" si="34"/>
        <v>#REF!</v>
      </c>
      <c r="M118" t="e">
        <f t="shared" si="34"/>
        <v>#REF!</v>
      </c>
      <c r="N118" t="e">
        <f t="shared" si="34"/>
        <v>#REF!</v>
      </c>
      <c r="O118" t="e">
        <f t="shared" si="34"/>
        <v>#REF!</v>
      </c>
      <c r="P118" t="e">
        <f t="shared" si="34"/>
        <v>#REF!</v>
      </c>
      <c r="Q118" t="e">
        <f t="shared" si="34"/>
        <v>#REF!</v>
      </c>
      <c r="R118" t="e">
        <f t="shared" si="34"/>
        <v>#REF!</v>
      </c>
      <c r="S118" t="e">
        <f t="shared" si="34"/>
        <v>#REF!</v>
      </c>
      <c r="T118" t="e">
        <f t="shared" si="34"/>
        <v>#REF!</v>
      </c>
      <c r="U118" t="e">
        <f t="shared" si="34"/>
        <v>#REF!</v>
      </c>
      <c r="V118" t="e">
        <f t="shared" si="34"/>
        <v>#REF!</v>
      </c>
    </row>
    <row r="119" spans="2:22" hidden="1"/>
    <row r="120" spans="2:22" ht="15.75" hidden="1">
      <c r="B120" s="15" t="s">
        <v>338</v>
      </c>
    </row>
    <row r="121" spans="2:22" hidden="1"/>
    <row r="122" spans="2:22" hidden="1">
      <c r="B122" t="s">
        <v>57</v>
      </c>
      <c r="J122" t="e">
        <f>Output_FSL!#REF!</f>
        <v>#REF!</v>
      </c>
      <c r="K122" t="e">
        <f>Output_FSL!#REF!</f>
        <v>#REF!</v>
      </c>
      <c r="L122" t="e">
        <f>Output_FSL!#REF!</f>
        <v>#REF!</v>
      </c>
      <c r="M122" t="e">
        <f>Output_FSL!#REF!</f>
        <v>#REF!</v>
      </c>
      <c r="N122" t="e">
        <f>Output_FSL!#REF!</f>
        <v>#REF!</v>
      </c>
      <c r="O122" t="e">
        <f>Output_FSL!#REF!</f>
        <v>#REF!</v>
      </c>
      <c r="P122" t="e">
        <f>Output_FSL!#REF!</f>
        <v>#REF!</v>
      </c>
      <c r="Q122" t="e">
        <f>Output_FSL!#REF!</f>
        <v>#REF!</v>
      </c>
      <c r="R122" t="e">
        <f>Output_FSL!#REF!</f>
        <v>#REF!</v>
      </c>
      <c r="S122" t="e">
        <f>Output_FSL!#REF!</f>
        <v>#REF!</v>
      </c>
      <c r="T122" t="e">
        <f>Output_FSL!#REF!</f>
        <v>#REF!</v>
      </c>
      <c r="U122" t="e">
        <f>Output_FSL!#REF!</f>
        <v>#REF!</v>
      </c>
      <c r="V122" t="e">
        <f>Output_FSL!#REF!</f>
        <v>#REF!</v>
      </c>
    </row>
    <row r="123" spans="2:22" hidden="1">
      <c r="B123" s="407" t="s">
        <v>334</v>
      </c>
      <c r="J123" t="e">
        <f>Output_FSL!#REF!</f>
        <v>#REF!</v>
      </c>
      <c r="K123" t="e">
        <f>Output_FSL!#REF!</f>
        <v>#REF!</v>
      </c>
      <c r="L123" t="e">
        <f>Output_FSL!#REF!</f>
        <v>#REF!</v>
      </c>
      <c r="M123" t="e">
        <f>Output_FSL!#REF!</f>
        <v>#REF!</v>
      </c>
      <c r="N123" t="e">
        <f>Output_FSL!#REF!</f>
        <v>#REF!</v>
      </c>
      <c r="O123" t="e">
        <f>Output_FSL!#REF!</f>
        <v>#REF!</v>
      </c>
      <c r="P123" t="e">
        <f>Output_FSL!#REF!</f>
        <v>#REF!</v>
      </c>
      <c r="Q123" t="e">
        <f>Output_FSL!#REF!</f>
        <v>#REF!</v>
      </c>
      <c r="R123" t="e">
        <f>Output_FSL!#REF!</f>
        <v>#REF!</v>
      </c>
      <c r="S123" t="e">
        <f>Output_FSL!#REF!</f>
        <v>#REF!</v>
      </c>
      <c r="T123" t="e">
        <f>Output_FSL!#REF!</f>
        <v>#REF!</v>
      </c>
      <c r="U123" t="e">
        <f>Output_FSL!#REF!</f>
        <v>#REF!</v>
      </c>
      <c r="V123" t="e">
        <f>Output_FSL!#REF!</f>
        <v>#REF!</v>
      </c>
    </row>
    <row r="124" spans="2:22" hidden="1">
      <c r="B124" t="s">
        <v>332</v>
      </c>
      <c r="F124" s="35">
        <v>0.3</v>
      </c>
      <c r="I124" t="e">
        <f>SUM(J124:V124)</f>
        <v>#REF!</v>
      </c>
      <c r="J124" t="e">
        <f>-MIN(J118,J115,J104)</f>
        <v>#REF!</v>
      </c>
      <c r="K124" t="e">
        <f t="shared" ref="K124:V124" si="35">-MIN(K118,K115,K104)</f>
        <v>#REF!</v>
      </c>
      <c r="L124" t="e">
        <f t="shared" si="35"/>
        <v>#REF!</v>
      </c>
      <c r="M124" t="e">
        <f t="shared" si="35"/>
        <v>#REF!</v>
      </c>
      <c r="N124" t="e">
        <f t="shared" si="35"/>
        <v>#REF!</v>
      </c>
      <c r="O124" t="e">
        <f t="shared" si="35"/>
        <v>#REF!</v>
      </c>
      <c r="P124" t="e">
        <f t="shared" si="35"/>
        <v>#REF!</v>
      </c>
      <c r="Q124" t="e">
        <f t="shared" si="35"/>
        <v>#REF!</v>
      </c>
      <c r="R124" t="e">
        <f t="shared" si="35"/>
        <v>#REF!</v>
      </c>
      <c r="S124" t="e">
        <f t="shared" si="35"/>
        <v>#REF!</v>
      </c>
      <c r="T124" t="e">
        <f t="shared" si="35"/>
        <v>#REF!</v>
      </c>
      <c r="U124" t="e">
        <f t="shared" si="35"/>
        <v>#REF!</v>
      </c>
      <c r="V124" t="e">
        <f t="shared" si="35"/>
        <v>#REF!</v>
      </c>
    </row>
    <row r="125" spans="2:22" hidden="1">
      <c r="B125" s="28" t="s">
        <v>60</v>
      </c>
      <c r="C125" s="28"/>
      <c r="D125" s="28"/>
      <c r="E125" s="28"/>
      <c r="F125" s="28"/>
      <c r="G125" s="28"/>
      <c r="H125" s="28"/>
      <c r="I125" s="28" t="e">
        <f>J122</f>
        <v>#REF!</v>
      </c>
      <c r="J125" s="28" t="e">
        <f>SUM(J122:J124)</f>
        <v>#REF!</v>
      </c>
      <c r="K125" s="28" t="e">
        <f t="shared" ref="K125:V125" si="36">SUM(K122:K124)</f>
        <v>#REF!</v>
      </c>
      <c r="L125" s="28" t="e">
        <f t="shared" si="36"/>
        <v>#REF!</v>
      </c>
      <c r="M125" s="28" t="e">
        <f t="shared" si="36"/>
        <v>#REF!</v>
      </c>
      <c r="N125" s="28" t="e">
        <f t="shared" si="36"/>
        <v>#REF!</v>
      </c>
      <c r="O125" s="28" t="e">
        <f t="shared" si="36"/>
        <v>#REF!</v>
      </c>
      <c r="P125" s="28" t="e">
        <f t="shared" si="36"/>
        <v>#REF!</v>
      </c>
      <c r="Q125" s="28" t="e">
        <f t="shared" si="36"/>
        <v>#REF!</v>
      </c>
      <c r="R125" s="28" t="e">
        <f t="shared" si="36"/>
        <v>#REF!</v>
      </c>
      <c r="S125" s="28" t="e">
        <f t="shared" si="36"/>
        <v>#REF!</v>
      </c>
      <c r="T125" s="28" t="e">
        <f t="shared" si="36"/>
        <v>#REF!</v>
      </c>
      <c r="U125" s="28" t="e">
        <f t="shared" si="36"/>
        <v>#REF!</v>
      </c>
      <c r="V125" s="28" t="e">
        <f t="shared" si="36"/>
        <v>#REF!</v>
      </c>
    </row>
    <row r="126" spans="2:22" hidden="1"/>
    <row r="127" spans="2:22" hidden="1">
      <c r="B127" s="407" t="s">
        <v>339</v>
      </c>
    </row>
    <row r="128" spans="2:22" hidden="1">
      <c r="B128" s="407" t="s">
        <v>259</v>
      </c>
      <c r="J128" t="e">
        <f>$I$984+SUM($J123:J$982)+SUM($J124:J$983)</f>
        <v>#REF!</v>
      </c>
      <c r="K128" t="e">
        <f>$I$984+SUM($J123:K$982)+SUM($J124:K$983)</f>
        <v>#REF!</v>
      </c>
      <c r="L128" t="e">
        <f>$I$984+SUM($J123:L$982)+SUM($J124:L$983)</f>
        <v>#REF!</v>
      </c>
      <c r="M128" t="e">
        <f>$I$984+SUM($J123:M$982)+SUM($J124:M$983)</f>
        <v>#REF!</v>
      </c>
      <c r="N128" t="e">
        <f>$I$984+SUM($J123:N$982)+SUM($J124:N$983)</f>
        <v>#REF!</v>
      </c>
      <c r="O128" t="e">
        <f>$I$984+SUM($J123:O$982)+SUM($J124:O$983)</f>
        <v>#REF!</v>
      </c>
      <c r="P128" t="e">
        <f>$I$984+SUM($J123:P$982)+SUM($J124:P$983)</f>
        <v>#REF!</v>
      </c>
      <c r="Q128" t="e">
        <f>$I$984+SUM($J123:Q$982)+SUM($J124:Q$983)</f>
        <v>#REF!</v>
      </c>
      <c r="R128" t="e">
        <f>$I$984+SUM($J123:R$982)+SUM($J124:R$983)</f>
        <v>#REF!</v>
      </c>
      <c r="S128" t="e">
        <f>$I$984+SUM($J123:S$982)+SUM($J124:S$983)</f>
        <v>#REF!</v>
      </c>
      <c r="T128" t="e">
        <f>$I$984+SUM($J123:T$982)+SUM($J124:T$983)</f>
        <v>#REF!</v>
      </c>
      <c r="U128" t="e">
        <f>$I$984+SUM($J123:U$982)+SUM($J124:U$983)</f>
        <v>#REF!</v>
      </c>
      <c r="V128" t="e">
        <f>$I$984+SUM($J123:V$982)+SUM($J124:V$983)</f>
        <v>#REF!</v>
      </c>
    </row>
    <row r="129" spans="2:22" hidden="1"/>
    <row r="130" spans="2:22" hidden="1"/>
    <row r="131" spans="2:22" hidden="1"/>
    <row r="132" spans="2:22" ht="24" hidden="1" thickBot="1">
      <c r="B132" s="14" t="s">
        <v>340</v>
      </c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</row>
    <row r="133" spans="2:22" hidden="1"/>
    <row r="134" spans="2:22" hidden="1">
      <c r="B134" s="407" t="s">
        <v>341</v>
      </c>
      <c r="F134" s="35">
        <v>0.3</v>
      </c>
      <c r="J134">
        <f>Output_Sapphire!J43</f>
        <v>226.53383999999991</v>
      </c>
      <c r="K134">
        <f>Output_Sapphire!K43</f>
        <v>269.48142000000013</v>
      </c>
      <c r="L134">
        <f>Output_Sapphire!L43</f>
        <v>287.78879999999987</v>
      </c>
      <c r="M134">
        <f>Output_Sapphire!M43</f>
        <v>286.26312000000001</v>
      </c>
      <c r="N134">
        <f>Output_Sapphire!N43</f>
        <v>304.36224000000004</v>
      </c>
      <c r="O134">
        <f>Output_Sapphire!O43</f>
        <v>309.02585999999991</v>
      </c>
      <c r="P134">
        <f>Output_Sapphire!P43</f>
        <v>345.05873999999983</v>
      </c>
      <c r="Q134">
        <f>Output_Sapphire!Q43</f>
        <v>369.79566000000011</v>
      </c>
      <c r="R134">
        <f>Output_Sapphire!R43</f>
        <v>400.09008000000006</v>
      </c>
      <c r="S134">
        <f>Output_Sapphire!S43</f>
        <v>404.40894000000003</v>
      </c>
      <c r="T134">
        <f>Output_Sapphire!T43</f>
        <v>407.13660000000004</v>
      </c>
      <c r="U134">
        <f>Output_Sapphire!U43</f>
        <v>425.25756000000007</v>
      </c>
      <c r="V134">
        <f>Output_Sapphire!V43</f>
        <v>416.82108000000017</v>
      </c>
    </row>
    <row r="135" spans="2:22" hidden="1"/>
    <row r="136" spans="2:22" hidden="1">
      <c r="B136" t="s">
        <v>342</v>
      </c>
      <c r="I136">
        <f>SUM(I137:I139)</f>
        <v>18.5</v>
      </c>
      <c r="J136">
        <f t="shared" ref="J136:V136" si="37">SUM(J137:J139)</f>
        <v>20.100000000000001</v>
      </c>
      <c r="K136">
        <f t="shared" si="37"/>
        <v>21.6</v>
      </c>
      <c r="L136">
        <f t="shared" si="37"/>
        <v>21.700000000000003</v>
      </c>
      <c r="M136">
        <f t="shared" si="37"/>
        <v>21.8</v>
      </c>
      <c r="N136">
        <f t="shared" si="37"/>
        <v>21.9</v>
      </c>
      <c r="O136">
        <f t="shared" si="37"/>
        <v>22</v>
      </c>
      <c r="P136">
        <f t="shared" si="37"/>
        <v>22.1</v>
      </c>
      <c r="Q136">
        <f t="shared" si="37"/>
        <v>22.4</v>
      </c>
      <c r="R136">
        <f t="shared" si="37"/>
        <v>22.4</v>
      </c>
      <c r="S136">
        <f t="shared" si="37"/>
        <v>22.5</v>
      </c>
      <c r="T136">
        <f t="shared" si="37"/>
        <v>22.3</v>
      </c>
      <c r="U136">
        <f t="shared" si="37"/>
        <v>22.5</v>
      </c>
      <c r="V136">
        <f t="shared" si="37"/>
        <v>22.6</v>
      </c>
    </row>
    <row r="137" spans="2:22" hidden="1">
      <c r="B137" t="s">
        <v>343</v>
      </c>
      <c r="I137">
        <v>0.6</v>
      </c>
      <c r="J137">
        <v>0.7</v>
      </c>
      <c r="K137">
        <v>1.3</v>
      </c>
      <c r="L137">
        <v>1.3</v>
      </c>
      <c r="M137">
        <v>1.3</v>
      </c>
      <c r="N137">
        <v>1.3</v>
      </c>
      <c r="O137">
        <v>1.3</v>
      </c>
      <c r="P137">
        <v>1.3</v>
      </c>
      <c r="Q137">
        <v>1.3</v>
      </c>
      <c r="R137">
        <v>1.3</v>
      </c>
      <c r="S137">
        <v>1.3</v>
      </c>
      <c r="T137">
        <v>1.3</v>
      </c>
      <c r="U137">
        <v>1.3</v>
      </c>
      <c r="V137">
        <v>1.3</v>
      </c>
    </row>
    <row r="138" spans="2:22" hidden="1">
      <c r="B138" t="s">
        <v>344</v>
      </c>
      <c r="I138">
        <v>10.199999999999999</v>
      </c>
      <c r="J138">
        <v>10.6</v>
      </c>
      <c r="K138">
        <v>10.6</v>
      </c>
      <c r="L138">
        <v>10.6</v>
      </c>
      <c r="M138">
        <v>10.6</v>
      </c>
      <c r="N138">
        <v>10.6</v>
      </c>
      <c r="O138">
        <v>10.6</v>
      </c>
      <c r="P138">
        <v>10.7</v>
      </c>
      <c r="Q138">
        <v>10.7</v>
      </c>
      <c r="R138">
        <v>10.7</v>
      </c>
      <c r="S138">
        <v>10.7</v>
      </c>
      <c r="T138">
        <v>10.4</v>
      </c>
      <c r="U138">
        <v>10.4</v>
      </c>
      <c r="V138">
        <v>10.4</v>
      </c>
    </row>
    <row r="139" spans="2:22" hidden="1">
      <c r="B139" t="s">
        <v>345</v>
      </c>
      <c r="I139">
        <v>7.7</v>
      </c>
      <c r="J139">
        <v>8.8000000000000007</v>
      </c>
      <c r="K139">
        <v>9.6999999999999993</v>
      </c>
      <c r="L139">
        <v>9.8000000000000007</v>
      </c>
      <c r="M139">
        <v>9.9</v>
      </c>
      <c r="N139">
        <v>10</v>
      </c>
      <c r="O139">
        <v>10.1</v>
      </c>
      <c r="P139">
        <v>10.1</v>
      </c>
      <c r="Q139">
        <v>10.4</v>
      </c>
      <c r="R139">
        <v>10.4</v>
      </c>
      <c r="S139">
        <v>10.5</v>
      </c>
      <c r="T139">
        <v>10.6</v>
      </c>
      <c r="U139">
        <v>10.8</v>
      </c>
      <c r="V139">
        <v>10.9</v>
      </c>
    </row>
    <row r="140" spans="2:22" hidden="1">
      <c r="B140" t="s">
        <v>346</v>
      </c>
      <c r="J140" s="31">
        <f>J136/I136-1</f>
        <v>8.6486486486486491E-2</v>
      </c>
      <c r="K140" s="31">
        <f t="shared" ref="K140:V140" si="38">K136/J136-1</f>
        <v>7.4626865671641784E-2</v>
      </c>
      <c r="L140" s="31">
        <f t="shared" si="38"/>
        <v>4.6296296296297612E-3</v>
      </c>
      <c r="M140" s="31">
        <f t="shared" si="38"/>
        <v>4.6082949308754451E-3</v>
      </c>
      <c r="N140" s="31">
        <f t="shared" si="38"/>
        <v>4.5871559633026138E-3</v>
      </c>
      <c r="O140" s="31">
        <f t="shared" si="38"/>
        <v>4.5662100456622667E-3</v>
      </c>
      <c r="P140" s="31">
        <f t="shared" si="38"/>
        <v>4.5454545454546302E-3</v>
      </c>
      <c r="Q140" s="31">
        <f t="shared" si="38"/>
        <v>1.3574660633484115E-2</v>
      </c>
      <c r="R140" s="31">
        <f t="shared" si="38"/>
        <v>0</v>
      </c>
      <c r="S140" s="31">
        <f t="shared" si="38"/>
        <v>4.4642857142858094E-3</v>
      </c>
      <c r="T140" s="31">
        <f t="shared" si="38"/>
        <v>-8.8888888888888351E-3</v>
      </c>
      <c r="U140" s="31">
        <f t="shared" si="38"/>
        <v>8.9686098654708779E-3</v>
      </c>
      <c r="V140" s="31">
        <f t="shared" si="38"/>
        <v>4.4444444444444731E-3</v>
      </c>
    </row>
    <row r="141" spans="2:22" hidden="1"/>
    <row r="142" spans="2:22" hidden="1">
      <c r="B142" t="s">
        <v>347</v>
      </c>
      <c r="I142" s="104">
        <v>100081.08108108108</v>
      </c>
      <c r="J142" s="104" t="e">
        <f>(#REF!*Billion)/(J136*Million)</f>
        <v>#REF!</v>
      </c>
      <c r="K142" s="104" t="e">
        <f>(#REF!*Billion)/(K136*Million)</f>
        <v>#REF!</v>
      </c>
      <c r="L142" s="104" t="e">
        <f>(#REF!*Billion)/(L136*Million)</f>
        <v>#REF!</v>
      </c>
      <c r="M142" s="104" t="e">
        <f>(#REF!*Billion)/(M136*Million)</f>
        <v>#REF!</v>
      </c>
      <c r="N142" s="104" t="e">
        <f>(#REF!*Billion)/(N136*Million)</f>
        <v>#REF!</v>
      </c>
      <c r="O142" s="104" t="e">
        <f>(#REF!*Billion)/(O136*Million)</f>
        <v>#REF!</v>
      </c>
      <c r="P142" s="104" t="e">
        <f>(#REF!*Billion)/(P136*Million)</f>
        <v>#REF!</v>
      </c>
      <c r="Q142" s="104" t="e">
        <f>(#REF!*Billion)/(Q136*Million)</f>
        <v>#REF!</v>
      </c>
      <c r="R142" s="104" t="e">
        <f>(#REF!*Billion)/(R136*Million)</f>
        <v>#REF!</v>
      </c>
      <c r="S142" s="104" t="e">
        <f>(#REF!*Billion)/(S136*Million)</f>
        <v>#REF!</v>
      </c>
      <c r="T142" s="104" t="e">
        <f>(#REF!*Billion)/(T136*Million)</f>
        <v>#REF!</v>
      </c>
      <c r="U142" s="104" t="e">
        <f>(#REF!*Billion)/(U136*Million)</f>
        <v>#REF!</v>
      </c>
      <c r="V142" s="104" t="e">
        <f>(#REF!*Billion)/(V136*Million)</f>
        <v>#REF!</v>
      </c>
    </row>
    <row r="143" spans="2:22" hidden="1">
      <c r="B143" t="s">
        <v>348</v>
      </c>
      <c r="I143" s="105"/>
      <c r="J143" s="106" t="e">
        <f>J142/I142-1</f>
        <v>#REF!</v>
      </c>
      <c r="K143" s="106" t="e">
        <f t="shared" ref="K143:V143" si="39">K142/J142-1</f>
        <v>#REF!</v>
      </c>
      <c r="L143" s="106" t="e">
        <f t="shared" si="39"/>
        <v>#REF!</v>
      </c>
      <c r="M143" s="106" t="e">
        <f t="shared" si="39"/>
        <v>#REF!</v>
      </c>
      <c r="N143" s="106" t="e">
        <f t="shared" si="39"/>
        <v>#REF!</v>
      </c>
      <c r="O143" s="106" t="e">
        <f t="shared" si="39"/>
        <v>#REF!</v>
      </c>
      <c r="P143" s="106" t="e">
        <f t="shared" si="39"/>
        <v>#REF!</v>
      </c>
      <c r="Q143" s="106" t="e">
        <f t="shared" si="39"/>
        <v>#REF!</v>
      </c>
      <c r="R143" s="106" t="e">
        <f t="shared" si="39"/>
        <v>#REF!</v>
      </c>
      <c r="S143" s="106" t="e">
        <f t="shared" si="39"/>
        <v>#REF!</v>
      </c>
      <c r="T143" s="106" t="e">
        <f t="shared" si="39"/>
        <v>#REF!</v>
      </c>
      <c r="U143" s="106" t="e">
        <f t="shared" si="39"/>
        <v>#REF!</v>
      </c>
      <c r="V143" s="106" t="e">
        <f t="shared" si="39"/>
        <v>#REF!</v>
      </c>
    </row>
    <row r="144" spans="2:22" hidden="1"/>
    <row r="145" spans="2:23" hidden="1">
      <c r="B145" t="s">
        <v>349</v>
      </c>
      <c r="I145" s="107">
        <v>18.5</v>
      </c>
      <c r="J145" s="107">
        <v>22.2</v>
      </c>
      <c r="K145" s="107">
        <v>27.4</v>
      </c>
      <c r="L145" s="107">
        <v>31</v>
      </c>
      <c r="M145" s="107">
        <v>38.5</v>
      </c>
      <c r="N145" s="107">
        <v>44.3</v>
      </c>
      <c r="O145" s="107">
        <v>47</v>
      </c>
      <c r="P145" s="107">
        <v>47.3</v>
      </c>
      <c r="Q145" s="107">
        <v>49.8</v>
      </c>
      <c r="R145" s="107">
        <v>59.9</v>
      </c>
      <c r="S145" s="107">
        <v>60.7</v>
      </c>
      <c r="T145" s="107">
        <v>61.2</v>
      </c>
      <c r="U145" s="107">
        <v>61.3</v>
      </c>
      <c r="V145" s="107">
        <v>62.7</v>
      </c>
    </row>
    <row r="146" spans="2:23" hidden="1">
      <c r="B146" t="s">
        <v>350</v>
      </c>
      <c r="I146" s="108">
        <f>I145-I136</f>
        <v>0</v>
      </c>
      <c r="J146" s="108">
        <f t="shared" ref="J146:V146" si="40">J145-J136</f>
        <v>2.0999999999999979</v>
      </c>
      <c r="K146" s="108">
        <f t="shared" si="40"/>
        <v>5.7999999999999972</v>
      </c>
      <c r="L146" s="108">
        <f t="shared" si="40"/>
        <v>9.2999999999999972</v>
      </c>
      <c r="M146" s="108">
        <f t="shared" si="40"/>
        <v>16.7</v>
      </c>
      <c r="N146" s="108">
        <f t="shared" si="40"/>
        <v>22.4</v>
      </c>
      <c r="O146" s="108">
        <f t="shared" si="40"/>
        <v>25</v>
      </c>
      <c r="P146" s="108">
        <f t="shared" si="40"/>
        <v>25.199999999999996</v>
      </c>
      <c r="Q146" s="108">
        <f t="shared" si="40"/>
        <v>27.4</v>
      </c>
      <c r="R146" s="108">
        <f t="shared" si="40"/>
        <v>37.5</v>
      </c>
      <c r="S146" s="108">
        <f t="shared" si="40"/>
        <v>38.200000000000003</v>
      </c>
      <c r="T146" s="108">
        <f t="shared" si="40"/>
        <v>38.900000000000006</v>
      </c>
      <c r="U146" s="108">
        <f t="shared" si="40"/>
        <v>38.799999999999997</v>
      </c>
      <c r="V146" s="108">
        <f t="shared" si="40"/>
        <v>40.1</v>
      </c>
    </row>
    <row r="147" spans="2:23" hidden="1">
      <c r="B147" t="s">
        <v>351</v>
      </c>
      <c r="F147" s="35">
        <v>0.2</v>
      </c>
      <c r="I147" s="108">
        <f>I146*$F$147</f>
        <v>0</v>
      </c>
      <c r="J147" s="108">
        <f t="shared" ref="J147:V147" si="41">J146*$F$147</f>
        <v>0.4199999999999996</v>
      </c>
      <c r="K147" s="108">
        <f t="shared" si="41"/>
        <v>1.1599999999999995</v>
      </c>
      <c r="L147" s="108">
        <f t="shared" si="41"/>
        <v>1.8599999999999994</v>
      </c>
      <c r="M147" s="108">
        <f t="shared" si="41"/>
        <v>3.34</v>
      </c>
      <c r="N147" s="108">
        <f t="shared" si="41"/>
        <v>4.4799999999999995</v>
      </c>
      <c r="O147" s="108">
        <f t="shared" si="41"/>
        <v>5</v>
      </c>
      <c r="P147" s="108">
        <f t="shared" si="41"/>
        <v>5.0399999999999991</v>
      </c>
      <c r="Q147" s="108">
        <f t="shared" si="41"/>
        <v>5.48</v>
      </c>
      <c r="R147" s="108">
        <f t="shared" si="41"/>
        <v>7.5</v>
      </c>
      <c r="S147" s="108">
        <f t="shared" si="41"/>
        <v>7.6400000000000006</v>
      </c>
      <c r="T147" s="108">
        <f t="shared" si="41"/>
        <v>7.7800000000000011</v>
      </c>
      <c r="U147" s="108">
        <f t="shared" si="41"/>
        <v>7.76</v>
      </c>
      <c r="V147" s="108">
        <f t="shared" si="41"/>
        <v>8.0200000000000014</v>
      </c>
    </row>
    <row r="148" spans="2:23" hidden="1">
      <c r="B148" t="s">
        <v>352</v>
      </c>
      <c r="I148" s="108">
        <f>I136+I147</f>
        <v>18.5</v>
      </c>
      <c r="J148" s="108">
        <f t="shared" ref="J148:V148" si="42">J136+J147</f>
        <v>20.52</v>
      </c>
      <c r="K148" s="108">
        <f t="shared" si="42"/>
        <v>22.76</v>
      </c>
      <c r="L148" s="108">
        <f t="shared" si="42"/>
        <v>23.560000000000002</v>
      </c>
      <c r="M148" s="108">
        <f t="shared" si="42"/>
        <v>25.14</v>
      </c>
      <c r="N148" s="108">
        <f t="shared" si="42"/>
        <v>26.38</v>
      </c>
      <c r="O148" s="108">
        <f t="shared" si="42"/>
        <v>27</v>
      </c>
      <c r="P148" s="108">
        <f t="shared" si="42"/>
        <v>27.14</v>
      </c>
      <c r="Q148" s="108">
        <f t="shared" si="42"/>
        <v>27.88</v>
      </c>
      <c r="R148" s="108">
        <f t="shared" si="42"/>
        <v>29.9</v>
      </c>
      <c r="S148" s="108">
        <f t="shared" si="42"/>
        <v>30.14</v>
      </c>
      <c r="T148" s="108">
        <f t="shared" si="42"/>
        <v>30.080000000000002</v>
      </c>
      <c r="U148" s="108">
        <f t="shared" si="42"/>
        <v>30.259999999999998</v>
      </c>
      <c r="V148" s="108">
        <f t="shared" si="42"/>
        <v>30.620000000000005</v>
      </c>
    </row>
    <row r="149" spans="2:23" hidden="1"/>
    <row r="150" spans="2:23" hidden="1">
      <c r="B150" t="s">
        <v>353</v>
      </c>
    </row>
    <row r="151" spans="2:23" hidden="1">
      <c r="B151" t="s">
        <v>354</v>
      </c>
      <c r="K151">
        <v>0</v>
      </c>
      <c r="L151">
        <v>337157.07669893093</v>
      </c>
      <c r="M151">
        <v>525958.49408824742</v>
      </c>
      <c r="N151">
        <v>724713.54535561893</v>
      </c>
      <c r="O151">
        <v>933820.37585617043</v>
      </c>
      <c r="P151">
        <v>1213732.4863213375</v>
      </c>
      <c r="Q151">
        <v>1324722.7925187852</v>
      </c>
      <c r="R151">
        <v>1627475.7311979095</v>
      </c>
      <c r="S151">
        <v>1882299.3578620907</v>
      </c>
      <c r="T151">
        <v>1865567.8080144278</v>
      </c>
      <c r="U151">
        <v>1882299.3578620909</v>
      </c>
      <c r="V151">
        <v>1890665.1327859224</v>
      </c>
      <c r="W151">
        <v>1915762.4575574168</v>
      </c>
    </row>
    <row r="152" spans="2:23" hidden="1">
      <c r="B152" t="s">
        <v>355</v>
      </c>
      <c r="K152" s="109" t="e">
        <f t="shared" ref="K152:W152" si="43">K151*K142/1000000000</f>
        <v>#REF!</v>
      </c>
      <c r="L152" s="111" t="e">
        <f t="shared" si="43"/>
        <v>#REF!</v>
      </c>
      <c r="M152" s="109" t="e">
        <f t="shared" si="43"/>
        <v>#REF!</v>
      </c>
      <c r="N152" s="109" t="e">
        <f t="shared" si="43"/>
        <v>#REF!</v>
      </c>
      <c r="O152" s="109" t="e">
        <f t="shared" si="43"/>
        <v>#REF!</v>
      </c>
      <c r="P152" s="109" t="e">
        <f t="shared" si="43"/>
        <v>#REF!</v>
      </c>
      <c r="Q152" s="109" t="e">
        <f t="shared" si="43"/>
        <v>#REF!</v>
      </c>
      <c r="R152" s="109" t="e">
        <f t="shared" si="43"/>
        <v>#REF!</v>
      </c>
      <c r="S152" s="109" t="e">
        <f t="shared" si="43"/>
        <v>#REF!</v>
      </c>
      <c r="T152" s="109" t="e">
        <f t="shared" si="43"/>
        <v>#REF!</v>
      </c>
      <c r="U152" s="109" t="e">
        <f t="shared" si="43"/>
        <v>#REF!</v>
      </c>
      <c r="V152" s="109" t="e">
        <f t="shared" si="43"/>
        <v>#REF!</v>
      </c>
      <c r="W152" s="109">
        <f t="shared" si="43"/>
        <v>0</v>
      </c>
    </row>
    <row r="153" spans="2:23" hidden="1">
      <c r="B153" t="s">
        <v>356</v>
      </c>
      <c r="K153" s="111" t="e">
        <f>K152*#REF!</f>
        <v>#REF!</v>
      </c>
      <c r="L153" s="111" t="e">
        <f>L152*#REF!</f>
        <v>#REF!</v>
      </c>
      <c r="M153" s="111" t="e">
        <f>M152*#REF!</f>
        <v>#REF!</v>
      </c>
      <c r="N153" s="111" t="e">
        <f>N152*#REF!</f>
        <v>#REF!</v>
      </c>
      <c r="O153" s="111" t="e">
        <f>O152*#REF!</f>
        <v>#REF!</v>
      </c>
      <c r="P153" s="111" t="e">
        <f>P152*#REF!</f>
        <v>#REF!</v>
      </c>
      <c r="Q153" s="111" t="e">
        <f>Q152*#REF!</f>
        <v>#REF!</v>
      </c>
      <c r="R153" s="111" t="e">
        <f>R152*#REF!</f>
        <v>#REF!</v>
      </c>
      <c r="S153" s="111" t="e">
        <f>S152*#REF!</f>
        <v>#REF!</v>
      </c>
      <c r="T153" s="111" t="e">
        <f>T152*#REF!</f>
        <v>#REF!</v>
      </c>
      <c r="U153" s="111" t="e">
        <f>U152*#REF!</f>
        <v>#REF!</v>
      </c>
      <c r="V153" s="111" t="e">
        <f>V152*#REF!</f>
        <v>#REF!</v>
      </c>
      <c r="W153" s="111" t="e">
        <f>W152*#REF!</f>
        <v>#REF!</v>
      </c>
    </row>
    <row r="154" spans="2:23" hidden="1"/>
    <row r="155" spans="2:23" hidden="1">
      <c r="B155" t="s">
        <v>357</v>
      </c>
      <c r="K155">
        <v>11.781518518518515</v>
      </c>
      <c r="L155">
        <v>19.483714285714274</v>
      </c>
      <c r="M155">
        <v>34.886146788990828</v>
      </c>
      <c r="N155">
        <v>46.720876712328767</v>
      </c>
      <c r="O155">
        <v>52.106818181818184</v>
      </c>
      <c r="P155">
        <v>53.574515837104066</v>
      </c>
      <c r="Q155">
        <v>60.018232142857144</v>
      </c>
      <c r="R155">
        <v>82.345982142857153</v>
      </c>
      <c r="S155">
        <v>83.883804444444436</v>
      </c>
      <c r="T155">
        <v>87.170887892376697</v>
      </c>
      <c r="U155">
        <v>89.715946666666653</v>
      </c>
      <c r="V155">
        <v>92.918442477876113</v>
      </c>
      <c r="W155">
        <v>93.518288209606993</v>
      </c>
    </row>
    <row r="156" spans="2:23" hidden="1">
      <c r="B156" t="s">
        <v>358</v>
      </c>
      <c r="K156">
        <v>3.2984814814814811</v>
      </c>
      <c r="L156">
        <v>5.4702857142857093</v>
      </c>
      <c r="M156">
        <v>9.7059174311926597</v>
      </c>
      <c r="N156">
        <v>12.854940639269408</v>
      </c>
      <c r="O156">
        <v>14.168181818181818</v>
      </c>
      <c r="P156">
        <v>14.492850678733026</v>
      </c>
      <c r="Q156">
        <v>16.307892857142861</v>
      </c>
      <c r="R156">
        <v>22.128348214285722</v>
      </c>
      <c r="S156">
        <v>22.244284444444446</v>
      </c>
      <c r="T156">
        <v>22.865524663677135</v>
      </c>
      <c r="U156">
        <v>23.607644444444443</v>
      </c>
      <c r="V156">
        <v>24.130973451327439</v>
      </c>
      <c r="W156">
        <v>23.962864628820963</v>
      </c>
    </row>
    <row r="157" spans="2:23" hidden="1"/>
    <row r="158" spans="2:23" hidden="1">
      <c r="B158" t="s">
        <v>359</v>
      </c>
      <c r="K158">
        <v>2205.5815185185188</v>
      </c>
      <c r="L158">
        <v>2327.9013064997389</v>
      </c>
      <c r="M158">
        <v>2366.8222702311441</v>
      </c>
      <c r="N158">
        <v>2406.1995646683881</v>
      </c>
      <c r="O158">
        <v>2442.1236352602473</v>
      </c>
      <c r="P158">
        <v>2531.7926315324021</v>
      </c>
      <c r="Q158">
        <v>2658.4049476288542</v>
      </c>
      <c r="R158">
        <v>2720.4340988083995</v>
      </c>
      <c r="S158">
        <v>2760.9519081627786</v>
      </c>
      <c r="T158">
        <v>2794.7981401392308</v>
      </c>
      <c r="U158">
        <v>2908.6348497602962</v>
      </c>
      <c r="V158">
        <v>2930.3678930834803</v>
      </c>
      <c r="W158">
        <v>2951.5572360507394</v>
      </c>
    </row>
    <row r="159" spans="2:23" hidden="1">
      <c r="B159" t="s">
        <v>360</v>
      </c>
      <c r="K159" s="31">
        <v>0.28836995168201301</v>
      </c>
      <c r="L159" s="31">
        <v>0.28918481369055465</v>
      </c>
      <c r="M159" s="31">
        <v>0.28656346069389549</v>
      </c>
      <c r="N159" s="31">
        <v>0.28339769692193184</v>
      </c>
      <c r="O159" s="31">
        <v>0.28006368037684826</v>
      </c>
      <c r="P159" s="31">
        <v>0.27863315171122077</v>
      </c>
      <c r="Q159" s="31">
        <v>0.2798671177597522</v>
      </c>
      <c r="R159" s="31">
        <v>0.27678580141497933</v>
      </c>
      <c r="S159" s="31">
        <v>0.27313511981865291</v>
      </c>
      <c r="T159" s="31">
        <v>0.27017609861522451</v>
      </c>
      <c r="U159" s="31">
        <v>0.27103179179640952</v>
      </c>
      <c r="V159" s="31">
        <v>0.26749159792239541</v>
      </c>
      <c r="W159" s="31">
        <v>0.26392431940547512</v>
      </c>
    </row>
    <row r="160" spans="2:23" hidden="1">
      <c r="B160" t="s">
        <v>361</v>
      </c>
      <c r="K160">
        <v>636.02343592592615</v>
      </c>
      <c r="L160">
        <v>673.19370561012579</v>
      </c>
      <c r="M160">
        <v>678.24478060481897</v>
      </c>
      <c r="N160">
        <v>681.91141496157616</v>
      </c>
      <c r="O160">
        <v>683.95013322627267</v>
      </c>
      <c r="P160">
        <v>705.44136040311867</v>
      </c>
      <c r="Q160">
        <v>744.00013053115242</v>
      </c>
      <c r="R160">
        <v>752.97753223531993</v>
      </c>
      <c r="S160">
        <v>754.11293024957888</v>
      </c>
      <c r="T160">
        <v>755.08765791990288</v>
      </c>
      <c r="U160">
        <v>788.33251501201346</v>
      </c>
      <c r="V160">
        <v>783.8487902213833</v>
      </c>
      <c r="W160">
        <v>778.98773471099662</v>
      </c>
    </row>
    <row r="161" spans="2:23" hidden="1">
      <c r="B161" t="s">
        <v>362</v>
      </c>
      <c r="K161">
        <v>617.49848148148169</v>
      </c>
      <c r="L161">
        <v>653.58612195157855</v>
      </c>
      <c r="M161">
        <v>658.49007825710578</v>
      </c>
      <c r="N161">
        <v>662.04991743842345</v>
      </c>
      <c r="O161">
        <v>664.02925555948786</v>
      </c>
      <c r="P161">
        <v>684.89452466322189</v>
      </c>
      <c r="Q161">
        <v>722.33022381665296</v>
      </c>
      <c r="R161">
        <v>731.04614780128134</v>
      </c>
      <c r="S161">
        <v>732.1484759704648</v>
      </c>
      <c r="T161">
        <v>733.0948135144688</v>
      </c>
      <c r="U161">
        <v>765.3713737980712</v>
      </c>
      <c r="V161">
        <v>761.01824293338188</v>
      </c>
      <c r="W161">
        <v>756.2987715640744</v>
      </c>
    </row>
    <row r="162" spans="2:23" hidden="1">
      <c r="B162" t="s">
        <v>363</v>
      </c>
      <c r="K162">
        <v>18.524954444444461</v>
      </c>
      <c r="L162">
        <v>19.607583658547242</v>
      </c>
      <c r="M162">
        <v>19.754702347713192</v>
      </c>
      <c r="N162">
        <v>19.861497523152707</v>
      </c>
      <c r="O162">
        <v>19.920877666784804</v>
      </c>
      <c r="P162">
        <v>20.546835739896778</v>
      </c>
      <c r="Q162">
        <v>21.669906714499461</v>
      </c>
      <c r="R162">
        <v>21.931384434038591</v>
      </c>
      <c r="S162">
        <v>21.964454279114079</v>
      </c>
      <c r="T162">
        <v>21.992844405434084</v>
      </c>
      <c r="U162">
        <v>22.961141213942255</v>
      </c>
      <c r="V162">
        <v>22.830547288001412</v>
      </c>
      <c r="W162">
        <v>22.688963146922219</v>
      </c>
    </row>
    <row r="163" spans="2:23" hidden="1">
      <c r="B163" t="s">
        <v>364</v>
      </c>
      <c r="K163">
        <v>8.3991248062722512E-3</v>
      </c>
      <c r="L163">
        <v>8.4228586511811976E-3</v>
      </c>
      <c r="M163">
        <v>8.3465085638999015E-3</v>
      </c>
      <c r="N163">
        <v>8.2543018520951361E-3</v>
      </c>
      <c r="O163">
        <v>8.1571945740829821E-3</v>
      </c>
      <c r="P163">
        <v>8.1155286906181012E-3</v>
      </c>
      <c r="Q163">
        <v>8.1514694493131645E-3</v>
      </c>
      <c r="R163">
        <v>8.0617223713100872E-3</v>
      </c>
      <c r="S163">
        <v>7.9553918393782674E-3</v>
      </c>
      <c r="T163">
        <v>7.8692067557832313E-3</v>
      </c>
      <c r="U163">
        <v>7.8941298581478581E-3</v>
      </c>
      <c r="V163">
        <v>7.7910174152154288E-3</v>
      </c>
      <c r="W163">
        <v>7.6871160991885956E-3</v>
      </c>
    </row>
    <row r="164" spans="2:23" hidden="1"/>
    <row r="165" spans="2:23" hidden="1">
      <c r="B165" t="s">
        <v>365</v>
      </c>
      <c r="J165" s="31">
        <v>0.40750825688073389</v>
      </c>
      <c r="K165" s="31">
        <v>0.43875190491696525</v>
      </c>
      <c r="L165" s="31">
        <v>0.45093826386712621</v>
      </c>
      <c r="M165" s="31">
        <v>0.45187548539857936</v>
      </c>
      <c r="N165" s="31">
        <v>0.48434474856779119</v>
      </c>
      <c r="O165" s="31">
        <v>0.49571039461020205</v>
      </c>
      <c r="P165" s="31">
        <v>0.54297205350118005</v>
      </c>
      <c r="Q165" s="31">
        <v>0.55474896489648973</v>
      </c>
      <c r="R165" s="31">
        <v>0.60537158420335901</v>
      </c>
      <c r="S165" s="31">
        <v>0.61732398107159214</v>
      </c>
      <c r="T165" s="31">
        <v>0.62120323466585303</v>
      </c>
      <c r="U165" s="31">
        <v>0.62126743608473334</v>
      </c>
      <c r="V165" s="31">
        <v>0.61297217647058833</v>
      </c>
      <c r="W165" s="31">
        <v>0.60526638058597215</v>
      </c>
    </row>
    <row r="166" spans="2:23" hidden="1">
      <c r="B166" t="s">
        <v>366</v>
      </c>
      <c r="K166">
        <v>279.05649408433351</v>
      </c>
      <c r="L166">
        <v>303.56880085410739</v>
      </c>
      <c r="M166">
        <v>306.48218945485553</v>
      </c>
      <c r="N166">
        <v>330.28021282507132</v>
      </c>
      <c r="O166">
        <v>339.0411904352959</v>
      </c>
      <c r="P166">
        <v>383.03494408274736</v>
      </c>
      <c r="Q166">
        <v>412.73330229501005</v>
      </c>
      <c r="R166">
        <v>455.83120155883148</v>
      </c>
      <c r="S166">
        <v>465.53199627923391</v>
      </c>
      <c r="T166">
        <v>469.06289555610681</v>
      </c>
      <c r="U166">
        <v>489.76532038374313</v>
      </c>
      <c r="V166">
        <v>480.47749896583895</v>
      </c>
      <c r="W166">
        <v>471.49508670939036</v>
      </c>
    </row>
    <row r="167" spans="2:23" hidden="1">
      <c r="B167" t="s">
        <v>367</v>
      </c>
      <c r="K167">
        <v>9.5750740843333801</v>
      </c>
      <c r="L167">
        <v>15.780000854107527</v>
      </c>
      <c r="M167">
        <v>20.219069454855514</v>
      </c>
      <c r="N167">
        <v>25.917972825071274</v>
      </c>
      <c r="O167">
        <v>30.015330435295994</v>
      </c>
      <c r="P167">
        <v>37.976204082747529</v>
      </c>
      <c r="Q167">
        <v>42.937642295009937</v>
      </c>
      <c r="R167">
        <v>55.741121558831423</v>
      </c>
      <c r="S167">
        <v>61.123056279233879</v>
      </c>
      <c r="T167">
        <v>61.926295556106766</v>
      </c>
      <c r="U167">
        <v>64.507760383743062</v>
      </c>
      <c r="V167">
        <v>63.656418965838782</v>
      </c>
      <c r="W167">
        <v>62.45606670939037</v>
      </c>
    </row>
    <row r="168" spans="2:23" s="2" customFormat="1" hidden="1">
      <c r="B168" s="28" t="s">
        <v>368</v>
      </c>
      <c r="C168" s="28"/>
      <c r="D168" s="28"/>
      <c r="E168" s="28"/>
      <c r="F168" s="28"/>
      <c r="G168" s="28"/>
      <c r="H168" s="28"/>
      <c r="I168" s="28"/>
      <c r="J168" s="28"/>
      <c r="K168" s="28">
        <v>83.716948225300044</v>
      </c>
      <c r="L168" s="28">
        <v>91.07064025623221</v>
      </c>
      <c r="M168" s="28">
        <v>91.944656836456659</v>
      </c>
      <c r="N168" s="28">
        <v>99.084063847521392</v>
      </c>
      <c r="O168" s="28">
        <v>101.71235713058877</v>
      </c>
      <c r="P168" s="28">
        <v>114.9104832248242</v>
      </c>
      <c r="Q168" s="28">
        <v>123.81999068850301</v>
      </c>
      <c r="R168" s="28">
        <v>136.74936046764944</v>
      </c>
      <c r="S168" s="28">
        <v>139.65959888377017</v>
      </c>
      <c r="T168" s="28">
        <v>140.71886866683204</v>
      </c>
      <c r="U168" s="28">
        <v>146.92959611512293</v>
      </c>
      <c r="V168" s="28">
        <v>144.14324968975168</v>
      </c>
      <c r="W168" s="28">
        <v>141.4485260128171</v>
      </c>
    </row>
    <row r="169" spans="2:23" hidden="1"/>
    <row r="170" spans="2:23" hidden="1"/>
    <row r="171" spans="2:23" hidden="1">
      <c r="B171" t="s">
        <v>369</v>
      </c>
    </row>
    <row r="172" spans="2:23" hidden="1"/>
    <row r="173" spans="2:23" hidden="1">
      <c r="B173" t="s">
        <v>370</v>
      </c>
      <c r="J173" s="109">
        <v>3012</v>
      </c>
    </row>
    <row r="174" spans="2:23" hidden="1">
      <c r="B174" t="s">
        <v>371</v>
      </c>
      <c r="J174" s="109">
        <v>246.20000000000005</v>
      </c>
    </row>
    <row r="175" spans="2:23" hidden="1">
      <c r="B175" t="s">
        <v>372</v>
      </c>
      <c r="J175" s="112">
        <v>3258.2</v>
      </c>
    </row>
    <row r="176" spans="2:23" hidden="1">
      <c r="B176" t="s">
        <v>373</v>
      </c>
      <c r="J176" s="112">
        <v>445.2</v>
      </c>
    </row>
    <row r="177" spans="2:15" hidden="1">
      <c r="B177" t="s">
        <v>142</v>
      </c>
      <c r="J177" s="113">
        <v>7.3185085354896673</v>
      </c>
    </row>
    <row r="178" spans="2:15" hidden="1"/>
    <row r="179" spans="2:15" hidden="1">
      <c r="B179" t="s">
        <v>374</v>
      </c>
      <c r="J179" s="114">
        <v>0.6</v>
      </c>
    </row>
    <row r="180" spans="2:15" hidden="1">
      <c r="B180" t="s">
        <v>375</v>
      </c>
      <c r="J180" s="115">
        <v>4000</v>
      </c>
    </row>
    <row r="181" spans="2:15" hidden="1"/>
    <row r="182" spans="2:15" hidden="1">
      <c r="J182" s="116" t="s">
        <v>376</v>
      </c>
      <c r="K182" s="116" t="s">
        <v>377</v>
      </c>
      <c r="M182" s="116" t="s">
        <v>378</v>
      </c>
      <c r="N182" s="116" t="s">
        <v>379</v>
      </c>
      <c r="O182" s="116" t="s">
        <v>380</v>
      </c>
    </row>
    <row r="183" spans="2:15" hidden="1">
      <c r="B183" t="s">
        <v>381</v>
      </c>
      <c r="J183" s="112">
        <v>633.5</v>
      </c>
      <c r="K183" s="73">
        <v>678.24478060481897</v>
      </c>
      <c r="M183" s="112">
        <v>15.284160825913061</v>
      </c>
      <c r="N183" s="112">
        <v>9.7059174311926597</v>
      </c>
      <c r="O183" s="112">
        <v>19.754702347713192</v>
      </c>
    </row>
    <row r="184" spans="2:15" hidden="1">
      <c r="B184" t="s">
        <v>142</v>
      </c>
      <c r="J184" s="113">
        <v>7.3185085354896673</v>
      </c>
      <c r="K184" s="113">
        <v>7.3185085354896673</v>
      </c>
      <c r="M184" s="21"/>
      <c r="N184" s="21"/>
      <c r="O184" s="21"/>
    </row>
    <row r="185" spans="2:15" hidden="1">
      <c r="B185" t="s">
        <v>372</v>
      </c>
      <c r="J185" s="109">
        <v>4636.2751572327043</v>
      </c>
      <c r="K185" s="109">
        <v>4963.7402160076845</v>
      </c>
    </row>
    <row r="186" spans="2:15" hidden="1">
      <c r="B186" t="s">
        <v>371</v>
      </c>
      <c r="J186" s="112">
        <v>246.20000000000005</v>
      </c>
      <c r="K186" s="112">
        <v>246.20000000000005</v>
      </c>
    </row>
    <row r="187" spans="2:15" hidden="1">
      <c r="B187" t="s">
        <v>382</v>
      </c>
      <c r="J187" s="112">
        <v>4390.0751572327044</v>
      </c>
      <c r="K187" s="112">
        <v>4717.5402160076846</v>
      </c>
    </row>
    <row r="188" spans="2:15" hidden="1"/>
    <row r="189" spans="2:15" hidden="1">
      <c r="B189" t="s">
        <v>383</v>
      </c>
      <c r="K189" s="117">
        <v>2025</v>
      </c>
      <c r="L189" s="117">
        <v>2026</v>
      </c>
      <c r="M189" s="117">
        <v>2027</v>
      </c>
    </row>
    <row r="190" spans="2:15" hidden="1">
      <c r="B190" t="s">
        <v>384</v>
      </c>
      <c r="K190">
        <v>-2400</v>
      </c>
      <c r="N190" s="109"/>
      <c r="O190" s="109"/>
    </row>
    <row r="191" spans="2:15" hidden="1">
      <c r="B191" t="s">
        <v>385</v>
      </c>
      <c r="K191">
        <v>48.506655600000023</v>
      </c>
      <c r="L191">
        <v>51.801983999999976</v>
      </c>
      <c r="M191">
        <v>51.527361599999999</v>
      </c>
      <c r="N191" s="109"/>
      <c r="O191" s="109"/>
    </row>
    <row r="192" spans="2:15" hidden="1">
      <c r="B192" t="s">
        <v>386</v>
      </c>
      <c r="J192" s="118"/>
      <c r="M192">
        <v>2634.0450943396227</v>
      </c>
      <c r="N192" s="109"/>
      <c r="O192" s="109"/>
    </row>
    <row r="193" spans="2:15" hidden="1">
      <c r="B193" t="s">
        <v>387</v>
      </c>
      <c r="K193" s="28">
        <v>-2351.4933443999998</v>
      </c>
      <c r="L193" s="28">
        <v>51.801983999999976</v>
      </c>
      <c r="M193" s="28">
        <v>2685.5724559396226</v>
      </c>
      <c r="N193" s="109"/>
      <c r="O193" s="109"/>
    </row>
    <row r="194" spans="2:15" hidden="1">
      <c r="B194" t="s">
        <v>54</v>
      </c>
      <c r="K194" s="119">
        <v>7.9748700957254171E-2</v>
      </c>
      <c r="L194" s="109"/>
      <c r="M194" s="109"/>
      <c r="N194" s="109"/>
      <c r="O194" s="109"/>
    </row>
    <row r="195" spans="2:15" hidden="1"/>
    <row r="196" spans="2:15" hidden="1">
      <c r="B196" t="s">
        <v>388</v>
      </c>
      <c r="K196" s="117">
        <v>2025</v>
      </c>
      <c r="L196" s="117">
        <v>2026</v>
      </c>
      <c r="M196" s="117">
        <v>2027</v>
      </c>
    </row>
    <row r="197" spans="2:15" hidden="1">
      <c r="B197" t="s">
        <v>384</v>
      </c>
      <c r="K197">
        <v>-2400</v>
      </c>
    </row>
    <row r="198" spans="2:15" hidden="1">
      <c r="B198" t="s">
        <v>385</v>
      </c>
      <c r="K198">
        <v>50.230168935180025</v>
      </c>
      <c r="L198">
        <v>54.642384153739322</v>
      </c>
      <c r="M198">
        <v>55.166794101873997</v>
      </c>
    </row>
    <row r="199" spans="2:15" hidden="1">
      <c r="B199" t="s">
        <v>386</v>
      </c>
      <c r="J199" s="118"/>
      <c r="M199">
        <v>2830.5241296046106</v>
      </c>
    </row>
    <row r="200" spans="2:15" hidden="1">
      <c r="B200" t="s">
        <v>387</v>
      </c>
      <c r="K200" s="28">
        <v>-2349.7698310648198</v>
      </c>
      <c r="L200" s="28">
        <v>54.642384153739322</v>
      </c>
      <c r="M200" s="28">
        <v>2885.6909237064847</v>
      </c>
    </row>
    <row r="201" spans="2:15" hidden="1">
      <c r="B201" t="s">
        <v>54</v>
      </c>
      <c r="K201" s="119">
        <v>0.11987311576072623</v>
      </c>
    </row>
  </sheetData>
  <conditionalFormatting sqref="J11:V11">
    <cfRule type="cellIs" dxfId="42" priority="4" operator="equal">
      <formula>1</formula>
    </cfRule>
  </conditionalFormatting>
  <conditionalFormatting sqref="K12:V12">
    <cfRule type="cellIs" dxfId="41" priority="3" operator="equal">
      <formula>1</formula>
    </cfRule>
  </conditionalFormatting>
  <conditionalFormatting sqref="J12">
    <cfRule type="cellIs" dxfId="40" priority="2" operator="equal">
      <formula>1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E63C1-231D-4904-A9E9-282F3069F56F}">
  <sheetPr codeName="Sheet18">
    <tabColor theme="1"/>
  </sheetPr>
  <dimension ref="A1"/>
  <sheetViews>
    <sheetView workbookViewId="0">
      <selection activeCell="H205" sqref="H205"/>
    </sheetView>
  </sheetViews>
  <sheetFormatPr defaultRowHeight="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1E1F5-B3EB-414A-B159-1403E39A3516}">
  <sheetPr codeName="Sheet25"/>
  <dimension ref="A1:Q26"/>
  <sheetViews>
    <sheetView showGridLines="0" topLeftCell="B1" zoomScale="117" workbookViewId="0">
      <selection activeCell="P10" sqref="P10"/>
    </sheetView>
  </sheetViews>
  <sheetFormatPr defaultColWidth="0" defaultRowHeight="15"/>
  <cols>
    <col min="1" max="1" width="24" bestFit="1" customWidth="1"/>
    <col min="2" max="17" width="8.7109375" customWidth="1"/>
    <col min="18" max="16384" width="8.7109375" hidden="1"/>
  </cols>
  <sheetData>
    <row r="1" spans="1:16">
      <c r="G1">
        <v>29000</v>
      </c>
    </row>
    <row r="2" spans="1:16">
      <c r="B2" t="s">
        <v>389</v>
      </c>
      <c r="D2" t="s">
        <v>186</v>
      </c>
      <c r="F2" t="s">
        <v>390</v>
      </c>
      <c r="J2" t="s">
        <v>297</v>
      </c>
      <c r="M2" t="s">
        <v>391</v>
      </c>
      <c r="O2" t="s">
        <v>299</v>
      </c>
    </row>
    <row r="3" spans="1:16">
      <c r="B3" s="54" t="s">
        <v>392</v>
      </c>
      <c r="C3" s="54" t="s">
        <v>393</v>
      </c>
      <c r="D3" s="54" t="s">
        <v>392</v>
      </c>
      <c r="E3" s="54" t="s">
        <v>393</v>
      </c>
      <c r="F3" s="54" t="s">
        <v>392</v>
      </c>
      <c r="G3" s="54"/>
      <c r="H3" s="54" t="s">
        <v>393</v>
      </c>
      <c r="I3" s="54"/>
      <c r="J3" s="54" t="s">
        <v>392</v>
      </c>
      <c r="K3" s="54"/>
      <c r="L3" s="54" t="s">
        <v>393</v>
      </c>
      <c r="M3" s="54" t="s">
        <v>392</v>
      </c>
      <c r="N3" s="54" t="s">
        <v>393</v>
      </c>
      <c r="O3" s="54" t="s">
        <v>392</v>
      </c>
      <c r="P3" s="54" t="s">
        <v>393</v>
      </c>
    </row>
    <row r="4" spans="1:16">
      <c r="A4" s="2" t="s">
        <v>394</v>
      </c>
      <c r="G4">
        <v>55000</v>
      </c>
      <c r="I4">
        <f>SUM(I6:I10)</f>
        <v>39000</v>
      </c>
    </row>
    <row r="5" spans="1:16" s="2" customFormat="1">
      <c r="A5" s="296" t="s">
        <v>395</v>
      </c>
      <c r="B5" s="297"/>
      <c r="C5" s="297"/>
      <c r="D5" s="297"/>
      <c r="E5" s="297"/>
      <c r="F5" s="297"/>
      <c r="G5" s="297"/>
      <c r="H5" s="297"/>
      <c r="I5" s="297"/>
      <c r="J5" s="297"/>
      <c r="K5" s="297"/>
      <c r="L5" s="297"/>
      <c r="M5" s="297"/>
      <c r="N5" s="297"/>
      <c r="O5" s="297"/>
      <c r="P5" s="298"/>
    </row>
    <row r="6" spans="1:16">
      <c r="A6" s="426" t="s">
        <v>396</v>
      </c>
      <c r="B6" s="427" t="s">
        <v>397</v>
      </c>
      <c r="C6" s="213"/>
      <c r="D6" s="427" t="s">
        <v>397</v>
      </c>
      <c r="E6" s="213"/>
      <c r="F6" s="427" t="s">
        <v>397</v>
      </c>
      <c r="G6" s="427">
        <f>G4-G8</f>
        <v>26000</v>
      </c>
      <c r="H6" s="213"/>
      <c r="I6" s="213"/>
      <c r="J6" s="427" t="s">
        <v>397</v>
      </c>
      <c r="K6" s="427"/>
      <c r="L6" s="213"/>
      <c r="M6" s="427" t="s">
        <v>397</v>
      </c>
      <c r="N6" s="213"/>
      <c r="O6" s="299"/>
      <c r="P6" s="299"/>
    </row>
    <row r="7" spans="1:16">
      <c r="A7" s="428" t="s">
        <v>398</v>
      </c>
      <c r="B7" s="429" t="s">
        <v>397</v>
      </c>
      <c r="C7" s="54"/>
      <c r="D7" s="429" t="s">
        <v>397</v>
      </c>
      <c r="E7" s="54"/>
      <c r="F7" s="429"/>
      <c r="G7" s="429"/>
      <c r="H7" s="429" t="s">
        <v>397</v>
      </c>
      <c r="I7" s="429"/>
      <c r="J7" s="429" t="s">
        <v>397</v>
      </c>
      <c r="K7" s="429"/>
      <c r="L7" s="54"/>
      <c r="M7" s="429" t="s">
        <v>397</v>
      </c>
      <c r="N7" s="54"/>
      <c r="O7" s="43"/>
      <c r="P7" s="43"/>
    </row>
    <row r="8" spans="1:16">
      <c r="A8" s="428" t="s">
        <v>399</v>
      </c>
      <c r="B8" s="429" t="s">
        <v>397</v>
      </c>
      <c r="C8" s="54"/>
      <c r="D8" s="429" t="s">
        <v>397</v>
      </c>
      <c r="E8" s="54"/>
      <c r="F8" s="429" t="s">
        <v>397</v>
      </c>
      <c r="G8" s="429">
        <v>29000</v>
      </c>
      <c r="H8" s="54"/>
      <c r="I8" s="54"/>
      <c r="J8" s="429" t="s">
        <v>397</v>
      </c>
      <c r="K8" s="429"/>
      <c r="L8" s="429" t="s">
        <v>397</v>
      </c>
      <c r="M8" s="429" t="s">
        <v>397</v>
      </c>
      <c r="N8" s="54"/>
      <c r="O8" s="43"/>
      <c r="P8" s="43"/>
    </row>
    <row r="9" spans="1:16">
      <c r="A9" s="428" t="s">
        <v>400</v>
      </c>
      <c r="B9" s="429"/>
      <c r="C9" s="429" t="s">
        <v>397</v>
      </c>
      <c r="D9" s="429" t="s">
        <v>397</v>
      </c>
      <c r="E9" s="54"/>
      <c r="F9" s="54"/>
      <c r="G9" s="54"/>
      <c r="H9" s="429" t="s">
        <v>397</v>
      </c>
      <c r="I9" s="429"/>
      <c r="J9" s="54"/>
      <c r="K9" s="54"/>
      <c r="L9" s="429" t="s">
        <v>397</v>
      </c>
      <c r="M9" s="429" t="s">
        <v>397</v>
      </c>
      <c r="N9" s="54"/>
      <c r="O9" s="43"/>
      <c r="P9" s="43"/>
    </row>
    <row r="10" spans="1:16" s="2" customFormat="1">
      <c r="A10" s="295" t="s">
        <v>401</v>
      </c>
      <c r="B10" s="295"/>
      <c r="C10" s="295" t="s">
        <v>397</v>
      </c>
      <c r="D10" s="295" t="s">
        <v>397</v>
      </c>
      <c r="E10" s="295" t="s">
        <v>397</v>
      </c>
      <c r="F10" s="295"/>
      <c r="G10" s="295"/>
      <c r="H10" s="295" t="s">
        <v>397</v>
      </c>
      <c r="I10" s="295">
        <v>39000</v>
      </c>
      <c r="J10" s="295" t="s">
        <v>397</v>
      </c>
      <c r="K10" s="295"/>
      <c r="L10" s="295"/>
      <c r="M10" s="295" t="s">
        <v>397</v>
      </c>
      <c r="N10" s="295"/>
      <c r="O10" s="295"/>
      <c r="P10" s="295" t="s">
        <v>397</v>
      </c>
    </row>
    <row r="11" spans="1:16" s="2" customFormat="1">
      <c r="A11" s="296" t="s">
        <v>402</v>
      </c>
      <c r="B11" s="297"/>
      <c r="C11" s="297"/>
      <c r="D11" s="297"/>
      <c r="E11" s="297"/>
      <c r="F11" s="297"/>
      <c r="G11" s="297"/>
      <c r="H11" s="297"/>
      <c r="I11" s="297"/>
      <c r="J11" s="297"/>
      <c r="K11" s="297"/>
      <c r="L11" s="297"/>
      <c r="M11" s="297"/>
      <c r="N11" s="297"/>
      <c r="O11" s="297"/>
      <c r="P11" s="298"/>
    </row>
    <row r="12" spans="1:16">
      <c r="A12" s="426" t="s">
        <v>12</v>
      </c>
      <c r="B12" s="213"/>
      <c r="C12" s="427" t="s">
        <v>397</v>
      </c>
      <c r="D12" s="213"/>
      <c r="E12" s="427" t="s">
        <v>397</v>
      </c>
      <c r="F12" s="213"/>
      <c r="G12" s="213"/>
      <c r="H12" s="427" t="s">
        <v>397</v>
      </c>
      <c r="I12" s="427" t="s">
        <v>403</v>
      </c>
      <c r="J12" s="427" t="s">
        <v>397</v>
      </c>
      <c r="K12" s="427"/>
      <c r="L12" s="213"/>
      <c r="M12" s="427" t="s">
        <v>397</v>
      </c>
      <c r="N12" s="213"/>
      <c r="O12" s="213"/>
      <c r="P12" s="427" t="s">
        <v>397</v>
      </c>
    </row>
    <row r="13" spans="1:16">
      <c r="A13" s="428" t="s">
        <v>404</v>
      </c>
      <c r="B13" s="54"/>
      <c r="C13" s="429" t="s">
        <v>397</v>
      </c>
      <c r="D13" s="54"/>
      <c r="E13" s="429" t="s">
        <v>397</v>
      </c>
      <c r="F13" s="54"/>
      <c r="G13" s="54"/>
      <c r="H13" s="429" t="s">
        <v>397</v>
      </c>
      <c r="I13" s="427" t="s">
        <v>403</v>
      </c>
      <c r="J13" s="429" t="s">
        <v>397</v>
      </c>
      <c r="K13" s="429"/>
      <c r="L13" s="54"/>
      <c r="M13" s="429" t="s">
        <v>397</v>
      </c>
      <c r="N13" s="54"/>
      <c r="O13" s="54"/>
      <c r="P13" s="429" t="s">
        <v>397</v>
      </c>
    </row>
    <row r="14" spans="1:16">
      <c r="A14" s="428" t="s">
        <v>405</v>
      </c>
      <c r="B14" s="54"/>
      <c r="C14" s="429" t="s">
        <v>397</v>
      </c>
      <c r="D14" s="54"/>
      <c r="E14" s="429" t="s">
        <v>397</v>
      </c>
      <c r="F14" s="54"/>
      <c r="G14" s="54"/>
      <c r="H14" s="429" t="s">
        <v>397</v>
      </c>
      <c r="I14" s="427" t="s">
        <v>403</v>
      </c>
      <c r="J14" s="429" t="s">
        <v>397</v>
      </c>
      <c r="K14" s="429"/>
      <c r="L14" s="54"/>
      <c r="M14" s="429" t="s">
        <v>397</v>
      </c>
      <c r="N14" s="54"/>
      <c r="O14" s="54"/>
      <c r="P14" s="429" t="s">
        <v>397</v>
      </c>
    </row>
    <row r="15" spans="1:16">
      <c r="E15" s="407"/>
    </row>
    <row r="16" spans="1:16">
      <c r="A16" s="2" t="s">
        <v>406</v>
      </c>
    </row>
    <row r="17" spans="1:16" s="2" customFormat="1">
      <c r="A17" s="294" t="s">
        <v>395</v>
      </c>
      <c r="B17" s="294"/>
      <c r="C17" s="294"/>
      <c r="D17" s="294"/>
      <c r="E17" s="294"/>
      <c r="F17" s="294"/>
      <c r="G17" s="294"/>
      <c r="H17" s="294"/>
      <c r="I17" s="294"/>
      <c r="J17" s="294"/>
      <c r="K17" s="294"/>
      <c r="L17" s="294"/>
      <c r="M17" s="294"/>
      <c r="N17" s="294"/>
      <c r="O17" s="294"/>
      <c r="P17" s="294"/>
    </row>
    <row r="18" spans="1:16">
      <c r="A18" s="428" t="s">
        <v>396</v>
      </c>
      <c r="B18" s="429" t="s">
        <v>397</v>
      </c>
      <c r="C18" s="54"/>
      <c r="D18" s="429" t="s">
        <v>397</v>
      </c>
      <c r="E18" s="54"/>
      <c r="F18" s="429" t="s">
        <v>397</v>
      </c>
      <c r="G18" s="429"/>
      <c r="H18" s="54"/>
      <c r="I18" s="54"/>
      <c r="J18" s="429" t="s">
        <v>397</v>
      </c>
      <c r="K18" s="429"/>
      <c r="L18" s="54"/>
      <c r="M18" s="429" t="s">
        <v>397</v>
      </c>
      <c r="N18" s="54"/>
      <c r="O18" s="43"/>
      <c r="P18" s="43"/>
    </row>
    <row r="19" spans="1:16">
      <c r="A19" s="428" t="s">
        <v>398</v>
      </c>
      <c r="B19" s="54"/>
      <c r="C19" s="429" t="s">
        <v>397</v>
      </c>
      <c r="D19" s="54"/>
      <c r="E19" s="429" t="s">
        <v>397</v>
      </c>
      <c r="F19" s="429"/>
      <c r="G19" s="429"/>
      <c r="H19" s="429" t="s">
        <v>397</v>
      </c>
      <c r="I19" s="429"/>
      <c r="J19" s="54"/>
      <c r="K19" s="54"/>
      <c r="L19" s="429" t="s">
        <v>397</v>
      </c>
      <c r="M19" s="429"/>
      <c r="N19" s="429" t="s">
        <v>397</v>
      </c>
      <c r="O19" s="43"/>
      <c r="P19" s="43"/>
    </row>
    <row r="20" spans="1:16">
      <c r="A20" s="428" t="s">
        <v>399</v>
      </c>
      <c r="B20" s="54"/>
      <c r="C20" s="429" t="s">
        <v>397</v>
      </c>
      <c r="D20" s="54"/>
      <c r="E20" s="429" t="s">
        <v>397</v>
      </c>
      <c r="F20" s="54"/>
      <c r="G20" s="54"/>
      <c r="H20" s="429" t="s">
        <v>397</v>
      </c>
      <c r="I20" s="429"/>
      <c r="J20" s="429"/>
      <c r="K20" s="429"/>
      <c r="L20" s="429" t="s">
        <v>397</v>
      </c>
      <c r="M20" s="429"/>
      <c r="N20" s="429" t="s">
        <v>397</v>
      </c>
      <c r="O20" s="43"/>
      <c r="P20" s="43"/>
    </row>
    <row r="21" spans="1:16">
      <c r="A21" s="428" t="s">
        <v>400</v>
      </c>
      <c r="B21" s="429"/>
      <c r="C21" s="429" t="s">
        <v>397</v>
      </c>
      <c r="D21" s="54"/>
      <c r="E21" s="429" t="s">
        <v>397</v>
      </c>
      <c r="F21" s="54"/>
      <c r="G21" s="54"/>
      <c r="H21" s="429" t="s">
        <v>397</v>
      </c>
      <c r="I21" s="429"/>
      <c r="J21" s="54"/>
      <c r="K21" s="54"/>
      <c r="L21" s="429" t="s">
        <v>397</v>
      </c>
      <c r="M21" s="429"/>
      <c r="N21" s="429" t="s">
        <v>397</v>
      </c>
      <c r="O21" s="43"/>
      <c r="P21" s="43"/>
    </row>
    <row r="22" spans="1:16" s="2" customFormat="1">
      <c r="A22" s="295" t="s">
        <v>401</v>
      </c>
      <c r="B22" s="295"/>
      <c r="C22" s="295" t="s">
        <v>397</v>
      </c>
      <c r="D22" s="295"/>
      <c r="E22" s="295" t="s">
        <v>397</v>
      </c>
      <c r="F22" s="295"/>
      <c r="G22" s="295"/>
      <c r="H22" s="295" t="s">
        <v>397</v>
      </c>
      <c r="I22" s="295"/>
      <c r="J22" s="295"/>
      <c r="K22" s="295"/>
      <c r="L22" s="295" t="s">
        <v>397</v>
      </c>
      <c r="M22" s="295"/>
      <c r="N22" s="295" t="s">
        <v>397</v>
      </c>
      <c r="O22" s="295" t="s">
        <v>397</v>
      </c>
      <c r="P22" s="295" t="s">
        <v>397</v>
      </c>
    </row>
    <row r="23" spans="1:16" s="2" customFormat="1">
      <c r="A23" s="296" t="s">
        <v>402</v>
      </c>
      <c r="B23" s="297"/>
      <c r="C23" s="297"/>
      <c r="D23" s="297"/>
      <c r="E23" s="297"/>
      <c r="F23" s="297"/>
      <c r="G23" s="297"/>
      <c r="H23" s="297"/>
      <c r="I23" s="297"/>
      <c r="J23" s="297"/>
      <c r="K23" s="297"/>
      <c r="L23" s="297"/>
      <c r="M23" s="297"/>
      <c r="N23" s="297"/>
      <c r="O23" s="297"/>
      <c r="P23" s="298"/>
    </row>
    <row r="24" spans="1:16">
      <c r="A24" s="426" t="s">
        <v>12</v>
      </c>
      <c r="B24" s="213"/>
      <c r="C24" s="427" t="s">
        <v>397</v>
      </c>
      <c r="D24" s="213"/>
      <c r="E24" s="427" t="s">
        <v>397</v>
      </c>
      <c r="F24" s="213"/>
      <c r="G24" s="213"/>
      <c r="H24" s="427" t="s">
        <v>397</v>
      </c>
      <c r="I24" s="427"/>
      <c r="J24" s="213"/>
      <c r="K24" s="213"/>
      <c r="L24" s="427" t="s">
        <v>397</v>
      </c>
      <c r="M24" s="427"/>
      <c r="N24" s="427" t="s">
        <v>397</v>
      </c>
      <c r="O24" s="427" t="s">
        <v>397</v>
      </c>
      <c r="P24" s="427" t="s">
        <v>397</v>
      </c>
    </row>
    <row r="25" spans="1:16">
      <c r="A25" s="428" t="s">
        <v>404</v>
      </c>
      <c r="B25" s="54"/>
      <c r="C25" s="429" t="s">
        <v>397</v>
      </c>
      <c r="D25" s="54"/>
      <c r="E25" s="429" t="s">
        <v>397</v>
      </c>
      <c r="F25" s="54"/>
      <c r="G25" s="54"/>
      <c r="H25" s="429" t="s">
        <v>397</v>
      </c>
      <c r="I25" s="429"/>
      <c r="J25" s="54"/>
      <c r="K25" s="54"/>
      <c r="L25" s="429" t="s">
        <v>397</v>
      </c>
      <c r="M25" s="429"/>
      <c r="N25" s="429" t="s">
        <v>397</v>
      </c>
      <c r="O25" s="427" t="s">
        <v>397</v>
      </c>
      <c r="P25" s="427" t="s">
        <v>397</v>
      </c>
    </row>
    <row r="26" spans="1:16">
      <c r="A26" s="428" t="s">
        <v>405</v>
      </c>
      <c r="B26" s="54"/>
      <c r="C26" s="429" t="s">
        <v>397</v>
      </c>
      <c r="D26" s="54"/>
      <c r="E26" s="429" t="s">
        <v>397</v>
      </c>
      <c r="F26" s="54"/>
      <c r="G26" s="54"/>
      <c r="H26" s="429" t="s">
        <v>397</v>
      </c>
      <c r="I26" s="429"/>
      <c r="J26" s="54"/>
      <c r="K26" s="54"/>
      <c r="L26" s="429" t="s">
        <v>397</v>
      </c>
      <c r="M26" s="429"/>
      <c r="N26" s="429" t="s">
        <v>397</v>
      </c>
      <c r="O26" s="429" t="s">
        <v>397</v>
      </c>
      <c r="P26" s="427" t="s">
        <v>397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CA178-21B6-4797-851C-8315D77D17F7}">
  <sheetPr codeName="Sheet26"/>
  <dimension ref="B2:Z53"/>
  <sheetViews>
    <sheetView zoomScale="85" workbookViewId="0">
      <selection activeCell="G15" sqref="G15"/>
    </sheetView>
  </sheetViews>
  <sheetFormatPr defaultRowHeight="15"/>
  <cols>
    <col min="2" max="2" width="31.140625" bestFit="1" customWidth="1"/>
  </cols>
  <sheetData>
    <row r="2" spans="2:14">
      <c r="B2" s="407" t="s">
        <v>407</v>
      </c>
      <c r="D2" s="10">
        <v>2024</v>
      </c>
      <c r="E2" s="10">
        <v>2034</v>
      </c>
    </row>
    <row r="3" spans="2:14">
      <c r="B3" s="407" t="s">
        <v>186</v>
      </c>
      <c r="D3">
        <f>'Calculation FKS PoV'!D12</f>
        <v>3.6662252759999996</v>
      </c>
      <c r="E3">
        <f>'Calculation FKS PoV'!N12</f>
        <v>4.9271001987818241</v>
      </c>
      <c r="F3" s="243">
        <f>_xlfn.RRI($E$2-$D$2,D3,E3)</f>
        <v>3.0000000000000027E-2</v>
      </c>
    </row>
    <row r="4" spans="2:14">
      <c r="B4" s="407" t="s">
        <v>389</v>
      </c>
      <c r="D4">
        <f>'Calculation FKS PoV'!E21-0.5</f>
        <v>3.0829855679999998</v>
      </c>
      <c r="E4">
        <f>'Calculation FKS PoV'!N22</f>
        <v>4.6749834871735949</v>
      </c>
      <c r="F4" s="243">
        <f>_xlfn.RRI($E$2-$D$2,D4,E4)</f>
        <v>4.2511510924512441E-2</v>
      </c>
    </row>
    <row r="5" spans="2:14">
      <c r="B5" s="407" t="s">
        <v>390</v>
      </c>
      <c r="D5">
        <f>'Calculation FKS PoV'!D29</f>
        <v>0.75</v>
      </c>
      <c r="E5">
        <f>'Calculation FKS PoV'!N29</f>
        <v>1.5579372845080917</v>
      </c>
      <c r="F5" s="243">
        <f>_xlfn.RRI($E$2-$D$2,D5,E5)</f>
        <v>7.5842931373605316E-2</v>
      </c>
    </row>
    <row r="15" spans="2:14">
      <c r="D15" s="10">
        <v>2024</v>
      </c>
      <c r="E15">
        <f>D15+1</f>
        <v>2025</v>
      </c>
      <c r="F15">
        <f t="shared" ref="F15:N15" si="0">E15+1</f>
        <v>2026</v>
      </c>
      <c r="G15">
        <f t="shared" si="0"/>
        <v>2027</v>
      </c>
      <c r="H15">
        <f t="shared" si="0"/>
        <v>2028</v>
      </c>
      <c r="I15">
        <f t="shared" si="0"/>
        <v>2029</v>
      </c>
      <c r="J15">
        <f t="shared" si="0"/>
        <v>2030</v>
      </c>
      <c r="K15">
        <f t="shared" si="0"/>
        <v>2031</v>
      </c>
      <c r="L15">
        <f t="shared" si="0"/>
        <v>2032</v>
      </c>
      <c r="M15">
        <f t="shared" si="0"/>
        <v>2033</v>
      </c>
      <c r="N15">
        <f t="shared" si="0"/>
        <v>2034</v>
      </c>
    </row>
    <row r="16" spans="2:14">
      <c r="B16" s="407" t="s">
        <v>408</v>
      </c>
      <c r="D16">
        <f>SUM('Calculation FKS PoV'!D77:D78,'Calculation FKS PoV'!D80)</f>
        <v>8.7974097902804971</v>
      </c>
      <c r="E16">
        <f>SUM('Calculation FKS PoV'!E77:E78,'Calculation FKS PoV'!E80)</f>
        <v>9.3670305506531477</v>
      </c>
      <c r="F16">
        <f>SUM('Calculation FKS PoV'!F77:F78,'Calculation FKS PoV'!F80)</f>
        <v>9.749655480243554</v>
      </c>
      <c r="G16">
        <f>SUM('Calculation FKS PoV'!G77:G78,'Calculation FKS PoV'!G80)</f>
        <v>10.678702367621531</v>
      </c>
      <c r="H16">
        <f>SUM('Calculation FKS PoV'!H77:H78,'Calculation FKS PoV'!H80)</f>
        <v>11.033598544877727</v>
      </c>
      <c r="I16">
        <f>SUM('Calculation FKS PoV'!I77:I78,'Calculation FKS PoV'!I80)</f>
        <v>12.11895226063003</v>
      </c>
      <c r="J16">
        <f>SUM('Calculation FKS PoV'!J77:J78,'Calculation FKS PoV'!J80)</f>
        <v>12.524396680667452</v>
      </c>
      <c r="K16">
        <f>SUM('Calculation FKS PoV'!K77:K78,'Calculation FKS PoV'!K80)</f>
        <v>13.215886732928292</v>
      </c>
      <c r="L16">
        <f>SUM('Calculation FKS PoV'!L77:L78,'Calculation FKS PoV'!L80)</f>
        <v>14.03610129313987</v>
      </c>
      <c r="M16">
        <f>SUM('Calculation FKS PoV'!M77:M78,'Calculation FKS PoV'!M80)</f>
        <v>14.816211617364594</v>
      </c>
      <c r="N16">
        <f>SUM('Calculation FKS PoV'!N77:N78,'Calculation FKS PoV'!N80)</f>
        <v>15.076321952908268</v>
      </c>
    </row>
    <row r="17" spans="2:26">
      <c r="B17" s="407" t="s">
        <v>389</v>
      </c>
      <c r="D17">
        <f>SUM('Calculation FKS PoV'!D86:D87)</f>
        <v>0</v>
      </c>
      <c r="E17">
        <f>SUM('Calculation FKS PoV'!E86:E87)</f>
        <v>6.1363480116763611</v>
      </c>
      <c r="F17">
        <f>SUM('Calculation FKS PoV'!F86:F87)</f>
        <v>6.3040846947446703</v>
      </c>
      <c r="G17">
        <f>SUM('Calculation FKS PoV'!G86:G87)</f>
        <v>7.5225409123349412</v>
      </c>
      <c r="H17">
        <f>SUM('Calculation FKS PoV'!H86:H87)</f>
        <v>7.7294192543203142</v>
      </c>
      <c r="I17">
        <f>SUM('Calculation FKS PoV'!I86:I87)</f>
        <v>8.6075459323732559</v>
      </c>
      <c r="J17">
        <f>SUM('Calculation FKS PoV'!J86:J87)</f>
        <v>8.8442235372474318</v>
      </c>
      <c r="K17">
        <f>SUM('Calculation FKS PoV'!K86:K87)</f>
        <v>9.553092168602074</v>
      </c>
      <c r="L17">
        <f>SUM('Calculation FKS PoV'!L86:L87)</f>
        <v>9.8150400122075503</v>
      </c>
      <c r="M17">
        <f>SUM('Calculation FKS PoV'!M86:M87)</f>
        <v>10.607864461857684</v>
      </c>
      <c r="N17">
        <f>SUM('Calculation FKS PoV'!N86:N87)</f>
        <v>10.897970732009572</v>
      </c>
    </row>
    <row r="18" spans="2:26">
      <c r="B18" s="2" t="s">
        <v>409</v>
      </c>
      <c r="C18" s="2"/>
      <c r="D18" s="2" t="e">
        <f>SUM(D19,D20,D25,D27)</f>
        <v>#REF!</v>
      </c>
      <c r="E18" s="2" t="e">
        <f t="shared" ref="E18:N18" si="1">SUM(E19,E20,E25,E27)</f>
        <v>#REF!</v>
      </c>
      <c r="F18" s="2" t="e">
        <f t="shared" si="1"/>
        <v>#REF!</v>
      </c>
      <c r="G18" s="308" t="e">
        <f t="shared" si="1"/>
        <v>#REF!</v>
      </c>
      <c r="H18" s="2" t="e">
        <f t="shared" si="1"/>
        <v>#REF!</v>
      </c>
      <c r="I18" s="2" t="e">
        <f t="shared" si="1"/>
        <v>#REF!</v>
      </c>
      <c r="J18" s="2" t="e">
        <f t="shared" si="1"/>
        <v>#REF!</v>
      </c>
      <c r="K18" s="2" t="e">
        <f t="shared" si="1"/>
        <v>#REF!</v>
      </c>
      <c r="L18" s="2" t="e">
        <f t="shared" si="1"/>
        <v>#REF!</v>
      </c>
      <c r="M18" s="2" t="e">
        <f t="shared" si="1"/>
        <v>#REF!</v>
      </c>
      <c r="N18" s="2" t="e">
        <f t="shared" si="1"/>
        <v>#REF!</v>
      </c>
      <c r="P18" t="e">
        <f t="shared" ref="P18:Z18" si="2">SUM(E19,E20,E25,E27)</f>
        <v>#REF!</v>
      </c>
      <c r="Q18" t="e">
        <f t="shared" si="2"/>
        <v>#REF!</v>
      </c>
      <c r="R18" t="e">
        <f t="shared" si="2"/>
        <v>#REF!</v>
      </c>
      <c r="S18" t="e">
        <f t="shared" si="2"/>
        <v>#REF!</v>
      </c>
      <c r="T18" t="e">
        <f t="shared" si="2"/>
        <v>#REF!</v>
      </c>
      <c r="U18" t="e">
        <f t="shared" si="2"/>
        <v>#REF!</v>
      </c>
      <c r="V18" t="e">
        <f t="shared" si="2"/>
        <v>#REF!</v>
      </c>
      <c r="W18" t="e">
        <f t="shared" si="2"/>
        <v>#REF!</v>
      </c>
      <c r="X18" t="e">
        <f t="shared" si="2"/>
        <v>#REF!</v>
      </c>
      <c r="Y18" t="e">
        <f t="shared" si="2"/>
        <v>#REF!</v>
      </c>
      <c r="Z18">
        <f t="shared" si="2"/>
        <v>0</v>
      </c>
    </row>
    <row r="19" spans="2:26">
      <c r="B19" s="407" t="s">
        <v>410</v>
      </c>
      <c r="D19">
        <f>'Calculation FKS PoV'!D88</f>
        <v>0</v>
      </c>
      <c r="E19">
        <f>'Calculation FKS PoV'!E88</f>
        <v>0</v>
      </c>
      <c r="F19">
        <f>'Calculation FKS PoV'!F88</f>
        <v>0</v>
      </c>
      <c r="G19" s="1">
        <f>'Calculation FKS PoV'!G88</f>
        <v>1.303997098063326</v>
      </c>
      <c r="H19">
        <f>'Calculation FKS PoV'!H88</f>
        <v>1.3431170110052257</v>
      </c>
      <c r="I19">
        <f>'Calculation FKS PoV'!I88</f>
        <v>1.3834105213353829</v>
      </c>
      <c r="J19">
        <f>'Calculation FKS PoV'!J88</f>
        <v>1.424912836975444</v>
      </c>
      <c r="K19">
        <f>'Calculation FKS PoV'!K88</f>
        <v>1.4676602220847077</v>
      </c>
      <c r="L19">
        <f>'Calculation FKS PoV'!L88</f>
        <v>1.511690028747249</v>
      </c>
      <c r="M19">
        <f>'Calculation FKS PoV'!M88</f>
        <v>1.5570407296096667</v>
      </c>
      <c r="N19">
        <f>'Calculation FKS PoV'!N88</f>
        <v>1.6037519514979561</v>
      </c>
    </row>
    <row r="20" spans="2:26">
      <c r="B20" s="407" t="s">
        <v>411</v>
      </c>
      <c r="D20">
        <f>SUM(D21:D22,D24)</f>
        <v>0</v>
      </c>
      <c r="E20">
        <f>'Calculation FKS PoV'!E89+'Calculation FKS PoV'!E95</f>
        <v>0</v>
      </c>
      <c r="F20" s="1">
        <f>'Calculation FKS PoV'!F89+'Calculation FKS PoV'!F95</f>
        <v>3.5855009560337159</v>
      </c>
      <c r="G20" s="1">
        <f>'Calculation FKS PoV'!G89+'Calculation FKS PoV'!G95</f>
        <v>3.9135146354721466</v>
      </c>
      <c r="H20">
        <f>'Calculation FKS PoV'!H89+'Calculation FKS PoV'!H95</f>
        <v>4.0725461969789167</v>
      </c>
      <c r="I20">
        <f>'Calculation FKS PoV'!I89+'Calculation FKS PoV'!I95</f>
        <v>4.2144862045312168</v>
      </c>
      <c r="J20">
        <f>'Calculation FKS PoV'!J89+'Calculation FKS PoV'!J95</f>
        <v>4.3602061353038382</v>
      </c>
      <c r="K20">
        <f>'Calculation FKS PoV'!K89+'Calculation FKS PoV'!K95</f>
        <v>4.5098353624006986</v>
      </c>
      <c r="L20">
        <f>'Calculation FKS PoV'!L89+'Calculation FKS PoV'!L95</f>
        <v>4.6622936938231199</v>
      </c>
      <c r="M20">
        <f>'Calculation FKS PoV'!M89+'Calculation FKS PoV'!M95</f>
        <v>4.8187424210814438</v>
      </c>
      <c r="N20">
        <f>'Calculation FKS PoV'!N89+'Calculation FKS PoV'!N95</f>
        <v>4.9793045366691011</v>
      </c>
    </row>
    <row r="21" spans="2:26">
      <c r="B21" s="430" t="s">
        <v>186</v>
      </c>
      <c r="F21">
        <f>Calculation_FSL!L1420/USD_IDR*Thousands</f>
        <v>1.7552613855741559</v>
      </c>
      <c r="G21" s="1">
        <f>Calculation_FSL!M1420/USD_IDR*Thousands</f>
        <v>1.8079192271413806</v>
      </c>
      <c r="H21">
        <f>Calculation_FSL!N1420/USD_IDR*Thousands</f>
        <v>1.8621568039556224</v>
      </c>
      <c r="I21">
        <f>Calculation_FSL!O1420/USD_IDR*Thousands</f>
        <v>1.9180215080742908</v>
      </c>
      <c r="J21">
        <f>Calculation_FSL!P1420/USD_IDR*Thousands</f>
        <v>1.9755621533165197</v>
      </c>
      <c r="K21">
        <f>Calculation_FSL!Q1420/USD_IDR*Thousands</f>
        <v>2.0348290179160156</v>
      </c>
      <c r="L21">
        <f>Calculation_FSL!R1420/USD_IDR*Thousands</f>
        <v>2.0958738884534953</v>
      </c>
      <c r="M21">
        <f>Calculation_FSL!S1420/USD_IDR*Thousands</f>
        <v>2.1587501051071007</v>
      </c>
      <c r="N21">
        <f>Calculation_FSL!T1420/USD_IDR*Thousands</f>
        <v>2.2235126082603136</v>
      </c>
    </row>
    <row r="22" spans="2:26">
      <c r="B22" s="430" t="s">
        <v>389</v>
      </c>
      <c r="F22">
        <f>Calculation_FSL!L1431/USD_IDR*Thousands</f>
        <v>1.4917959843843764</v>
      </c>
      <c r="G22" s="1">
        <f>Calculation_FSL!M1431/USD_IDR*Thousands</f>
        <v>1.5365498639159083</v>
      </c>
      <c r="H22">
        <f>Calculation_FSL!N1431/USD_IDR*Thousands</f>
        <v>1.5826463598333851</v>
      </c>
      <c r="I22">
        <f>Calculation_FSL!O1431/USD_IDR*Thousands</f>
        <v>1.630125750628387</v>
      </c>
      <c r="J22">
        <f>Calculation_FSL!P1431/USD_IDR*Thousands</f>
        <v>1.6790295231472383</v>
      </c>
      <c r="K22">
        <f>Calculation_FSL!Q1431/USD_IDR*Thousands</f>
        <v>1.7294004088416557</v>
      </c>
      <c r="L22">
        <f>Calculation_FSL!R1431/USD_IDR*Thousands</f>
        <v>1.7812824211069054</v>
      </c>
      <c r="M22">
        <f>Calculation_FSL!S1431/USD_IDR*Thousands</f>
        <v>1.8347208937401129</v>
      </c>
      <c r="N22">
        <f>Calculation_FSL!T1431/USD_IDR*Thousands</f>
        <v>1.8897625205523163</v>
      </c>
    </row>
    <row r="23" spans="2:26">
      <c r="B23" s="430" t="s">
        <v>390</v>
      </c>
      <c r="E23" s="1"/>
      <c r="F23" s="1">
        <f>Calculation_FSL!L1441/USD_IDR*Thousands</f>
        <v>0.33844358607518288</v>
      </c>
      <c r="G23" s="1">
        <f>Calculation_FSL!M1441/USD_IDR*Thousands</f>
        <v>0.43366770424597845</v>
      </c>
      <c r="H23" s="1">
        <f>Calculation_FSL!N1441/USD_IDR*Thousands</f>
        <v>0.46539331370283654</v>
      </c>
      <c r="I23" s="1">
        <f>Calculation_FSL!O1441/USD_IDR*Thousands</f>
        <v>0.49743266036398648</v>
      </c>
      <c r="J23" s="1">
        <f>Calculation_FSL!P1441/USD_IDR*Thousands</f>
        <v>0.52979515634555663</v>
      </c>
      <c r="K23" s="1">
        <f>Calculation_FSL!Q1441/USD_IDR*Thousands</f>
        <v>0.56249049612715996</v>
      </c>
      <c r="L23" s="1">
        <f>Calculation_FSL!R1441/USD_IDR*Thousands</f>
        <v>0.59552866502279744</v>
      </c>
      <c r="M23" s="1">
        <f>Calculation_FSL!S1441/USD_IDR*Thousands</f>
        <v>0.62891994790589001</v>
      </c>
      <c r="N23" s="1">
        <f>Calculation_FSL!T1441/USD_IDR*Thousands</f>
        <v>0.66267493819606116</v>
      </c>
    </row>
    <row r="24" spans="2:26">
      <c r="B24" s="430" t="s">
        <v>412</v>
      </c>
      <c r="E24" s="1"/>
      <c r="F24" s="1">
        <f>'Calculation FKS PoV'!F95</f>
        <v>0</v>
      </c>
      <c r="G24" s="1">
        <f>'Calculation FKS PoV'!G95</f>
        <v>0.13537784016887947</v>
      </c>
      <c r="H24" s="1">
        <f>'Calculation FKS PoV'!H95</f>
        <v>0.16234971948707219</v>
      </c>
      <c r="I24" s="1">
        <f>'Calculation FKS PoV'!I95</f>
        <v>0.16890628546455247</v>
      </c>
      <c r="J24" s="1">
        <f>'Calculation FKS PoV'!J95</f>
        <v>0.17581930249452041</v>
      </c>
      <c r="K24" s="1">
        <f>'Calculation FKS PoV'!K95</f>
        <v>0.18311543951586698</v>
      </c>
      <c r="L24" s="1">
        <f>'Calculation FKS PoV'!L95</f>
        <v>0.18960871923992273</v>
      </c>
      <c r="M24" s="1">
        <f>'Calculation FKS PoV'!M95</f>
        <v>0.19635147432834085</v>
      </c>
      <c r="N24" s="1">
        <f>'Calculation FKS PoV'!N95</f>
        <v>0.20335446966041054</v>
      </c>
    </row>
    <row r="25" spans="2:26">
      <c r="B25" s="407" t="s">
        <v>390</v>
      </c>
      <c r="E25">
        <f>'Calculation FKS PoV'!E79</f>
        <v>0.70065056639623902</v>
      </c>
      <c r="F25">
        <f>'Calculation FKS PoV'!F79</f>
        <v>1.371485619628446</v>
      </c>
      <c r="G25" s="1">
        <f>'Calculation FKS PoV'!G79</f>
        <v>1.9000393241258571</v>
      </c>
      <c r="H25">
        <f>'Calculation FKS PoV'!H79</f>
        <v>2.1447133039400459</v>
      </c>
      <c r="I25">
        <f>'Calculation FKS PoV'!I79</f>
        <v>2.4042230975447283</v>
      </c>
      <c r="J25">
        <f>'Calculation FKS PoV'!J79</f>
        <v>2.6793543156848929</v>
      </c>
      <c r="K25">
        <f>'Calculation FKS PoV'!K79</f>
        <v>2.9709334112509884</v>
      </c>
      <c r="L25">
        <f>'Calculation FKS PoV'!L79</f>
        <v>3.2798298528040317</v>
      </c>
      <c r="M25">
        <f>'Calculation FKS PoV'!M79</f>
        <v>3.6069584179374536</v>
      </c>
      <c r="N25">
        <f>'Calculation FKS PoV'!N79</f>
        <v>3.9532816133030804</v>
      </c>
    </row>
    <row r="26" spans="2:26">
      <c r="B26" s="430" t="s">
        <v>413</v>
      </c>
      <c r="D26">
        <f>SUM(D25,D23)</f>
        <v>0</v>
      </c>
      <c r="E26">
        <f t="shared" ref="E26:N26" si="3">SUM(E25,E23)</f>
        <v>0.70065056639623902</v>
      </c>
      <c r="F26">
        <f t="shared" si="3"/>
        <v>1.7099292057036288</v>
      </c>
      <c r="G26" s="1">
        <f t="shared" si="3"/>
        <v>2.3337070283718355</v>
      </c>
      <c r="H26">
        <f t="shared" si="3"/>
        <v>2.6101066176428827</v>
      </c>
      <c r="I26">
        <f t="shared" si="3"/>
        <v>2.9016557579087148</v>
      </c>
      <c r="J26">
        <f t="shared" si="3"/>
        <v>3.2091494720304494</v>
      </c>
      <c r="K26">
        <f t="shared" si="3"/>
        <v>3.5334239073781486</v>
      </c>
      <c r="L26">
        <f t="shared" si="3"/>
        <v>3.8753585178268293</v>
      </c>
      <c r="M26">
        <f t="shared" si="3"/>
        <v>4.2358783658433437</v>
      </c>
      <c r="N26">
        <f t="shared" si="3"/>
        <v>4.6159565514991412</v>
      </c>
    </row>
    <row r="27" spans="2:26">
      <c r="B27" s="407" t="s">
        <v>297</v>
      </c>
      <c r="D27" t="e">
        <f>'Calculation FKS PoV'!#REF!</f>
        <v>#REF!</v>
      </c>
      <c r="E27" t="e">
        <f>'Calculation FKS PoV'!#REF!</f>
        <v>#REF!</v>
      </c>
      <c r="F27" t="e">
        <f>'Calculation FKS PoV'!#REF!</f>
        <v>#REF!</v>
      </c>
      <c r="G27" t="e">
        <f>'Calculation FKS PoV'!#REF!</f>
        <v>#REF!</v>
      </c>
      <c r="H27" t="e">
        <f>'Calculation FKS PoV'!#REF!</f>
        <v>#REF!</v>
      </c>
      <c r="I27" t="e">
        <f>'Calculation FKS PoV'!#REF!</f>
        <v>#REF!</v>
      </c>
      <c r="J27" t="e">
        <f>'Calculation FKS PoV'!#REF!</f>
        <v>#REF!</v>
      </c>
      <c r="K27" t="e">
        <f>'Calculation FKS PoV'!#REF!</f>
        <v>#REF!</v>
      </c>
      <c r="L27" t="e">
        <f>'Calculation FKS PoV'!#REF!</f>
        <v>#REF!</v>
      </c>
      <c r="M27" t="e">
        <f>'Calculation FKS PoV'!#REF!</f>
        <v>#REF!</v>
      </c>
      <c r="N27" t="e">
        <f>'Calculation FKS PoV'!#REF!</f>
        <v>#REF!</v>
      </c>
    </row>
    <row r="28" spans="2:26">
      <c r="B28" s="407" t="s">
        <v>299</v>
      </c>
      <c r="D28">
        <f>'Calculation FKS PoV'!D100</f>
        <v>0</v>
      </c>
      <c r="E28">
        <f>'Calculation FKS PoV'!E100</f>
        <v>0</v>
      </c>
      <c r="F28">
        <f>'Calculation FKS PoV'!F100</f>
        <v>0</v>
      </c>
      <c r="G28">
        <f>'Calculation FKS PoV'!G100</f>
        <v>0.81148478327697504</v>
      </c>
      <c r="H28">
        <f>'Calculation FKS PoV'!H100</f>
        <v>0.81148478327697504</v>
      </c>
      <c r="I28">
        <f>'Calculation FKS PoV'!I100</f>
        <v>0.81148478327697504</v>
      </c>
      <c r="J28">
        <f>'Calculation FKS PoV'!J100</f>
        <v>0.81148478327697504</v>
      </c>
      <c r="K28">
        <f>'Calculation FKS PoV'!K100</f>
        <v>0.81148478327697504</v>
      </c>
      <c r="L28">
        <f>'Calculation FKS PoV'!L100</f>
        <v>0.81148478327697504</v>
      </c>
      <c r="M28">
        <f>'Calculation FKS PoV'!M100</f>
        <v>0.81148478327697504</v>
      </c>
      <c r="N28">
        <f>'Calculation FKS PoV'!N100</f>
        <v>0.81148478327697504</v>
      </c>
    </row>
    <row r="29" spans="2:26">
      <c r="B29" s="28" t="s">
        <v>53</v>
      </c>
      <c r="C29" s="28"/>
      <c r="D29" s="28" t="e">
        <f>SUM(D16:D17,D18,D28)</f>
        <v>#REF!</v>
      </c>
      <c r="E29" s="28" t="e">
        <f t="shared" ref="E29:N29" si="4">SUM(E16:E17,E18,E28)</f>
        <v>#REF!</v>
      </c>
      <c r="F29" s="28" t="e">
        <f t="shared" si="4"/>
        <v>#REF!</v>
      </c>
      <c r="G29" s="28" t="e">
        <f t="shared" si="4"/>
        <v>#REF!</v>
      </c>
      <c r="H29" s="28" t="e">
        <f t="shared" si="4"/>
        <v>#REF!</v>
      </c>
      <c r="I29" s="28" t="e">
        <f t="shared" si="4"/>
        <v>#REF!</v>
      </c>
      <c r="J29" s="28" t="e">
        <f t="shared" si="4"/>
        <v>#REF!</v>
      </c>
      <c r="K29" s="28" t="e">
        <f t="shared" si="4"/>
        <v>#REF!</v>
      </c>
      <c r="L29" s="28" t="e">
        <f t="shared" si="4"/>
        <v>#REF!</v>
      </c>
      <c r="M29" s="28" t="e">
        <f t="shared" si="4"/>
        <v>#REF!</v>
      </c>
      <c r="N29" s="28" t="e">
        <f t="shared" si="4"/>
        <v>#REF!</v>
      </c>
    </row>
    <row r="30" spans="2:26">
      <c r="F30">
        <f>SUM(F23,F25)</f>
        <v>1.7099292057036288</v>
      </c>
      <c r="G30">
        <f>SUM(G23,G25)</f>
        <v>2.3337070283718355</v>
      </c>
      <c r="H30">
        <f t="shared" ref="H30:N30" si="5">SUM(H23,H25)</f>
        <v>2.6101066176428827</v>
      </c>
      <c r="I30">
        <f t="shared" si="5"/>
        <v>2.9016557579087148</v>
      </c>
      <c r="J30">
        <f t="shared" si="5"/>
        <v>3.2091494720304494</v>
      </c>
      <c r="K30">
        <f t="shared" si="5"/>
        <v>3.5334239073781486</v>
      </c>
      <c r="L30">
        <f t="shared" si="5"/>
        <v>3.8753585178268293</v>
      </c>
      <c r="M30">
        <f t="shared" si="5"/>
        <v>4.2358783658433437</v>
      </c>
      <c r="N30">
        <f t="shared" si="5"/>
        <v>4.6159565514991412</v>
      </c>
    </row>
    <row r="33" spans="2:6">
      <c r="D33" s="10">
        <v>2024</v>
      </c>
      <c r="E33" s="10">
        <v>2028</v>
      </c>
      <c r="F33" s="10">
        <v>2034</v>
      </c>
    </row>
    <row r="34" spans="2:6">
      <c r="B34" s="407" t="s">
        <v>408</v>
      </c>
      <c r="D34">
        <f>D16</f>
        <v>8.7974097902804971</v>
      </c>
      <c r="E34">
        <f>H16</f>
        <v>11.033598544877727</v>
      </c>
      <c r="F34">
        <f>N16</f>
        <v>15.076321952908268</v>
      </c>
    </row>
    <row r="35" spans="2:6">
      <c r="B35" s="407" t="s">
        <v>414</v>
      </c>
      <c r="D35">
        <f>D17</f>
        <v>0</v>
      </c>
      <c r="E35">
        <f>H17</f>
        <v>7.7294192543203142</v>
      </c>
      <c r="F35">
        <f>N17</f>
        <v>10.897970732009572</v>
      </c>
    </row>
    <row r="36" spans="2:6">
      <c r="B36" t="str">
        <f>B18</f>
        <v>Opeartorship with SOEs</v>
      </c>
      <c r="D36" t="e">
        <f>D18</f>
        <v>#REF!</v>
      </c>
      <c r="E36" t="e">
        <f>H18</f>
        <v>#REF!</v>
      </c>
      <c r="F36" t="e">
        <f>N18</f>
        <v>#REF!</v>
      </c>
    </row>
    <row r="37" spans="2:6">
      <c r="B37" t="str">
        <f>B28</f>
        <v>TBM</v>
      </c>
      <c r="D37">
        <f>D28</f>
        <v>0</v>
      </c>
      <c r="E37">
        <f>H28</f>
        <v>0.81148478327697504</v>
      </c>
      <c r="F37">
        <f>N28</f>
        <v>0.81148478327697504</v>
      </c>
    </row>
    <row r="38" spans="2:6">
      <c r="B38" s="407" t="s">
        <v>53</v>
      </c>
      <c r="D38" t="e">
        <f>SUM(D34:D37)</f>
        <v>#REF!</v>
      </c>
      <c r="E38" t="e">
        <f>SUM(E34:E37)</f>
        <v>#REF!</v>
      </c>
      <c r="F38" t="e">
        <f>SUM(F34:F37)</f>
        <v>#REF!</v>
      </c>
    </row>
    <row r="44" spans="2:6">
      <c r="B44" t="s">
        <v>415</v>
      </c>
      <c r="D44">
        <v>240</v>
      </c>
    </row>
    <row r="45" spans="2:6">
      <c r="B45" t="s">
        <v>416</v>
      </c>
      <c r="D45" s="311">
        <v>-55</v>
      </c>
    </row>
    <row r="46" spans="2:6">
      <c r="B46" t="s">
        <v>417</v>
      </c>
      <c r="D46" s="311">
        <v>-55</v>
      </c>
    </row>
    <row r="47" spans="2:6">
      <c r="B47" t="s">
        <v>418</v>
      </c>
      <c r="D47" s="311">
        <v>130</v>
      </c>
    </row>
    <row r="50" spans="2:4">
      <c r="B50" t="s">
        <v>418</v>
      </c>
      <c r="D50" s="311">
        <v>130</v>
      </c>
    </row>
    <row r="51" spans="2:4">
      <c r="B51" t="s">
        <v>419</v>
      </c>
      <c r="D51" s="311">
        <v>55</v>
      </c>
    </row>
    <row r="52" spans="2:4">
      <c r="B52" t="s">
        <v>420</v>
      </c>
      <c r="D52" s="311">
        <v>55</v>
      </c>
    </row>
    <row r="53" spans="2:4">
      <c r="B53" t="s">
        <v>415</v>
      </c>
      <c r="D53">
        <f>SUM(D50:D52)</f>
        <v>240</v>
      </c>
    </row>
  </sheetData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79F5A-7736-49C7-A140-9DBCDAD7D9A9}">
  <dimension ref="A1:AI55"/>
  <sheetViews>
    <sheetView showGridLines="0" topLeftCell="A18" zoomScale="74" workbookViewId="0">
      <selection activeCell="P21" sqref="O21:U50"/>
    </sheetView>
  </sheetViews>
  <sheetFormatPr defaultColWidth="0" defaultRowHeight="15" customHeight="1" outlineLevelCol="1"/>
  <cols>
    <col min="1" max="2" width="8.7109375" customWidth="1" outlineLevel="1"/>
    <col min="3" max="12" width="8.7109375" style="1" customWidth="1" outlineLevel="1"/>
    <col min="13" max="15" width="8.7109375" customWidth="1"/>
    <col min="16" max="16" width="30.85546875" bestFit="1" customWidth="1"/>
    <col min="17" max="17" width="17.42578125" bestFit="1" customWidth="1"/>
    <col min="18" max="18" width="11.140625" bestFit="1" customWidth="1"/>
    <col min="19" max="19" width="10.140625" bestFit="1" customWidth="1"/>
    <col min="20" max="29" width="8.7109375" customWidth="1"/>
    <col min="30" max="35" width="0" hidden="1" customWidth="1"/>
    <col min="36" max="16384" width="8.7109375" hidden="1"/>
  </cols>
  <sheetData>
    <row r="1" spans="1:34" ht="24" thickBot="1">
      <c r="A1" s="407" t="s">
        <v>176</v>
      </c>
      <c r="O1" s="261"/>
    </row>
    <row r="2" spans="1:34">
      <c r="B2" s="407" t="s">
        <v>421</v>
      </c>
      <c r="P2" s="2" t="s">
        <v>421</v>
      </c>
    </row>
    <row r="3" spans="1:34">
      <c r="C3" s="1">
        <v>2025</v>
      </c>
      <c r="D3" s="1">
        <f>C3+1</f>
        <v>2026</v>
      </c>
      <c r="E3" s="1">
        <f t="shared" ref="E3:L3" si="0">D3+1</f>
        <v>2027</v>
      </c>
      <c r="F3" s="1">
        <f t="shared" si="0"/>
        <v>2028</v>
      </c>
      <c r="G3" s="1">
        <f t="shared" si="0"/>
        <v>2029</v>
      </c>
      <c r="H3" s="1">
        <f t="shared" si="0"/>
        <v>2030</v>
      </c>
      <c r="I3" s="1">
        <f t="shared" si="0"/>
        <v>2031</v>
      </c>
      <c r="J3" s="1">
        <f t="shared" si="0"/>
        <v>2032</v>
      </c>
      <c r="K3" s="1">
        <f t="shared" si="0"/>
        <v>2033</v>
      </c>
      <c r="L3" s="1">
        <f t="shared" si="0"/>
        <v>2034</v>
      </c>
      <c r="O3" s="508" t="s">
        <v>422</v>
      </c>
      <c r="P3" s="509"/>
      <c r="Q3" s="9">
        <v>2025</v>
      </c>
      <c r="R3" s="9">
        <f>Q3+1</f>
        <v>2026</v>
      </c>
      <c r="S3" s="9">
        <f t="shared" ref="S3:Z3" si="1">R3+1</f>
        <v>2027</v>
      </c>
      <c r="T3" s="9">
        <f t="shared" si="1"/>
        <v>2028</v>
      </c>
      <c r="U3" s="9">
        <f t="shared" si="1"/>
        <v>2029</v>
      </c>
      <c r="V3" s="9">
        <f t="shared" si="1"/>
        <v>2030</v>
      </c>
      <c r="W3" s="9">
        <f t="shared" si="1"/>
        <v>2031</v>
      </c>
      <c r="X3" s="9">
        <f t="shared" si="1"/>
        <v>2032</v>
      </c>
      <c r="Y3" s="9">
        <f t="shared" si="1"/>
        <v>2033</v>
      </c>
      <c r="Z3" s="9">
        <f t="shared" si="1"/>
        <v>2034</v>
      </c>
    </row>
    <row r="4" spans="1:34">
      <c r="A4" s="407" t="s">
        <v>9</v>
      </c>
      <c r="B4" s="429" t="s">
        <v>394</v>
      </c>
      <c r="C4" s="263">
        <f>'SOE PoV Impact (IDR)'!E5/USD_IDR*Thousands</f>
        <v>7.6836481163135568</v>
      </c>
      <c r="D4" s="263">
        <f>'SOE PoV Impact (IDR)'!F5/USD_IDR*Thousands</f>
        <v>7.9141575598029625</v>
      </c>
      <c r="E4" s="263">
        <f>'SOE PoV Impact (IDR)'!G5/USD_IDR*Thousands</f>
        <v>8.1515822865970531</v>
      </c>
      <c r="F4" s="263">
        <f>'SOE PoV Impact (IDR)'!H5/USD_IDR*Thousands</f>
        <v>8.3961297551949645</v>
      </c>
      <c r="G4" s="263">
        <f>'SOE PoV Impact (IDR)'!I5/USD_IDR*Thousands</f>
        <v>8.6480136478508118</v>
      </c>
      <c r="H4" s="263">
        <f>'SOE PoV Impact (IDR)'!J5/USD_IDR*Thousands</f>
        <v>8.9074540572863388</v>
      </c>
      <c r="I4" s="263">
        <f>'SOE PoV Impact (IDR)'!K5/USD_IDR*Thousands</f>
        <v>9.1746776790049278</v>
      </c>
      <c r="J4" s="263">
        <f>'SOE PoV Impact (IDR)'!L5/USD_IDR*Thousands</f>
        <v>9.4499180093750752</v>
      </c>
      <c r="K4" s="263">
        <f>'SOE PoV Impact (IDR)'!M5/USD_IDR*Thousands</f>
        <v>9.7334155496563284</v>
      </c>
      <c r="L4" s="263">
        <f>'SOE PoV Impact (IDR)'!N5/USD_IDR*Thousands</f>
        <v>10.025418016146018</v>
      </c>
      <c r="O4" s="506" t="s">
        <v>9</v>
      </c>
      <c r="P4" s="315" t="s">
        <v>423</v>
      </c>
      <c r="Q4" s="316">
        <f>C4</f>
        <v>7.6836481163135568</v>
      </c>
      <c r="R4" s="316">
        <f t="shared" ref="R4:Z4" si="2">D4</f>
        <v>7.9141575598029625</v>
      </c>
      <c r="S4" s="316">
        <f t="shared" si="2"/>
        <v>8.1515822865970531</v>
      </c>
      <c r="T4" s="316">
        <f t="shared" si="2"/>
        <v>8.3961297551949645</v>
      </c>
      <c r="U4" s="316">
        <f t="shared" si="2"/>
        <v>8.6480136478508118</v>
      </c>
      <c r="V4" s="316">
        <f t="shared" si="2"/>
        <v>8.9074540572863388</v>
      </c>
      <c r="W4" s="316">
        <f t="shared" si="2"/>
        <v>9.1746776790049278</v>
      </c>
      <c r="X4" s="316">
        <f t="shared" si="2"/>
        <v>9.4499180093750752</v>
      </c>
      <c r="Y4" s="316">
        <f t="shared" si="2"/>
        <v>9.7334155496563284</v>
      </c>
      <c r="Z4" s="316">
        <f t="shared" si="2"/>
        <v>10.025418016146018</v>
      </c>
    </row>
    <row r="5" spans="1:34">
      <c r="B5" s="429" t="s">
        <v>424</v>
      </c>
      <c r="C5" s="263"/>
      <c r="D5" s="263">
        <f>'SOE PoV Impact (IDR)'!F15/USD_IDR*Thousands</f>
        <v>4.4448645728625529</v>
      </c>
      <c r="E5" s="263">
        <f>'SOE PoV Impact (IDR)'!G15/USD_IDR*Thousands</f>
        <v>8.0672011129380703</v>
      </c>
      <c r="F5" s="263">
        <f>'SOE PoV Impact (IDR)'!H15/USD_IDR*Thousands</f>
        <v>8.3092171463262119</v>
      </c>
      <c r="G5" s="263">
        <f>'SOE PoV Impact (IDR)'!I15/USD_IDR*Thousands</f>
        <v>8.5584936607159978</v>
      </c>
      <c r="H5" s="263">
        <f>'SOE PoV Impact (IDR)'!J15/USD_IDR*Thousands</f>
        <v>8.8152484705374796</v>
      </c>
      <c r="I5" s="263">
        <f>'SOE PoV Impact (IDR)'!K15/USD_IDR*Thousands</f>
        <v>9.079705924653604</v>
      </c>
      <c r="J5" s="263">
        <f>'SOE PoV Impact (IDR)'!L15/USD_IDR*Thousands</f>
        <v>9.3520971023932109</v>
      </c>
      <c r="K5" s="263">
        <f>'SOE PoV Impact (IDR)'!M15/USD_IDR*Thousands</f>
        <v>9.6326600154650102</v>
      </c>
      <c r="L5" s="263">
        <f>'SOE PoV Impact (IDR)'!N15/USD_IDR*Thousands</f>
        <v>9.9216398159289607</v>
      </c>
      <c r="O5" s="506"/>
      <c r="P5" s="318" t="s">
        <v>425</v>
      </c>
      <c r="Q5" s="319">
        <f>C6</f>
        <v>0</v>
      </c>
      <c r="R5" s="319">
        <f t="shared" ref="R5:Z5" si="3">D6</f>
        <v>-3.4692929869404097</v>
      </c>
      <c r="S5" s="319">
        <f t="shared" si="3"/>
        <v>-8.4381173658982789E-2</v>
      </c>
      <c r="T5" s="319">
        <f t="shared" si="3"/>
        <v>-8.6912608868752628E-2</v>
      </c>
      <c r="U5" s="319">
        <f t="shared" si="3"/>
        <v>-8.9519987134814016E-2</v>
      </c>
      <c r="V5" s="319">
        <f t="shared" si="3"/>
        <v>-9.2205586748859147E-2</v>
      </c>
      <c r="W5" s="319">
        <f t="shared" si="3"/>
        <v>-9.4971754351323767E-2</v>
      </c>
      <c r="X5" s="319">
        <f t="shared" si="3"/>
        <v>-9.7820906981864297E-2</v>
      </c>
      <c r="Y5" s="319">
        <f t="shared" si="3"/>
        <v>-0.10075553419131822</v>
      </c>
      <c r="Z5" s="319">
        <f t="shared" si="3"/>
        <v>-0.1037782002170573</v>
      </c>
      <c r="AD5" s="319">
        <f>M6</f>
        <v>0</v>
      </c>
    </row>
    <row r="6" spans="1:34">
      <c r="A6" s="407" t="s">
        <v>426</v>
      </c>
      <c r="B6" s="429"/>
      <c r="C6" s="263"/>
      <c r="D6" s="263">
        <f>D5-D4</f>
        <v>-3.4692929869404097</v>
      </c>
      <c r="E6" s="263">
        <f t="shared" ref="E6:L6" si="4">E5-E4</f>
        <v>-8.4381173658982789E-2</v>
      </c>
      <c r="F6" s="263">
        <f t="shared" si="4"/>
        <v>-8.6912608868752628E-2</v>
      </c>
      <c r="G6" s="263">
        <f t="shared" si="4"/>
        <v>-8.9519987134814016E-2</v>
      </c>
      <c r="H6" s="263">
        <f t="shared" si="4"/>
        <v>-9.2205586748859147E-2</v>
      </c>
      <c r="I6" s="263">
        <f t="shared" si="4"/>
        <v>-9.4971754351323767E-2</v>
      </c>
      <c r="J6" s="263">
        <f t="shared" si="4"/>
        <v>-9.7820906981864297E-2</v>
      </c>
      <c r="K6" s="263">
        <f t="shared" si="4"/>
        <v>-0.10075553419131822</v>
      </c>
      <c r="L6" s="263">
        <f t="shared" si="4"/>
        <v>-0.1037782002170573</v>
      </c>
      <c r="O6" s="507"/>
      <c r="P6" s="431" t="s">
        <v>427</v>
      </c>
      <c r="Q6" s="432">
        <f>Q4+Q5</f>
        <v>7.6836481163135568</v>
      </c>
      <c r="R6" s="432">
        <f t="shared" ref="R6:Z6" si="5">R4+R5</f>
        <v>4.4448645728625529</v>
      </c>
      <c r="S6" s="432">
        <f t="shared" si="5"/>
        <v>8.0672011129380703</v>
      </c>
      <c r="T6" s="432">
        <f t="shared" si="5"/>
        <v>8.3092171463262119</v>
      </c>
      <c r="U6" s="432">
        <f t="shared" si="5"/>
        <v>8.5584936607159978</v>
      </c>
      <c r="V6" s="432">
        <f t="shared" si="5"/>
        <v>8.8152484705374796</v>
      </c>
      <c r="W6" s="432">
        <f t="shared" si="5"/>
        <v>9.079705924653604</v>
      </c>
      <c r="X6" s="432">
        <f t="shared" si="5"/>
        <v>9.3520971023932109</v>
      </c>
      <c r="Y6" s="432">
        <f t="shared" si="5"/>
        <v>9.6326600154650102</v>
      </c>
      <c r="Z6" s="432">
        <f t="shared" si="5"/>
        <v>9.9216398159289607</v>
      </c>
      <c r="AA6" s="1">
        <f>U6/U4</f>
        <v>0.98964849145941602</v>
      </c>
      <c r="AB6" s="1">
        <f>Z6/Z4</f>
        <v>0.98964849145941625</v>
      </c>
    </row>
    <row r="7" spans="1:34">
      <c r="A7" s="407" t="s">
        <v>139</v>
      </c>
      <c r="B7" s="429" t="s">
        <v>394</v>
      </c>
      <c r="C7" s="263">
        <f>'SOE PoV Impact (IDR)'!E19/USD_IDR*Thousands</f>
        <v>2.598209749789905</v>
      </c>
      <c r="D7" s="263">
        <f>'SOE PoV Impact (IDR)'!F19/USD_IDR*Thousands</f>
        <v>2.6761560422836017</v>
      </c>
      <c r="E7" s="263">
        <f>'SOE PoV Impact (IDR)'!G19/USD_IDR*Thousands</f>
        <v>2.7564407235521102</v>
      </c>
      <c r="F7" s="263">
        <f>'SOE PoV Impact (IDR)'!H19/USD_IDR*Thousands</f>
        <v>2.8391339452586735</v>
      </c>
      <c r="G7" s="263">
        <f>'SOE PoV Impact (IDR)'!I19/USD_IDR*Thousands</f>
        <v>2.9243079636164331</v>
      </c>
      <c r="H7" s="263">
        <f>'SOE PoV Impact (IDR)'!J19/USD_IDR*Thousands</f>
        <v>3.0120372025249273</v>
      </c>
      <c r="I7" s="263">
        <f>'SOE PoV Impact (IDR)'!K19/USD_IDR*Thousands</f>
        <v>3.1023983186006747</v>
      </c>
      <c r="J7" s="263">
        <f>'SOE PoV Impact (IDR)'!L19/USD_IDR*Thousands</f>
        <v>3.1954702681586946</v>
      </c>
      <c r="K7" s="263">
        <f>'SOE PoV Impact (IDR)'!M19/USD_IDR*Thousands</f>
        <v>3.2913343762034564</v>
      </c>
      <c r="L7" s="263">
        <f>'SOE PoV Impact (IDR)'!N19/USD_IDR*Thousands</f>
        <v>3.3900744074895597</v>
      </c>
      <c r="M7" s="314">
        <f>L8/L5</f>
        <v>0.5290186015649242</v>
      </c>
      <c r="N7" s="314"/>
      <c r="O7" s="506" t="s">
        <v>139</v>
      </c>
      <c r="P7" s="315" t="s">
        <v>423</v>
      </c>
      <c r="Q7" s="316">
        <f>C7</f>
        <v>2.598209749789905</v>
      </c>
      <c r="R7" s="316">
        <f t="shared" ref="R7:Z7" si="6">D7</f>
        <v>2.6761560422836017</v>
      </c>
      <c r="S7" s="316">
        <f t="shared" si="6"/>
        <v>2.7564407235521102</v>
      </c>
      <c r="T7" s="316">
        <f t="shared" si="6"/>
        <v>2.8391339452586735</v>
      </c>
      <c r="U7" s="316">
        <f t="shared" si="6"/>
        <v>2.9243079636164331</v>
      </c>
      <c r="V7" s="316">
        <f t="shared" si="6"/>
        <v>3.0120372025249273</v>
      </c>
      <c r="W7" s="316">
        <f t="shared" si="6"/>
        <v>3.1023983186006747</v>
      </c>
      <c r="X7" s="316">
        <f t="shared" si="6"/>
        <v>3.1954702681586946</v>
      </c>
      <c r="Y7" s="316">
        <f t="shared" si="6"/>
        <v>3.2913343762034564</v>
      </c>
      <c r="Z7" s="316">
        <f t="shared" si="6"/>
        <v>3.3900744074895597</v>
      </c>
      <c r="AA7" s="314"/>
      <c r="AB7" s="314"/>
      <c r="AC7" s="314"/>
    </row>
    <row r="8" spans="1:34">
      <c r="B8" s="429" t="s">
        <v>424</v>
      </c>
      <c r="C8" s="263"/>
      <c r="D8" s="263">
        <f>'SOE PoV Impact (IDR)'!F24/USD_IDR*Thousands</f>
        <v>2.7511926586511031</v>
      </c>
      <c r="E8" s="466">
        <f>'SOE PoV Impact (IDR)'!G24/USD_IDR*Thousands</f>
        <v>4.2676994513094986</v>
      </c>
      <c r="F8" s="263">
        <f>'SOE PoV Impact (IDR)'!H24/USD_IDR*Thousands</f>
        <v>4.3957304348487831</v>
      </c>
      <c r="G8" s="263">
        <f>'SOE PoV Impact (IDR)'!I24/USD_IDR*Thousands</f>
        <v>4.5276023478942466</v>
      </c>
      <c r="H8" s="263">
        <f>'SOE PoV Impact (IDR)'!J24/USD_IDR*Thousands</f>
        <v>4.6634304183310755</v>
      </c>
      <c r="I8" s="263">
        <f>'SOE PoV Impact (IDR)'!K24/USD_IDR*Thousands</f>
        <v>4.8033333308810064</v>
      </c>
      <c r="J8" s="263">
        <f>'SOE PoV Impact (IDR)'!L24/USD_IDR*Thousands</f>
        <v>4.9474333308074367</v>
      </c>
      <c r="K8" s="263">
        <f>'SOE PoV Impact (IDR)'!M24/USD_IDR*Thousands</f>
        <v>5.0958563307316611</v>
      </c>
      <c r="L8" s="263">
        <f>'SOE PoV Impact (IDR)'!N24/USD_IDR*Thousands</f>
        <v>5.2487320206536108</v>
      </c>
      <c r="M8" s="314"/>
      <c r="N8" s="314"/>
      <c r="O8" s="506"/>
      <c r="P8" s="318" t="s">
        <v>425</v>
      </c>
      <c r="Q8" s="319">
        <f>C9</f>
        <v>0</v>
      </c>
      <c r="R8" s="319">
        <f t="shared" ref="R8:Z8" si="7">D9</f>
        <v>7.5036616367501363E-2</v>
      </c>
      <c r="S8" s="490">
        <f t="shared" si="7"/>
        <v>1.5112587277573883</v>
      </c>
      <c r="T8" s="319">
        <f t="shared" si="7"/>
        <v>1.5565964895901097</v>
      </c>
      <c r="U8" s="319">
        <f t="shared" si="7"/>
        <v>1.6032943842778136</v>
      </c>
      <c r="V8" s="319">
        <f t="shared" si="7"/>
        <v>1.6513932158061482</v>
      </c>
      <c r="W8" s="319">
        <f t="shared" si="7"/>
        <v>1.7009350122803317</v>
      </c>
      <c r="X8" s="319">
        <f t="shared" si="7"/>
        <v>1.7519630626487421</v>
      </c>
      <c r="Y8" s="319">
        <f t="shared" si="7"/>
        <v>1.8045219545282047</v>
      </c>
      <c r="Z8" s="319">
        <f t="shared" si="7"/>
        <v>1.8586576131640511</v>
      </c>
      <c r="AA8" s="314"/>
      <c r="AB8" s="314"/>
      <c r="AC8" s="314"/>
    </row>
    <row r="9" spans="1:34">
      <c r="A9" s="407" t="s">
        <v>428</v>
      </c>
      <c r="D9" s="1">
        <f>D8-D7</f>
        <v>7.5036616367501363E-2</v>
      </c>
      <c r="E9" s="480">
        <f t="shared" ref="E9:L9" si="8">E8-E7</f>
        <v>1.5112587277573883</v>
      </c>
      <c r="F9" s="1">
        <f t="shared" si="8"/>
        <v>1.5565964895901097</v>
      </c>
      <c r="G9" s="1">
        <f t="shared" si="8"/>
        <v>1.6032943842778136</v>
      </c>
      <c r="H9" s="1">
        <f t="shared" si="8"/>
        <v>1.6513932158061482</v>
      </c>
      <c r="I9" s="1">
        <f t="shared" si="8"/>
        <v>1.7009350122803317</v>
      </c>
      <c r="J9" s="1">
        <f t="shared" si="8"/>
        <v>1.7519630626487421</v>
      </c>
      <c r="K9" s="1">
        <f t="shared" si="8"/>
        <v>1.8045219545282047</v>
      </c>
      <c r="L9" s="1">
        <f t="shared" si="8"/>
        <v>1.8586576131640511</v>
      </c>
      <c r="O9" s="507"/>
      <c r="P9" s="431" t="s">
        <v>427</v>
      </c>
      <c r="Q9" s="432">
        <f>Q7+Q8</f>
        <v>2.598209749789905</v>
      </c>
      <c r="R9" s="432">
        <f t="shared" ref="R9:Z9" si="9">R7+R8</f>
        <v>2.7511926586511031</v>
      </c>
      <c r="S9" s="432">
        <f t="shared" si="9"/>
        <v>4.2676994513094986</v>
      </c>
      <c r="T9" s="432">
        <f t="shared" si="9"/>
        <v>4.3957304348487831</v>
      </c>
      <c r="U9" s="432">
        <f t="shared" si="9"/>
        <v>4.5276023478942466</v>
      </c>
      <c r="V9" s="432">
        <f t="shared" si="9"/>
        <v>4.6634304183310755</v>
      </c>
      <c r="W9" s="432">
        <f t="shared" si="9"/>
        <v>4.8033333308810064</v>
      </c>
      <c r="X9" s="432">
        <f t="shared" si="9"/>
        <v>4.9474333308074367</v>
      </c>
      <c r="Y9" s="432">
        <f t="shared" si="9"/>
        <v>5.0958563307316611</v>
      </c>
      <c r="Z9" s="432">
        <f t="shared" si="9"/>
        <v>5.2487320206536108</v>
      </c>
      <c r="AA9" s="1">
        <f>U9/U7</f>
        <v>1.5482645481343393</v>
      </c>
      <c r="AB9" s="1">
        <f>Z9/Z7</f>
        <v>1.5482645481343391</v>
      </c>
    </row>
    <row r="10" spans="1:34">
      <c r="O10" s="315"/>
      <c r="P10" s="315"/>
      <c r="Q10" s="315"/>
      <c r="R10" s="315">
        <f>R9/Q9</f>
        <v>1.0588801226973952</v>
      </c>
      <c r="S10" s="315"/>
      <c r="T10" s="315"/>
      <c r="U10" s="315"/>
      <c r="V10" s="315"/>
      <c r="W10" s="315"/>
      <c r="X10" s="315"/>
      <c r="Y10" s="315"/>
      <c r="Z10" s="343">
        <f>Z9/Q9</f>
        <v>2.0201340638791887</v>
      </c>
    </row>
    <row r="11" spans="1:34">
      <c r="A11" s="407" t="s">
        <v>429</v>
      </c>
      <c r="B11" s="407" t="s">
        <v>430</v>
      </c>
      <c r="O11" s="315"/>
      <c r="P11" s="433" t="s">
        <v>431</v>
      </c>
      <c r="Q11" s="315"/>
      <c r="R11" s="315"/>
      <c r="S11" s="315"/>
      <c r="T11" s="315"/>
      <c r="U11" s="315"/>
      <c r="V11" s="315"/>
      <c r="W11" s="315"/>
      <c r="X11" s="315"/>
      <c r="Y11" s="315"/>
      <c r="Z11" s="315"/>
    </row>
    <row r="12" spans="1:34">
      <c r="A12" s="407" t="s">
        <v>9</v>
      </c>
      <c r="B12" s="429" t="s">
        <v>394</v>
      </c>
      <c r="C12" s="263">
        <f>'SOE PoV Impact (IDR)'!E168/USD_IDR*Thousands</f>
        <v>30.376526618715175</v>
      </c>
      <c r="D12" s="466">
        <f>'SOE PoV Impact (IDR)'!F168/USD_IDR*Thousands</f>
        <v>31.114987999815828</v>
      </c>
      <c r="E12" s="263">
        <f>'SOE PoV Impact (IDR)'!G168/USD_IDR*Thousands</f>
        <v>31.875603222349497</v>
      </c>
      <c r="F12" s="263">
        <f>'SOE PoV Impact (IDR)'!H168/USD_IDR*Thousands</f>
        <v>32.659036901559183</v>
      </c>
      <c r="G12" s="263">
        <f>'SOE PoV Impact (IDR)'!I168/USD_IDR*Thousands</f>
        <v>33.465973591145151</v>
      </c>
      <c r="H12" s="263">
        <f>'SOE PoV Impact (IDR)'!J168/USD_IDR*Thousands</f>
        <v>34.297118381418706</v>
      </c>
      <c r="I12" s="263">
        <f>'SOE PoV Impact (IDR)'!K168/USD_IDR*Thousands</f>
        <v>35.153197515400457</v>
      </c>
      <c r="J12" s="263">
        <f>'SOE PoV Impact (IDR)'!L168/USD_IDR*Thousands</f>
        <v>36.034959023401662</v>
      </c>
      <c r="K12" s="263">
        <f>'SOE PoV Impact (IDR)'!M168/USD_IDR*Thousands</f>
        <v>36.943173376642918</v>
      </c>
      <c r="L12" s="263">
        <f>'SOE PoV Impact (IDR)'!N168/USD_IDR*Thousands</f>
        <v>37.87863416048139</v>
      </c>
      <c r="O12" s="508" t="s">
        <v>422</v>
      </c>
      <c r="P12" s="509"/>
      <c r="Q12" s="9">
        <v>2025</v>
      </c>
      <c r="R12" s="9">
        <f t="shared" ref="R12:Z12" si="10">Q12+1</f>
        <v>2026</v>
      </c>
      <c r="S12" s="9">
        <f t="shared" si="10"/>
        <v>2027</v>
      </c>
      <c r="T12" s="9">
        <f t="shared" si="10"/>
        <v>2028</v>
      </c>
      <c r="U12" s="9">
        <f t="shared" si="10"/>
        <v>2029</v>
      </c>
      <c r="V12" s="9">
        <f t="shared" si="10"/>
        <v>2030</v>
      </c>
      <c r="W12" s="9">
        <f t="shared" si="10"/>
        <v>2031</v>
      </c>
      <c r="X12" s="9">
        <f t="shared" si="10"/>
        <v>2032</v>
      </c>
      <c r="Y12" s="9">
        <f t="shared" si="10"/>
        <v>2033</v>
      </c>
      <c r="Z12" s="9">
        <f t="shared" si="10"/>
        <v>2034</v>
      </c>
    </row>
    <row r="13" spans="1:34">
      <c r="B13" s="429" t="s">
        <v>424</v>
      </c>
      <c r="C13" s="263"/>
      <c r="D13" s="263">
        <f>'SOE PoV Impact (IDR)'!F185/USD_IDR*Thousands</f>
        <v>27.1356332880666</v>
      </c>
      <c r="E13" s="263">
        <f>'SOE PoV Impact (IDR)'!G185/USD_IDR*Thousands</f>
        <v>28.316916262163769</v>
      </c>
      <c r="F13" s="263">
        <f>'SOE PoV Impact (IDR)'!H185/USD_IDR*Thousands</f>
        <v>29.170415673562452</v>
      </c>
      <c r="G13" s="263">
        <f>'SOE PoV Impact (IDR)'!I185/USD_IDR*Thousands</f>
        <v>31.107514788994802</v>
      </c>
      <c r="H13" s="263">
        <f>'SOE PoV Impact (IDR)'!J185/USD_IDR*Thousands</f>
        <v>32.256369095654463</v>
      </c>
      <c r="I13" s="263">
        <f>'SOE PoV Impact (IDR)'!K185/USD_IDR*Thousands</f>
        <v>33.994591098514647</v>
      </c>
      <c r="J13" s="263">
        <f>'SOE PoV Impact (IDR)'!L185/USD_IDR*Thousands</f>
        <v>35.090673248416891</v>
      </c>
      <c r="K13" s="263">
        <f>'SOE PoV Impact (IDR)'!M185/USD_IDR*Thousands</f>
        <v>36.807993683136758</v>
      </c>
      <c r="L13" s="263">
        <f>'SOE PoV Impact (IDR)'!N185/USD_IDR*Thousands</f>
        <v>38.009006061995898</v>
      </c>
      <c r="O13" s="506" t="s">
        <v>9</v>
      </c>
      <c r="P13" s="315" t="s">
        <v>423</v>
      </c>
      <c r="Q13" s="316">
        <f>C12</f>
        <v>30.376526618715175</v>
      </c>
      <c r="R13" s="465">
        <f t="shared" ref="R13:Z13" si="11">D12</f>
        <v>31.114987999815828</v>
      </c>
      <c r="S13" s="316">
        <f t="shared" si="11"/>
        <v>31.875603222349497</v>
      </c>
      <c r="T13" s="316">
        <f t="shared" si="11"/>
        <v>32.659036901559183</v>
      </c>
      <c r="U13" s="316">
        <f t="shared" si="11"/>
        <v>33.465973591145151</v>
      </c>
      <c r="V13" s="316">
        <f t="shared" si="11"/>
        <v>34.297118381418706</v>
      </c>
      <c r="W13" s="316">
        <f t="shared" si="11"/>
        <v>35.153197515400457</v>
      </c>
      <c r="X13" s="316">
        <f t="shared" si="11"/>
        <v>36.034959023401662</v>
      </c>
      <c r="Y13" s="316">
        <f t="shared" si="11"/>
        <v>36.943173376642918</v>
      </c>
      <c r="Z13" s="316">
        <f t="shared" si="11"/>
        <v>37.87863416048139</v>
      </c>
      <c r="AD13" s="316">
        <f>M12</f>
        <v>0</v>
      </c>
      <c r="AE13" s="316">
        <f>N12</f>
        <v>0</v>
      </c>
      <c r="AF13" s="316" t="str">
        <f>O12</f>
        <v>USD M</v>
      </c>
    </row>
    <row r="14" spans="1:34">
      <c r="A14" s="407" t="s">
        <v>139</v>
      </c>
      <c r="B14" s="429" t="s">
        <v>394</v>
      </c>
      <c r="C14" s="466">
        <f>'SOE PoV Impact (IDR)'!E175/USD_IDR*Thousands</f>
        <v>11.178685824686822</v>
      </c>
      <c r="D14" s="263">
        <f>'SOE PoV Impact (IDR)'!F175/USD_IDR*Thousands</f>
        <v>11.451744675298025</v>
      </c>
      <c r="E14" s="263">
        <f>'SOE PoV Impact (IDR)'!G175/USD_IDR*Thousands</f>
        <v>11.732995291427564</v>
      </c>
      <c r="F14" s="263">
        <f>'SOE PoV Impact (IDR)'!H175/USD_IDR*Thousands</f>
        <v>12.022683426040993</v>
      </c>
      <c r="G14" s="263">
        <f>'SOE PoV Impact (IDR)'!I175/USD_IDR*Thousands</f>
        <v>12.321062204692819</v>
      </c>
      <c r="H14" s="263">
        <f>'SOE PoV Impact (IDR)'!J175/USD_IDR*Thousands</f>
        <v>12.628392346704207</v>
      </c>
      <c r="I14" s="263">
        <f>'SOE PoV Impact (IDR)'!K175/USD_IDR*Thousands</f>
        <v>12.94494239297593</v>
      </c>
      <c r="J14" s="263">
        <f>'SOE PoV Impact (IDR)'!L175/USD_IDR*Thousands</f>
        <v>13.270988940635807</v>
      </c>
      <c r="K14" s="263">
        <f>'SOE PoV Impact (IDR)'!M175/USD_IDR*Thousands</f>
        <v>13.606816884725482</v>
      </c>
      <c r="L14" s="263">
        <f>'SOE PoV Impact (IDR)'!N175/USD_IDR*Thousands</f>
        <v>13.952719667137844</v>
      </c>
      <c r="M14" s="314">
        <f>C14/C12</f>
        <v>0.36800408305403687</v>
      </c>
      <c r="N14" s="314"/>
      <c r="O14" s="506"/>
      <c r="P14" s="318" t="s">
        <v>425</v>
      </c>
      <c r="Q14" s="319">
        <f>C16</f>
        <v>0</v>
      </c>
      <c r="R14" s="319">
        <f t="shared" ref="R14:Z14" si="12">D16</f>
        <v>-3.9793547117492274</v>
      </c>
      <c r="S14" s="319">
        <f t="shared" si="12"/>
        <v>-3.5586869601857281</v>
      </c>
      <c r="T14" s="319">
        <f t="shared" si="12"/>
        <v>-3.488621227996731</v>
      </c>
      <c r="U14" s="319">
        <f t="shared" si="12"/>
        <v>-2.3584588021503485</v>
      </c>
      <c r="V14" s="319">
        <f t="shared" si="12"/>
        <v>-2.0407492857642424</v>
      </c>
      <c r="W14" s="319">
        <f t="shared" si="12"/>
        <v>-1.1586064168858101</v>
      </c>
      <c r="X14" s="319">
        <f t="shared" si="12"/>
        <v>-0.9442857749847704</v>
      </c>
      <c r="Y14" s="319">
        <f t="shared" si="12"/>
        <v>-0.13517969350615999</v>
      </c>
      <c r="Z14" s="319">
        <f t="shared" si="12"/>
        <v>0.13037190151450773</v>
      </c>
      <c r="AA14" s="314"/>
      <c r="AB14" s="314"/>
      <c r="AC14" s="314"/>
      <c r="AD14" s="319">
        <f>M16</f>
        <v>0</v>
      </c>
      <c r="AE14" s="319">
        <f>N16</f>
        <v>0</v>
      </c>
      <c r="AF14" s="319" t="str">
        <f>O16</f>
        <v>EBITDA</v>
      </c>
      <c r="AG14" s="319">
        <f>AG15-AG13</f>
        <v>0</v>
      </c>
      <c r="AH14" s="319">
        <f>AH15-AH13</f>
        <v>0</v>
      </c>
    </row>
    <row r="15" spans="1:34">
      <c r="B15" s="429" t="s">
        <v>424</v>
      </c>
      <c r="C15" s="263"/>
      <c r="D15" s="263">
        <f>'SOE PoV Impact (IDR)'!F194/USD_IDR*Thousands</f>
        <v>13.837398367156515</v>
      </c>
      <c r="E15" s="263">
        <f>'SOE PoV Impact (IDR)'!G194/USD_IDR*Thousands</f>
        <v>14.467007926168346</v>
      </c>
      <c r="F15" s="263">
        <f>'SOE PoV Impact (IDR)'!H194/USD_IDR*Thousands</f>
        <v>14.891746277883252</v>
      </c>
      <c r="G15" s="263">
        <f>'SOE PoV Impact (IDR)'!I194/USD_IDR*Thousands</f>
        <v>15.751456556100434</v>
      </c>
      <c r="H15" s="263">
        <f>'SOE PoV Impact (IDR)'!J194/USD_IDR*Thousands</f>
        <v>16.279076707469496</v>
      </c>
      <c r="I15" s="263">
        <f>'SOE PoV Impact (IDR)'!K194/USD_IDR*Thousands</f>
        <v>17.027258980430553</v>
      </c>
      <c r="J15" s="263">
        <f>'SOE PoV Impact (IDR)'!L194/USD_IDR*Thousands</f>
        <v>17.539776823412403</v>
      </c>
      <c r="K15" s="263">
        <f>'SOE PoV Impact (IDR)'!M194/USD_IDR*Thousands</f>
        <v>18.328856762986685</v>
      </c>
      <c r="L15" s="263">
        <f>'SOE PoV Impact (IDR)'!N194/USD_IDR*Thousands</f>
        <v>18.88540488524032</v>
      </c>
      <c r="M15" s="314">
        <f>L15/L13</f>
        <v>0.49686658089497604</v>
      </c>
      <c r="N15" s="314"/>
      <c r="O15" s="507"/>
      <c r="P15" s="431" t="s">
        <v>427</v>
      </c>
      <c r="Q15" s="432">
        <f>Q13+Q14</f>
        <v>30.376526618715175</v>
      </c>
      <c r="R15" s="432">
        <f t="shared" ref="R15:AD15" si="13">R13+R14</f>
        <v>27.1356332880666</v>
      </c>
      <c r="S15" s="432">
        <f t="shared" si="13"/>
        <v>28.316916262163769</v>
      </c>
      <c r="T15" s="432">
        <f t="shared" si="13"/>
        <v>29.170415673562452</v>
      </c>
      <c r="U15" s="432">
        <f t="shared" si="13"/>
        <v>31.107514788994802</v>
      </c>
      <c r="V15" s="432">
        <f t="shared" si="13"/>
        <v>32.256369095654463</v>
      </c>
      <c r="W15" s="432">
        <f t="shared" si="13"/>
        <v>33.994591098514647</v>
      </c>
      <c r="X15" s="432">
        <f t="shared" si="13"/>
        <v>35.090673248416891</v>
      </c>
      <c r="Y15" s="432">
        <f t="shared" si="13"/>
        <v>36.807993683136758</v>
      </c>
      <c r="Z15" s="432">
        <f t="shared" si="13"/>
        <v>38.009006061995898</v>
      </c>
      <c r="AA15" s="1">
        <f>U15/U13</f>
        <v>0.9295266639792491</v>
      </c>
      <c r="AB15" s="1">
        <f>Z15/Z13</f>
        <v>1.0034418321675</v>
      </c>
      <c r="AC15" s="314"/>
      <c r="AD15" s="432">
        <f t="shared" si="13"/>
        <v>0</v>
      </c>
      <c r="AE15" s="432">
        <f>N13</f>
        <v>0</v>
      </c>
    </row>
    <row r="16" spans="1:34">
      <c r="B16" s="407"/>
      <c r="C16" s="1">
        <v>0</v>
      </c>
      <c r="D16" s="1">
        <f t="shared" ref="D16:L16" si="14">D13-D12</f>
        <v>-3.9793547117492274</v>
      </c>
      <c r="E16" s="1">
        <f t="shared" si="14"/>
        <v>-3.5586869601857281</v>
      </c>
      <c r="F16" s="1">
        <f t="shared" si="14"/>
        <v>-3.488621227996731</v>
      </c>
      <c r="G16" s="1">
        <f t="shared" si="14"/>
        <v>-2.3584588021503485</v>
      </c>
      <c r="H16" s="1">
        <f t="shared" si="14"/>
        <v>-2.0407492857642424</v>
      </c>
      <c r="I16" s="1">
        <f t="shared" si="14"/>
        <v>-1.1586064168858101</v>
      </c>
      <c r="J16" s="1">
        <f t="shared" si="14"/>
        <v>-0.9442857749847704</v>
      </c>
      <c r="K16" s="1">
        <f t="shared" si="14"/>
        <v>-0.13517969350615999</v>
      </c>
      <c r="L16" s="1">
        <f t="shared" si="14"/>
        <v>0.13037190151450773</v>
      </c>
      <c r="O16" s="506" t="s">
        <v>139</v>
      </c>
      <c r="P16" s="315" t="s">
        <v>423</v>
      </c>
      <c r="Q16" s="465">
        <f>C14</f>
        <v>11.178685824686822</v>
      </c>
      <c r="R16" s="316">
        <f t="shared" ref="R16:Z16" si="15">D14</f>
        <v>11.451744675298025</v>
      </c>
      <c r="S16" s="316">
        <f t="shared" si="15"/>
        <v>11.732995291427564</v>
      </c>
      <c r="T16" s="316">
        <f t="shared" si="15"/>
        <v>12.022683426040993</v>
      </c>
      <c r="U16" s="316">
        <f t="shared" si="15"/>
        <v>12.321062204692819</v>
      </c>
      <c r="V16" s="316">
        <f t="shared" si="15"/>
        <v>12.628392346704207</v>
      </c>
      <c r="W16" s="316">
        <f t="shared" si="15"/>
        <v>12.94494239297593</v>
      </c>
      <c r="X16" s="316">
        <f t="shared" si="15"/>
        <v>13.270988940635807</v>
      </c>
      <c r="Y16" s="316">
        <f t="shared" si="15"/>
        <v>13.606816884725482</v>
      </c>
      <c r="Z16" s="316">
        <f t="shared" si="15"/>
        <v>13.952719667137844</v>
      </c>
      <c r="AA16" s="314"/>
      <c r="AB16" s="314"/>
      <c r="AD16" s="316">
        <f>M14</f>
        <v>0.36800408305403687</v>
      </c>
      <c r="AE16" s="316">
        <f>N14</f>
        <v>0</v>
      </c>
      <c r="AF16" s="316">
        <f>O14</f>
        <v>0</v>
      </c>
      <c r="AG16" s="316" t="str">
        <f>P14</f>
        <v>New Projects</v>
      </c>
      <c r="AH16" s="316">
        <f>Q14</f>
        <v>0</v>
      </c>
    </row>
    <row r="17" spans="1:33">
      <c r="A17" s="407" t="s">
        <v>186</v>
      </c>
      <c r="C17" s="1">
        <v>0</v>
      </c>
      <c r="D17" s="1">
        <f>D15-D14</f>
        <v>2.3856536918584901</v>
      </c>
      <c r="E17" s="1">
        <f t="shared" ref="E17:L17" si="16">E15-E14</f>
        <v>2.7340126347407825</v>
      </c>
      <c r="F17" s="1">
        <f t="shared" si="16"/>
        <v>2.8690628518422585</v>
      </c>
      <c r="G17" s="1">
        <f t="shared" si="16"/>
        <v>3.4303943514076156</v>
      </c>
      <c r="H17" s="1">
        <f t="shared" si="16"/>
        <v>3.6506843607652897</v>
      </c>
      <c r="I17" s="1">
        <f t="shared" si="16"/>
        <v>4.0823165874546223</v>
      </c>
      <c r="J17" s="1">
        <f t="shared" si="16"/>
        <v>4.2687878827765964</v>
      </c>
      <c r="K17" s="1">
        <f t="shared" si="16"/>
        <v>4.722039878261203</v>
      </c>
      <c r="L17" s="1">
        <f t="shared" si="16"/>
        <v>4.9326852181024758</v>
      </c>
      <c r="O17" s="506"/>
      <c r="P17" s="318" t="s">
        <v>425</v>
      </c>
      <c r="Q17" s="319">
        <f>C17</f>
        <v>0</v>
      </c>
      <c r="R17" s="319">
        <f t="shared" ref="R17:Z17" si="17">D17</f>
        <v>2.3856536918584901</v>
      </c>
      <c r="S17" s="319">
        <f t="shared" si="17"/>
        <v>2.7340126347407825</v>
      </c>
      <c r="T17" s="319">
        <f t="shared" si="17"/>
        <v>2.8690628518422585</v>
      </c>
      <c r="U17" s="319">
        <f t="shared" si="17"/>
        <v>3.4303943514076156</v>
      </c>
      <c r="V17" s="319">
        <f t="shared" si="17"/>
        <v>3.6506843607652897</v>
      </c>
      <c r="W17" s="319">
        <f t="shared" si="17"/>
        <v>4.0823165874546223</v>
      </c>
      <c r="X17" s="319">
        <f t="shared" si="17"/>
        <v>4.2687878827765964</v>
      </c>
      <c r="Y17" s="319">
        <f t="shared" si="17"/>
        <v>4.722039878261203</v>
      </c>
      <c r="Z17" s="319">
        <f t="shared" si="17"/>
        <v>4.9326852181024758</v>
      </c>
      <c r="AA17" s="314"/>
      <c r="AB17" s="314"/>
      <c r="AD17" s="319">
        <f>M17</f>
        <v>0</v>
      </c>
      <c r="AE17" s="319">
        <f>N17</f>
        <v>0</v>
      </c>
      <c r="AF17" s="319">
        <f>O17</f>
        <v>0</v>
      </c>
      <c r="AG17" s="319" t="str">
        <f>P17</f>
        <v>New Projects</v>
      </c>
    </row>
    <row r="18" spans="1:33">
      <c r="A18" s="407" t="s">
        <v>9</v>
      </c>
      <c r="B18" s="429" t="s">
        <v>394</v>
      </c>
      <c r="C18" s="263">
        <f>'SOE PoV Impact (IDR)'!E42/USD_IDR*Thousands</f>
        <v>19.029389330058549</v>
      </c>
      <c r="D18" s="263">
        <f>'SOE PoV Impact (IDR)'!F42/USD_IDR*Thousands</f>
        <v>19.600271009960306</v>
      </c>
      <c r="E18" s="263">
        <f>'SOE PoV Impact (IDR)'!G42/USD_IDR*Thousands</f>
        <v>20.188279140259116</v>
      </c>
      <c r="F18" s="263">
        <f>'SOE PoV Impact (IDR)'!H42/USD_IDR*Thousands</f>
        <v>20.793927514466898</v>
      </c>
      <c r="G18" s="263">
        <f>'SOE PoV Impact (IDR)'!I42/USD_IDR*Thousands</f>
        <v>21.4177453399009</v>
      </c>
      <c r="H18" s="263">
        <f>'SOE PoV Impact (IDR)'!J42/USD_IDR*Thousands</f>
        <v>22.060277700097931</v>
      </c>
      <c r="I18" s="263">
        <f>'SOE PoV Impact (IDR)'!K42/USD_IDR*Thousands</f>
        <v>22.722086031100869</v>
      </c>
      <c r="J18" s="263">
        <f>'SOE PoV Impact (IDR)'!L42/USD_IDR*Thousands</f>
        <v>23.403748612033894</v>
      </c>
      <c r="K18" s="263">
        <f>'SOE PoV Impact (IDR)'!M42/USD_IDR*Thousands</f>
        <v>24.105861070394916</v>
      </c>
      <c r="L18" s="263">
        <f>'SOE PoV Impact (IDR)'!N42/USD_IDR*Thousands</f>
        <v>24.829036902506754</v>
      </c>
      <c r="O18" s="507"/>
      <c r="P18" s="431" t="s">
        <v>427</v>
      </c>
      <c r="Q18" s="432">
        <f>Q16+Q17</f>
        <v>11.178685824686822</v>
      </c>
      <c r="R18" s="432">
        <f t="shared" ref="R18:Z18" si="18">R16+R17</f>
        <v>13.837398367156515</v>
      </c>
      <c r="S18" s="432">
        <f t="shared" si="18"/>
        <v>14.467007926168346</v>
      </c>
      <c r="T18" s="432">
        <f t="shared" si="18"/>
        <v>14.891746277883252</v>
      </c>
      <c r="U18" s="432">
        <f t="shared" si="18"/>
        <v>15.751456556100434</v>
      </c>
      <c r="V18" s="432">
        <f t="shared" si="18"/>
        <v>16.279076707469496</v>
      </c>
      <c r="W18" s="432">
        <f t="shared" si="18"/>
        <v>17.027258980430553</v>
      </c>
      <c r="X18" s="432">
        <f t="shared" si="18"/>
        <v>17.539776823412403</v>
      </c>
      <c r="Y18" s="432">
        <f t="shared" si="18"/>
        <v>18.328856762986685</v>
      </c>
      <c r="Z18" s="432">
        <f t="shared" si="18"/>
        <v>18.88540488524032</v>
      </c>
      <c r="AA18" s="1">
        <f>U18/U16</f>
        <v>1.2784170954109018</v>
      </c>
      <c r="AB18" s="1">
        <f>Z18/Z16</f>
        <v>1.353528583371469</v>
      </c>
    </row>
    <row r="19" spans="1:33">
      <c r="B19" s="429" t="s">
        <v>424</v>
      </c>
      <c r="C19" s="263"/>
      <c r="D19" s="263">
        <f>'SOE PoV Impact (IDR)'!F51/USD_IDR*Thousands</f>
        <v>16.018104916951827</v>
      </c>
      <c r="E19" s="263">
        <f>'SOE PoV Impact (IDR)'!G51/USD_IDR*Thousands</f>
        <v>16.54422056181258</v>
      </c>
      <c r="F19" s="263">
        <f>'SOE PoV Impact (IDR)'!H51/USD_IDR*Thousands</f>
        <v>17.040657845743503</v>
      </c>
      <c r="G19" s="263">
        <f>'SOE PoV Impact (IDR)'!I51/USD_IDR*Thousands</f>
        <v>17.551988248192355</v>
      </c>
      <c r="H19" s="263">
        <f>'SOE PoV Impact (IDR)'!J51/USD_IDR*Thousands</f>
        <v>18.078658562714672</v>
      </c>
      <c r="I19" s="263">
        <f>'SOE PoV Impact (IDR)'!K51/USD_IDR*Thousands</f>
        <v>18.621128986672662</v>
      </c>
      <c r="J19" s="263">
        <f>'SOE PoV Impact (IDR)'!L51/USD_IDR*Thousands</f>
        <v>19.179873523349382</v>
      </c>
      <c r="K19" s="263">
        <f>'SOE PoV Impact (IDR)'!M51/USD_IDR*Thousands</f>
        <v>19.755380396126409</v>
      </c>
      <c r="L19" s="263">
        <f>'SOE PoV Impact (IDR)'!N51/USD_IDR*Thousands</f>
        <v>20.348152475086742</v>
      </c>
      <c r="Z19" s="1">
        <f>Z18/Q18</f>
        <v>1.6894119023842775</v>
      </c>
    </row>
    <row r="20" spans="1:33">
      <c r="A20" s="407" t="s">
        <v>426</v>
      </c>
      <c r="B20" s="429"/>
      <c r="C20" s="263"/>
      <c r="D20" s="263">
        <f t="shared" ref="D20:L20" si="19">D19-D18</f>
        <v>-3.5821660930084782</v>
      </c>
      <c r="E20" s="263">
        <f t="shared" si="19"/>
        <v>-3.6440585784465362</v>
      </c>
      <c r="F20" s="263">
        <f t="shared" si="19"/>
        <v>-3.7532696687233944</v>
      </c>
      <c r="G20" s="263">
        <f t="shared" si="19"/>
        <v>-3.8657570917085451</v>
      </c>
      <c r="H20" s="263">
        <f t="shared" si="19"/>
        <v>-3.9816191373832588</v>
      </c>
      <c r="I20" s="263">
        <f t="shared" si="19"/>
        <v>-4.1009570444282062</v>
      </c>
      <c r="J20" s="263">
        <f t="shared" si="19"/>
        <v>-4.2238750886845118</v>
      </c>
      <c r="K20" s="263">
        <f t="shared" si="19"/>
        <v>-4.3504806742685069</v>
      </c>
      <c r="L20" s="263">
        <f t="shared" si="19"/>
        <v>-4.4808844274200119</v>
      </c>
      <c r="Q20">
        <f>Q18+Q9</f>
        <v>13.776895574476727</v>
      </c>
      <c r="Z20">
        <f>Z18+Z9</f>
        <v>24.134136905893932</v>
      </c>
      <c r="AA20" s="1">
        <f>Z20/Q20</f>
        <v>1.7517833952813853</v>
      </c>
    </row>
    <row r="21" spans="1:33">
      <c r="A21" s="407" t="s">
        <v>139</v>
      </c>
      <c r="B21" s="429" t="s">
        <v>394</v>
      </c>
      <c r="C21" s="263">
        <f>'SOE PoV Impact (IDR)'!E55/USD_IDR*Thousands</f>
        <v>7.0277914466083811</v>
      </c>
      <c r="D21" s="466">
        <f>'SOE PoV Impact (IDR)'!F55/USD_IDR*Thousands</f>
        <v>7.2386251900066316</v>
      </c>
      <c r="E21" s="263">
        <f>'SOE PoV Impact (IDR)'!G55/USD_IDR*Thousands</f>
        <v>7.4557839457068296</v>
      </c>
      <c r="F21" s="263">
        <f>'SOE PoV Impact (IDR)'!H55/USD_IDR*Thousands</f>
        <v>7.6794574640780366</v>
      </c>
      <c r="G21" s="263">
        <f>'SOE PoV Impact (IDR)'!I55/USD_IDR*Thousands</f>
        <v>7.9098411880003763</v>
      </c>
      <c r="H21" s="263">
        <f>'SOE PoV Impact (IDR)'!J55/USD_IDR*Thousands</f>
        <v>8.14713642364039</v>
      </c>
      <c r="I21" s="263">
        <f>'SOE PoV Impact (IDR)'!K55/USD_IDR*Thousands</f>
        <v>8.3915505163496</v>
      </c>
      <c r="J21" s="263">
        <f>'SOE PoV Impact (IDR)'!L55/USD_IDR*Thousands</f>
        <v>8.6432970318400884</v>
      </c>
      <c r="K21" s="263">
        <f>'SOE PoV Impact (IDR)'!M55/USD_IDR*Thousands</f>
        <v>8.9025959427952923</v>
      </c>
      <c r="L21" s="263">
        <f>'SOE PoV Impact (IDR)'!N55/USD_IDR*Thousands</f>
        <v>9.1696738210791491</v>
      </c>
      <c r="P21" t="s">
        <v>1108</v>
      </c>
    </row>
    <row r="22" spans="1:33">
      <c r="B22" s="429" t="s">
        <v>424</v>
      </c>
      <c r="C22" s="263"/>
      <c r="D22" s="263">
        <f>'SOE PoV Impact (IDR)'!F59/USD_IDR*Thousands</f>
        <v>7.937530891703811</v>
      </c>
      <c r="E22" s="263">
        <f>'SOE PoV Impact (IDR)'!G59/USD_IDR*Thousands</f>
        <v>8.2121148163366851</v>
      </c>
      <c r="F22" s="263">
        <f>'SOE PoV Impact (IDR)'!H59/USD_IDR*Thousands</f>
        <v>8.4585667944880214</v>
      </c>
      <c r="G22" s="263">
        <f>'SOE PoV Impact (IDR)'!I59/USD_IDR*Thousands</f>
        <v>8.7124123319838986</v>
      </c>
      <c r="H22" s="263">
        <f>'SOE PoV Impact (IDR)'!J59/USD_IDR*Thousands</f>
        <v>8.9738732356046498</v>
      </c>
      <c r="I22" s="263">
        <f>'SOE PoV Impact (IDR)'!K59/USD_IDR*Thousands</f>
        <v>9.243177966334029</v>
      </c>
      <c r="J22" s="263">
        <f>'SOE PoV Impact (IDR)'!L59/USD_IDR*Thousands</f>
        <v>9.520561838985282</v>
      </c>
      <c r="K22" s="263">
        <f>'SOE PoV Impact (IDR)'!M59/USD_IDR*Thousands</f>
        <v>9.8062672278160754</v>
      </c>
      <c r="L22" s="263">
        <f>'SOE PoV Impact (IDR)'!N59/USD_IDR*Thousands</f>
        <v>10.100543778311794</v>
      </c>
      <c r="Q22" t="s">
        <v>389</v>
      </c>
      <c r="S22" t="s">
        <v>297</v>
      </c>
    </row>
    <row r="23" spans="1:33">
      <c r="A23" s="407" t="s">
        <v>428</v>
      </c>
      <c r="D23" s="1">
        <f t="shared" ref="D23:L23" si="20">D22-D21</f>
        <v>0.69890570169717936</v>
      </c>
      <c r="E23" s="1">
        <f t="shared" si="20"/>
        <v>0.75633087062985549</v>
      </c>
      <c r="F23" s="1">
        <f t="shared" si="20"/>
        <v>0.77910933040998476</v>
      </c>
      <c r="G23" s="1">
        <f t="shared" si="20"/>
        <v>0.80257114398352236</v>
      </c>
      <c r="H23" s="1">
        <f t="shared" si="20"/>
        <v>0.82673681196425974</v>
      </c>
      <c r="I23" s="1">
        <f t="shared" si="20"/>
        <v>0.85162744998442896</v>
      </c>
      <c r="J23" s="1">
        <f t="shared" si="20"/>
        <v>0.87726480714519361</v>
      </c>
      <c r="K23" s="1">
        <f t="shared" si="20"/>
        <v>0.90367128502078309</v>
      </c>
      <c r="L23" s="1">
        <f t="shared" si="20"/>
        <v>0.93086995723264465</v>
      </c>
      <c r="P23" s="54"/>
      <c r="Q23" s="54" t="s">
        <v>1103</v>
      </c>
      <c r="R23" s="54" t="s">
        <v>1104</v>
      </c>
      <c r="S23" s="54" t="s">
        <v>1103</v>
      </c>
      <c r="T23" s="54" t="s">
        <v>1104</v>
      </c>
    </row>
    <row r="24" spans="1:33" ht="15" customHeight="1">
      <c r="P24" s="54" t="s">
        <v>1106</v>
      </c>
      <c r="Q24" s="54">
        <v>4</v>
      </c>
      <c r="R24" s="54">
        <f>(Q24+1.2)*(1+6%)</f>
        <v>5.5120000000000005</v>
      </c>
      <c r="S24" s="54">
        <v>0</v>
      </c>
      <c r="T24" s="497">
        <v>2</v>
      </c>
    </row>
    <row r="25" spans="1:33">
      <c r="A25" s="407" t="s">
        <v>297</v>
      </c>
      <c r="P25" s="54" t="s">
        <v>1107</v>
      </c>
      <c r="Q25" s="54">
        <v>69000</v>
      </c>
      <c r="R25" s="54">
        <v>110000</v>
      </c>
      <c r="S25" s="54">
        <v>40000</v>
      </c>
      <c r="T25" s="54">
        <v>70000</v>
      </c>
    </row>
    <row r="26" spans="1:33">
      <c r="A26" s="407" t="s">
        <v>9</v>
      </c>
      <c r="B26" s="429" t="s">
        <v>394</v>
      </c>
      <c r="C26" s="263">
        <f>'SOE PoV Impact (IDR)'!E93/USD_IDR*Thousands</f>
        <v>2.9737859206885959</v>
      </c>
      <c r="D26" s="263">
        <f>'SOE PoV Impact (IDR)'!F93/USD_IDR*Thousands</f>
        <v>3.0629994983092534</v>
      </c>
      <c r="E26" s="263">
        <f>'SOE PoV Impact (IDR)'!G93/USD_IDR*Thousands</f>
        <v>3.1548894832585308</v>
      </c>
      <c r="F26" s="263">
        <f>'SOE PoV Impact (IDR)'!H93/USD_IDR*Thousands</f>
        <v>3.2495361677562875</v>
      </c>
      <c r="G26" s="263">
        <f>'SOE PoV Impact (IDR)'!I93/USD_IDR*Thousands</f>
        <v>3.3470222527889764</v>
      </c>
      <c r="H26" s="263">
        <f>'SOE PoV Impact (IDR)'!J93/USD_IDR*Thousands</f>
        <v>3.4474329203726457</v>
      </c>
      <c r="I26" s="263">
        <f>'SOE PoV Impact (IDR)'!K93/USD_IDR*Thousands</f>
        <v>3.5508559079838253</v>
      </c>
      <c r="J26" s="263">
        <f>'SOE PoV Impact (IDR)'!L93/USD_IDR*Thousands</f>
        <v>3.6573815852233396</v>
      </c>
      <c r="K26" s="263">
        <f>'SOE PoV Impact (IDR)'!M93/USD_IDR*Thousands</f>
        <v>3.7671030327800406</v>
      </c>
      <c r="L26" s="263">
        <f>'SOE PoV Impact (IDR)'!N93/USD_IDR*Thousands</f>
        <v>3.8801161237634423</v>
      </c>
      <c r="P26" s="54" t="s">
        <v>1105</v>
      </c>
      <c r="Q26" s="54">
        <f>Q24*Q25/1000</f>
        <v>276</v>
      </c>
      <c r="R26" s="54">
        <f t="shared" ref="R26:T26" si="21">R24*R25/1000</f>
        <v>606.32000000000005</v>
      </c>
      <c r="S26" s="54">
        <f t="shared" si="21"/>
        <v>0</v>
      </c>
      <c r="T26" s="54">
        <f t="shared" si="21"/>
        <v>140</v>
      </c>
    </row>
    <row r="27" spans="1:33">
      <c r="B27" s="429" t="s">
        <v>424</v>
      </c>
      <c r="C27" s="263"/>
      <c r="D27" s="263">
        <f>'SOE PoV Impact (IDR)'!F103/USD_IDR*Thousands</f>
        <v>3.0629994983092534</v>
      </c>
      <c r="E27" s="263">
        <f>'SOE PoV Impact (IDR)'!G103/USD_IDR*Thousands</f>
        <v>3.1548894832585308</v>
      </c>
      <c r="F27" s="263">
        <f>'SOE PoV Impact (IDR)'!H103/USD_IDR*Thousands</f>
        <v>3.3326873908494021</v>
      </c>
      <c r="G27" s="263">
        <f>'SOE PoV Impact (IDR)'!I103/USD_IDR*Thousands</f>
        <v>4.3928713030469417</v>
      </c>
      <c r="H27" s="263">
        <f>'SOE PoV Impact (IDR)'!J103/USD_IDR*Thousands</f>
        <v>4.8321584333516361</v>
      </c>
      <c r="I27" s="263">
        <f>'SOE PoV Impact (IDR)'!K103/USD_IDR*Thousands</f>
        <v>5.8431146923665453</v>
      </c>
      <c r="J27" s="263">
        <f>'SOE PoV Impact (IDR)'!L103/USD_IDR*Thousands</f>
        <v>6.1937015739085401</v>
      </c>
      <c r="K27" s="263">
        <f>'SOE PoV Impact (IDR)'!M103/USD_IDR*Thousands</f>
        <v>6.9566832948411763</v>
      </c>
      <c r="L27" s="263">
        <f>'SOE PoV Impact (IDR)'!N103/USD_IDR*Thousands</f>
        <v>7.3740842925316477</v>
      </c>
      <c r="O27" s="510"/>
      <c r="P27" s="510"/>
    </row>
    <row r="28" spans="1:33">
      <c r="A28" s="407" t="s">
        <v>426</v>
      </c>
      <c r="B28" s="429"/>
      <c r="C28" s="263"/>
      <c r="D28" s="263">
        <f t="shared" ref="D28:L28" si="22">D27-D26</f>
        <v>0</v>
      </c>
      <c r="E28" s="263">
        <f t="shared" si="22"/>
        <v>0</v>
      </c>
      <c r="F28" s="263">
        <f t="shared" si="22"/>
        <v>8.3151223093114623E-2</v>
      </c>
      <c r="G28" s="263">
        <f t="shared" si="22"/>
        <v>1.0458490502579654</v>
      </c>
      <c r="H28" s="263">
        <f t="shared" si="22"/>
        <v>1.3847255129789904</v>
      </c>
      <c r="I28" s="263">
        <f t="shared" si="22"/>
        <v>2.29225878438272</v>
      </c>
      <c r="J28" s="263">
        <f t="shared" si="22"/>
        <v>2.5363199886852006</v>
      </c>
      <c r="K28" s="263">
        <f t="shared" si="22"/>
        <v>3.1895802620611358</v>
      </c>
      <c r="L28" s="263">
        <f t="shared" si="22"/>
        <v>3.4939681687682054</v>
      </c>
      <c r="O28" s="510"/>
      <c r="P28" s="2" t="s">
        <v>441</v>
      </c>
      <c r="Q28" t="s">
        <v>389</v>
      </c>
      <c r="S28" t="s">
        <v>297</v>
      </c>
    </row>
    <row r="29" spans="1:33">
      <c r="A29" s="407" t="s">
        <v>139</v>
      </c>
      <c r="B29" s="429" t="s">
        <v>394</v>
      </c>
      <c r="C29" s="263">
        <f>'SOE PoV Impact (IDR)'!E96/USD_IDR*Thousands</f>
        <v>1.1003007906547804</v>
      </c>
      <c r="D29" s="263">
        <f>'SOE PoV Impact (IDR)'!F96/USD_IDR*Thousands</f>
        <v>1.1333098143744238</v>
      </c>
      <c r="E29" s="263">
        <f>'SOE PoV Impact (IDR)'!G96/USD_IDR*Thousands</f>
        <v>1.1673091088056564</v>
      </c>
      <c r="F29" s="263">
        <f>'SOE PoV Impact (IDR)'!H96/USD_IDR*Thousands</f>
        <v>1.2023283820698263</v>
      </c>
      <c r="G29" s="263">
        <f>'SOE PoV Impact (IDR)'!I96/USD_IDR*Thousands</f>
        <v>1.2383982335319212</v>
      </c>
      <c r="H29" s="263">
        <f>'SOE PoV Impact (IDR)'!J96/USD_IDR*Thousands</f>
        <v>1.2755501805378791</v>
      </c>
      <c r="I29" s="263">
        <f>'SOE PoV Impact (IDR)'!K96/USD_IDR*Thousands</f>
        <v>1.3138166859540152</v>
      </c>
      <c r="J29" s="263">
        <f>'SOE PoV Impact (IDR)'!L96/USD_IDR*Thousands</f>
        <v>1.3532311865326359</v>
      </c>
      <c r="K29" s="263">
        <f>'SOE PoV Impact (IDR)'!M96/USD_IDR*Thousands</f>
        <v>1.3938281221286146</v>
      </c>
      <c r="L29" s="263">
        <f>'SOE PoV Impact (IDR)'!N96/USD_IDR*Thousands</f>
        <v>1.4356429657924736</v>
      </c>
      <c r="O29" s="510"/>
      <c r="P29" t="s">
        <v>1122</v>
      </c>
      <c r="Q29" s="498" t="s">
        <v>1103</v>
      </c>
      <c r="R29" s="498" t="s">
        <v>1104</v>
      </c>
      <c r="S29" s="498" t="s">
        <v>1103</v>
      </c>
      <c r="T29" s="498" t="s">
        <v>1104</v>
      </c>
    </row>
    <row r="30" spans="1:33">
      <c r="B30" s="429" t="s">
        <v>424</v>
      </c>
      <c r="C30" s="263"/>
      <c r="D30" s="263">
        <f>D29</f>
        <v>1.1333098143744238</v>
      </c>
      <c r="E30" s="263">
        <f>E29</f>
        <v>1.1673091088056564</v>
      </c>
      <c r="F30" s="263">
        <f>'SOE PoV Impact (IDR)'!H111/USD_IDR*Thousands</f>
        <v>1.2453611652321703</v>
      </c>
      <c r="G30" s="263">
        <f>'SOE PoV Impact (IDR)'!I111/USD_IDR*Thousands</f>
        <v>1.6388558958070485</v>
      </c>
      <c r="H30" s="263">
        <f>'SOE PoV Impact (IDR)'!J111/USD_IDR*Thousands</f>
        <v>1.8027414853877535</v>
      </c>
      <c r="I30" s="263">
        <f>'SOE PoV Impact (IDR)'!K111/USD_IDR*Thousands</f>
        <v>2.178279587728035</v>
      </c>
      <c r="J30" s="263">
        <f>'SOE PoV Impact (IDR)'!L111/USD_IDR*Thousands</f>
        <v>2.3089763629917179</v>
      </c>
      <c r="K30" s="263">
        <f>'SOE PoV Impact (IDR)'!M111/USD_IDR*Thousands</f>
        <v>2.5923180065755274</v>
      </c>
      <c r="L30" s="263">
        <f>'SOE PoV Impact (IDR)'!N111/USD_IDR*Thousands</f>
        <v>2.7478570869700585</v>
      </c>
      <c r="O30" s="510"/>
      <c r="P30" s="54" t="s">
        <v>1109</v>
      </c>
      <c r="Q30" s="54">
        <v>20000</v>
      </c>
      <c r="R30" s="229">
        <v>0</v>
      </c>
      <c r="S30" s="54">
        <v>8000</v>
      </c>
      <c r="T30" s="229">
        <v>0</v>
      </c>
    </row>
    <row r="31" spans="1:33">
      <c r="A31" s="407" t="s">
        <v>428</v>
      </c>
      <c r="D31" s="1">
        <f t="shared" ref="D31:L31" si="23">D30-D29</f>
        <v>0</v>
      </c>
      <c r="E31" s="1">
        <f t="shared" si="23"/>
        <v>0</v>
      </c>
      <c r="F31" s="1">
        <f t="shared" si="23"/>
        <v>4.3032783162344046E-2</v>
      </c>
      <c r="G31" s="1">
        <f t="shared" si="23"/>
        <v>0.40045766227512725</v>
      </c>
      <c r="H31" s="1">
        <f t="shared" si="23"/>
        <v>0.52719130484987442</v>
      </c>
      <c r="I31" s="1">
        <f t="shared" si="23"/>
        <v>0.86446290177401974</v>
      </c>
      <c r="J31" s="1">
        <f t="shared" si="23"/>
        <v>0.95574517645908208</v>
      </c>
      <c r="K31" s="1">
        <f t="shared" si="23"/>
        <v>1.1984898844469127</v>
      </c>
      <c r="L31" s="1">
        <f t="shared" si="23"/>
        <v>1.3122141211775848</v>
      </c>
      <c r="O31" s="510"/>
      <c r="P31" s="54" t="s">
        <v>1110</v>
      </c>
      <c r="Q31" s="229">
        <v>4</v>
      </c>
      <c r="R31" s="229">
        <v>2</v>
      </c>
      <c r="S31" s="229">
        <v>7</v>
      </c>
      <c r="T31" s="229">
        <v>4</v>
      </c>
    </row>
    <row r="32" spans="1:33" ht="15" customHeight="1">
      <c r="O32" s="510"/>
      <c r="P32" s="54" t="s">
        <v>1111</v>
      </c>
      <c r="Q32" s="229">
        <v>25000</v>
      </c>
      <c r="S32" s="229">
        <v>20000</v>
      </c>
    </row>
    <row r="33" spans="1:20">
      <c r="A33" s="407" t="s">
        <v>390</v>
      </c>
      <c r="O33" s="510"/>
      <c r="P33" s="54" t="s">
        <v>441</v>
      </c>
      <c r="Q33" s="54">
        <f>(Q31-R31)*Q32</f>
        <v>50000</v>
      </c>
      <c r="S33" s="54">
        <f>(S31-T31)*S32</f>
        <v>60000</v>
      </c>
    </row>
    <row r="34" spans="1:20">
      <c r="A34" s="407" t="s">
        <v>9</v>
      </c>
      <c r="B34" s="429" t="s">
        <v>394</v>
      </c>
      <c r="C34" s="263">
        <f>'SOE PoV Impact (IDR)'!E65/USD_IDR*Thousands</f>
        <v>2.6122041192745153</v>
      </c>
      <c r="D34" s="263">
        <f>'SOE PoV Impact (IDR)'!F65/USD_IDR*Thousands</f>
        <v>2.6905702428527509</v>
      </c>
      <c r="E34" s="263">
        <f>'SOE PoV Impact (IDR)'!G65/USD_IDR*Thousands</f>
        <v>2.7712873501383339</v>
      </c>
      <c r="F34" s="263">
        <f>'SOE PoV Impact (IDR)'!H65/USD_IDR*Thousands</f>
        <v>2.8544259706424846</v>
      </c>
      <c r="G34" s="263">
        <f>'SOE PoV Impact (IDR)'!I65/USD_IDR*Thousands</f>
        <v>2.940058749761759</v>
      </c>
      <c r="H34" s="263">
        <f>'SOE PoV Impact (IDR)'!J65/USD_IDR*Thousands</f>
        <v>3.0282605122546116</v>
      </c>
      <c r="I34" s="263">
        <f>'SOE PoV Impact (IDR)'!K65/USD_IDR*Thousands</f>
        <v>3.11910832762225</v>
      </c>
      <c r="J34" s="263">
        <f>'SOE PoV Impact (IDR)'!L65/USD_IDR*Thousands</f>
        <v>3.2126815774509176</v>
      </c>
      <c r="K34" s="263">
        <f>'SOE PoV Impact (IDR)'!M65/USD_IDR*Thousands</f>
        <v>3.3090620247744451</v>
      </c>
      <c r="L34" s="263">
        <f>'SOE PoV Impact (IDR)'!N65/USD_IDR*Thousands</f>
        <v>3.4083338855176786</v>
      </c>
      <c r="P34" s="54" t="s">
        <v>1112</v>
      </c>
      <c r="Q34" s="229">
        <v>100</v>
      </c>
      <c r="S34" s="229">
        <v>100</v>
      </c>
    </row>
    <row r="35" spans="1:20">
      <c r="B35" s="429" t="s">
        <v>424</v>
      </c>
      <c r="C35" s="263"/>
      <c r="D35" s="263">
        <f>'SOE PoV Impact (IDR)'!F74/USD_IDR*Thousands</f>
        <v>1.9034921357011634</v>
      </c>
      <c r="E35" s="263">
        <f>'SOE PoV Impact (IDR)'!G74/USD_IDR*Thousands</f>
        <v>2.4667694799882991</v>
      </c>
      <c r="F35" s="263">
        <f>'SOE PoV Impact (IDR)'!H74/USD_IDR*Thousands</f>
        <v>2.6460336998651859</v>
      </c>
      <c r="G35" s="263">
        <f>'SOE PoV Impact (IDR)'!I74/USD_IDR*Thousands</f>
        <v>2.8270873985380178</v>
      </c>
      <c r="H35" s="263">
        <f>'SOE PoV Impact (IDR)'!J74/USD_IDR*Thousands</f>
        <v>3.0099842603706759</v>
      </c>
      <c r="I35" s="263">
        <f>'SOE PoV Impact (IDR)'!K74/USD_IDR*Thousands</f>
        <v>3.1947795802579533</v>
      </c>
      <c r="J35" s="263">
        <f>'SOE PoV Impact (IDR)'!L74/USD_IDR*Thousands</f>
        <v>3.3815303119414879</v>
      </c>
      <c r="K35" s="263">
        <f>'SOE PoV Impact (IDR)'!M74/USD_IDR*Thousands</f>
        <v>3.5702951177751694</v>
      </c>
      <c r="L35" s="263">
        <f>'SOE PoV Impact (IDR)'!N74/USD_IDR*Thousands</f>
        <v>3.7611344199834997</v>
      </c>
      <c r="P35" s="54" t="s">
        <v>1113</v>
      </c>
      <c r="Q35" s="54">
        <f>Q33*Q34</f>
        <v>5000000</v>
      </c>
      <c r="S35" s="54">
        <f>S33*S34</f>
        <v>6000000</v>
      </c>
    </row>
    <row r="36" spans="1:20">
      <c r="A36" s="407" t="s">
        <v>426</v>
      </c>
      <c r="B36" s="429"/>
      <c r="C36" s="263"/>
      <c r="D36" s="263">
        <f t="shared" ref="D36:L36" si="24">D35-D34</f>
        <v>-0.78707810715158755</v>
      </c>
      <c r="E36" s="263">
        <f t="shared" si="24"/>
        <v>-0.30451787015003484</v>
      </c>
      <c r="F36" s="263">
        <f t="shared" si="24"/>
        <v>-0.20839227077729872</v>
      </c>
      <c r="G36" s="263">
        <f t="shared" si="24"/>
        <v>-0.11297135122374113</v>
      </c>
      <c r="H36" s="263">
        <f t="shared" si="24"/>
        <v>-1.8276251883935668E-2</v>
      </c>
      <c r="I36" s="263">
        <f t="shared" si="24"/>
        <v>7.567125263570329E-2</v>
      </c>
      <c r="J36" s="263">
        <f t="shared" si="24"/>
        <v>0.16884873449057025</v>
      </c>
      <c r="K36" s="263">
        <f t="shared" si="24"/>
        <v>0.26123309300072428</v>
      </c>
      <c r="L36" s="263">
        <f t="shared" si="24"/>
        <v>0.35280053446582116</v>
      </c>
      <c r="O36" s="510"/>
      <c r="P36" s="510"/>
    </row>
    <row r="37" spans="1:20">
      <c r="A37" s="407" t="s">
        <v>139</v>
      </c>
      <c r="B37" s="429" t="s">
        <v>394</v>
      </c>
      <c r="C37" s="263">
        <f>'SOE PoV Impact (IDR)'!E78/USD_IDR*Thousands</f>
        <v>0.97386944977696299</v>
      </c>
      <c r="D37" s="263">
        <f>'SOE PoV Impact (IDR)'!F78/USD_IDR*Thousands</f>
        <v>1.0030855332702717</v>
      </c>
      <c r="E37" s="263">
        <f>'SOE PoV Impact (IDR)'!G78/USD_IDR*Thousands</f>
        <v>1.033178099268381</v>
      </c>
      <c r="F37" s="263">
        <f>'SOE PoV Impact (IDR)'!H78/USD_IDR*Thousands</f>
        <v>1.0641734422464322</v>
      </c>
      <c r="G37" s="263">
        <f>'SOE PoV Impact (IDR)'!I78/USD_IDR*Thousands</f>
        <v>1.0960986455138249</v>
      </c>
      <c r="H37" s="263">
        <f>'SOE PoV Impact (IDR)'!J78/USD_IDR*Thousands</f>
        <v>1.1289816048792396</v>
      </c>
      <c r="I37" s="263">
        <f>'SOE PoV Impact (IDR)'!K78/USD_IDR*Thousands</f>
        <v>1.1628510530256169</v>
      </c>
      <c r="J37" s="263">
        <f>'SOE PoV Impact (IDR)'!L78/USD_IDR*Thousands</f>
        <v>1.1977365846163852</v>
      </c>
      <c r="K37" s="263">
        <f>'SOE PoV Impact (IDR)'!M78/USD_IDR*Thousands</f>
        <v>1.233668682154877</v>
      </c>
      <c r="L37" s="263">
        <f>'SOE PoV Impact (IDR)'!N78/USD_IDR*Thousands</f>
        <v>1.2706787426195234</v>
      </c>
      <c r="O37" s="510"/>
      <c r="P37" s="54" t="s">
        <v>1114</v>
      </c>
      <c r="Q37" s="514">
        <f>Q35/(Q24*Million)</f>
        <v>1.25</v>
      </c>
      <c r="R37" s="514"/>
      <c r="S37" s="514">
        <f>S35/(T24*Million)</f>
        <v>3</v>
      </c>
      <c r="T37" s="514"/>
    </row>
    <row r="38" spans="1:20">
      <c r="B38" s="429" t="s">
        <v>424</v>
      </c>
      <c r="C38" s="263"/>
      <c r="D38" s="263">
        <f>'SOE PoV Impact (IDR)'!F82/USD_IDR*Thousands</f>
        <v>1.0621879438618369</v>
      </c>
      <c r="E38" s="263">
        <f>'SOE PoV Impact (IDR)'!G82/USD_IDR*Thousands</f>
        <v>1.3832142838095618</v>
      </c>
      <c r="F38" s="263">
        <f>'SOE PoV Impact (IDR)'!H82/USD_IDR*Thousands</f>
        <v>1.4834486009466168</v>
      </c>
      <c r="G38" s="263">
        <f>'SOE PoV Impact (IDR)'!I82/USD_IDR*Thousands</f>
        <v>1.5846875195765522</v>
      </c>
      <c r="H38" s="263">
        <f>'SOE PoV Impact (IDR)'!J82/USD_IDR*Thousands</f>
        <v>1.6869611777441549</v>
      </c>
      <c r="I38" s="263">
        <f>'SOE PoV Impact (IDR)'!K82/USD_IDR*Thousands</f>
        <v>1.7903006176355554</v>
      </c>
      <c r="J38" s="263">
        <f>'SOE PoV Impact (IDR)'!L82/USD_IDR*Thousands</f>
        <v>1.894737812702467</v>
      </c>
      <c r="K38" s="263">
        <f>'SOE PoV Impact (IDR)'!M82/USD_IDR*Thousands</f>
        <v>2.0003056956001557</v>
      </c>
      <c r="L38" s="263">
        <f>'SOE PoV Impact (IDR)'!N82/USD_IDR*Thousands</f>
        <v>2.1070381869635439</v>
      </c>
      <c r="O38" s="510"/>
    </row>
    <row r="39" spans="1:20">
      <c r="A39" s="407" t="s">
        <v>428</v>
      </c>
      <c r="D39" s="1">
        <f t="shared" ref="D39:L39" si="25">D38-D37</f>
        <v>5.910241059156518E-2</v>
      </c>
      <c r="E39" s="1">
        <f t="shared" si="25"/>
        <v>0.35003618454118079</v>
      </c>
      <c r="F39" s="1">
        <f t="shared" si="25"/>
        <v>0.41927515870018461</v>
      </c>
      <c r="G39" s="1">
        <f t="shared" si="25"/>
        <v>0.48858887406272733</v>
      </c>
      <c r="H39" s="1">
        <f t="shared" si="25"/>
        <v>0.55797957286491529</v>
      </c>
      <c r="I39" s="1">
        <f t="shared" si="25"/>
        <v>0.6274495646099385</v>
      </c>
      <c r="J39" s="1">
        <f t="shared" si="25"/>
        <v>0.69700122808608178</v>
      </c>
      <c r="K39" s="1">
        <f t="shared" si="25"/>
        <v>0.76663701344527868</v>
      </c>
      <c r="L39" s="1">
        <f t="shared" si="25"/>
        <v>0.83635944434402054</v>
      </c>
      <c r="O39" s="510"/>
      <c r="P39" t="s">
        <v>1121</v>
      </c>
      <c r="Q39" t="s">
        <v>389</v>
      </c>
      <c r="S39" t="s">
        <v>297</v>
      </c>
    </row>
    <row r="40" spans="1:20" ht="15" customHeight="1">
      <c r="O40" s="510"/>
      <c r="Q40" s="498" t="s">
        <v>1103</v>
      </c>
      <c r="R40" s="498" t="s">
        <v>1104</v>
      </c>
      <c r="S40" s="498" t="s">
        <v>1103</v>
      </c>
      <c r="T40" s="498" t="s">
        <v>1104</v>
      </c>
    </row>
    <row r="41" spans="1:20">
      <c r="A41" s="407" t="s">
        <v>429</v>
      </c>
      <c r="O41" s="510"/>
      <c r="P41" s="499" t="s">
        <v>1115</v>
      </c>
      <c r="Q41" s="500">
        <v>50000</v>
      </c>
      <c r="R41" s="500">
        <v>90000</v>
      </c>
      <c r="S41" s="229"/>
      <c r="T41" s="229"/>
    </row>
    <row r="42" spans="1:20">
      <c r="B42" s="407" t="s">
        <v>421</v>
      </c>
      <c r="O42" s="510"/>
      <c r="P42" s="499" t="s">
        <v>1116</v>
      </c>
      <c r="Q42" s="501">
        <v>1.2</v>
      </c>
      <c r="R42" s="501">
        <v>1.6</v>
      </c>
      <c r="S42" s="229"/>
      <c r="T42" s="229"/>
    </row>
    <row r="43" spans="1:20">
      <c r="B43" t="str">
        <f>'SOE PoV Impact (IDR)'!B33</f>
        <v>Waterfall - KBS Teluk Lamong</v>
      </c>
      <c r="D43" s="1" t="str">
        <f>'SOE PoV Impact (IDR)'!E33</f>
        <v>FY25</v>
      </c>
      <c r="E43" s="1" t="str">
        <f>'SOE PoV Impact (IDR)'!F33</f>
        <v>FY34</v>
      </c>
      <c r="P43" s="499" t="s">
        <v>1117</v>
      </c>
      <c r="Q43" s="500">
        <v>50000</v>
      </c>
      <c r="R43" s="500">
        <v>90000</v>
      </c>
      <c r="S43" s="229"/>
      <c r="T43" s="229"/>
    </row>
    <row r="44" spans="1:20">
      <c r="B44" t="str">
        <f>'SOE PoV Impact (IDR)'!B34</f>
        <v>Ebitda '25</v>
      </c>
      <c r="D44" s="1">
        <f>'SOE PoV Impact (IDR)'!E34/USD_IDR*Thousands</f>
        <v>2.598209749789905</v>
      </c>
      <c r="E44" s="1">
        <f>'SOE PoV Impact (IDR)'!F34/USD_IDR*Thousands</f>
        <v>5.2487320206536108</v>
      </c>
      <c r="P44" s="499" t="s">
        <v>1118</v>
      </c>
      <c r="Q44" s="502">
        <f>Q42*Million/Q43</f>
        <v>24</v>
      </c>
      <c r="R44" s="502">
        <f>R42*Million/R43</f>
        <v>17.777777777777779</v>
      </c>
      <c r="S44" s="256"/>
      <c r="T44" s="256"/>
    </row>
    <row r="45" spans="1:20">
      <c r="B45" t="str">
        <f>'SOE PoV Impact (IDR)'!B35</f>
        <v>Existing Business</v>
      </c>
      <c r="D45" s="1">
        <f>'SOE PoV Impact (IDR)'!E35/USD_IDR*Thousands</f>
        <v>0.79186465769965486</v>
      </c>
      <c r="E45" s="1">
        <f>'SOE PoV Impact (IDR)'!F35/USD_IDR*Thousands</f>
        <v>0</v>
      </c>
      <c r="P45" s="499" t="s">
        <v>1119</v>
      </c>
      <c r="Q45" s="511">
        <f>Q44-R44</f>
        <v>6.2222222222222214</v>
      </c>
      <c r="R45" s="512"/>
      <c r="S45" s="511">
        <f>S44-T44</f>
        <v>0</v>
      </c>
      <c r="T45" s="512"/>
    </row>
    <row r="46" spans="1:20">
      <c r="B46" t="str">
        <f>'SOE PoV Impact (IDR)'!B36</f>
        <v>New Business</v>
      </c>
      <c r="D46" s="1">
        <f>'SOE PoV Impact (IDR)'!E36/USD_IDR*Thousands</f>
        <v>1.7636034725411411</v>
      </c>
      <c r="E46" s="1">
        <f>'SOE PoV Impact (IDR)'!F36/USD_IDR*Thousands</f>
        <v>0</v>
      </c>
      <c r="P46" s="315"/>
    </row>
    <row r="47" spans="1:20">
      <c r="B47" t="str">
        <f>'SOE PoV Impact (IDR)'!B37</f>
        <v>Cost Savings</v>
      </c>
      <c r="D47" s="1">
        <f>'SOE PoV Impact (IDR)'!E37/USD_IDR*Thousands</f>
        <v>9.5054140622909844E-2</v>
      </c>
      <c r="E47" s="1">
        <f>'SOE PoV Impact (IDR)'!F37/USD_IDR*Thousands</f>
        <v>0</v>
      </c>
    </row>
    <row r="48" spans="1:20" ht="15" customHeight="1">
      <c r="P48" s="499" t="s">
        <v>1120</v>
      </c>
      <c r="Q48" s="513">
        <f>Q45+Q37</f>
        <v>7.4722222222222214</v>
      </c>
      <c r="R48" s="513"/>
      <c r="S48" s="513">
        <f>S45+S37</f>
        <v>3</v>
      </c>
      <c r="T48" s="513"/>
    </row>
    <row r="49" spans="2:18">
      <c r="B49" t="str">
        <f>'SOE PoV Impact (IDR)'!B199</f>
        <v>Waterfall - PELINDO</v>
      </c>
      <c r="D49" s="1" t="str">
        <f>'SOE PoV Impact (IDR)'!E199</f>
        <v>FY25</v>
      </c>
      <c r="E49" s="1" t="str">
        <f>'SOE PoV Impact (IDR)'!F199</f>
        <v>FY34</v>
      </c>
      <c r="Q49">
        <f>P54+P53</f>
        <v>106000000</v>
      </c>
      <c r="R49">
        <f>Q54+Q53</f>
        <v>76111111.111111119</v>
      </c>
    </row>
    <row r="50" spans="2:18">
      <c r="B50" t="str">
        <f>'SOE PoV Impact (IDR)'!B200</f>
        <v>Ebitda '25</v>
      </c>
      <c r="D50" s="1">
        <f>'SOE PoV Impact (IDR)'!E200/USD_IDR*Thousands</f>
        <v>11.178685824686822</v>
      </c>
      <c r="E50" s="1">
        <f>'SOE PoV Impact (IDR)'!F200/USD_IDR*Thousands</f>
        <v>18.88540488524032</v>
      </c>
      <c r="Q50">
        <f>Q49-R49</f>
        <v>29888888.888888881</v>
      </c>
    </row>
    <row r="51" spans="2:18">
      <c r="B51" t="str">
        <f>'SOE PoV Impact (IDR)'!B201</f>
        <v>Existing Business</v>
      </c>
      <c r="D51" s="480">
        <f>'SOE PoV Impact (IDR)'!E201/USD_IDR*Thousands</f>
        <v>2.7740338424510229</v>
      </c>
      <c r="E51" s="1">
        <f>'SOE PoV Impact (IDR)'!F201/USD_IDR*Thousands</f>
        <v>0</v>
      </c>
      <c r="Q51">
        <f>Q49-R49</f>
        <v>29888888.888888881</v>
      </c>
    </row>
    <row r="52" spans="2:18">
      <c r="B52" t="str">
        <f>'SOE PoV Impact (IDR)'!B202</f>
        <v>New Business</v>
      </c>
      <c r="D52" s="1">
        <f>'SOE PoV Impact (IDR)'!E202/USD_IDR*Thousands</f>
        <v>2.7202120195806461</v>
      </c>
      <c r="E52" s="1">
        <f>'SOE PoV Impact (IDR)'!F202/USD_IDR*Thousands</f>
        <v>0</v>
      </c>
      <c r="Q52" s="22">
        <f>Q51/4/Million</f>
        <v>7.4722222222222205</v>
      </c>
    </row>
    <row r="53" spans="2:18">
      <c r="B53" t="str">
        <f>'SOE PoV Impact (IDR)'!B203</f>
        <v>Cost Savings</v>
      </c>
      <c r="D53" s="1">
        <f>'SOE PoV Impact (IDR)'!E203/USD_IDR*Thousands</f>
        <v>2.2124731985218302</v>
      </c>
      <c r="E53" s="1">
        <f>'SOE PoV Impact (IDR)'!F203/USD_IDR*Thousands</f>
        <v>18.88540488524032</v>
      </c>
      <c r="P53">
        <f>$Q$32*Q31*$Q$34</f>
        <v>10000000</v>
      </c>
      <c r="Q53">
        <f>$Q$32*R31*$Q$34</f>
        <v>5000000</v>
      </c>
    </row>
    <row r="54" spans="2:18" ht="15" customHeight="1">
      <c r="P54">
        <f>Q44*4*Million</f>
        <v>96000000</v>
      </c>
      <c r="Q54">
        <f>R44*4*Million</f>
        <v>71111111.111111119</v>
      </c>
    </row>
    <row r="55" spans="2:18" ht="15" customHeight="1">
      <c r="D55" s="1">
        <f>SUM(D50:D53)</f>
        <v>18.885404885240323</v>
      </c>
      <c r="P55" s="22">
        <f>Q42/Q43*Million</f>
        <v>24</v>
      </c>
    </row>
  </sheetData>
  <mergeCells count="18">
    <mergeCell ref="Q45:R45"/>
    <mergeCell ref="S45:T45"/>
    <mergeCell ref="Q48:R48"/>
    <mergeCell ref="S48:T48"/>
    <mergeCell ref="Q37:R37"/>
    <mergeCell ref="S37:T37"/>
    <mergeCell ref="O40:O42"/>
    <mergeCell ref="O27:P27"/>
    <mergeCell ref="O28:O30"/>
    <mergeCell ref="O31:O33"/>
    <mergeCell ref="O36:P36"/>
    <mergeCell ref="O37:O39"/>
    <mergeCell ref="O16:O18"/>
    <mergeCell ref="O3:P3"/>
    <mergeCell ref="O4:O6"/>
    <mergeCell ref="O7:O9"/>
    <mergeCell ref="O12:P12"/>
    <mergeCell ref="O13:O15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51353-B2CA-42ED-8FE8-A5CDD103E6B9}">
  <sheetPr codeName="Sheet28"/>
  <dimension ref="A2:O203"/>
  <sheetViews>
    <sheetView showGridLines="0" topLeftCell="A188" workbookViewId="0">
      <selection activeCell="E201" sqref="E201"/>
    </sheetView>
  </sheetViews>
  <sheetFormatPr defaultColWidth="0" defaultRowHeight="15"/>
  <cols>
    <col min="1" max="1" width="15.42578125" bestFit="1" customWidth="1"/>
    <col min="2" max="2" width="24.140625" bestFit="1" customWidth="1"/>
    <col min="3" max="3" width="9.5703125" customWidth="1"/>
    <col min="4" max="4" width="8.7109375" customWidth="1"/>
    <col min="5" max="5" width="14.85546875" bestFit="1" customWidth="1"/>
    <col min="6" max="6" width="10.28515625" bestFit="1" customWidth="1"/>
    <col min="7" max="14" width="12.5703125" bestFit="1" customWidth="1"/>
    <col min="15" max="15" width="8.7109375" customWidth="1"/>
    <col min="16" max="16384" width="8.7109375" hidden="1"/>
  </cols>
  <sheetData>
    <row r="2" spans="2:15" ht="24" thickBot="1">
      <c r="B2" s="237" t="s">
        <v>421</v>
      </c>
      <c r="C2" s="237"/>
      <c r="F2" s="31">
        <f>F4/E4-1</f>
        <v>3.0000000000000027E-2</v>
      </c>
      <c r="G2" s="31">
        <f t="shared" ref="G2:N2" si="0">G4/F4-1</f>
        <v>3.0000000000000027E-2</v>
      </c>
      <c r="H2" s="31">
        <f t="shared" si="0"/>
        <v>3.0000000000000027E-2</v>
      </c>
      <c r="I2" s="31">
        <f t="shared" si="0"/>
        <v>3.0000000000000027E-2</v>
      </c>
      <c r="J2" s="31">
        <f t="shared" si="0"/>
        <v>3.0000000000000027E-2</v>
      </c>
      <c r="K2" s="31">
        <f t="shared" si="0"/>
        <v>3.0000000000000027E-2</v>
      </c>
      <c r="L2" s="31">
        <f t="shared" si="0"/>
        <v>3.0000000000000027E-2</v>
      </c>
      <c r="M2" s="31">
        <f t="shared" si="0"/>
        <v>3.0000000000000249E-2</v>
      </c>
      <c r="N2" s="31">
        <f t="shared" si="0"/>
        <v>3.0000000000000027E-2</v>
      </c>
    </row>
    <row r="3" spans="2:15">
      <c r="B3" s="2" t="s">
        <v>432</v>
      </c>
      <c r="C3" s="2"/>
      <c r="E3" s="2">
        <v>2025</v>
      </c>
      <c r="F3" s="2">
        <f>E3+1</f>
        <v>2026</v>
      </c>
      <c r="G3" s="2">
        <f t="shared" ref="G3:N3" si="1">F3+1</f>
        <v>2027</v>
      </c>
      <c r="H3" s="2">
        <f t="shared" si="1"/>
        <v>2028</v>
      </c>
      <c r="I3" s="2">
        <f t="shared" si="1"/>
        <v>2029</v>
      </c>
      <c r="J3" s="2">
        <f t="shared" si="1"/>
        <v>2030</v>
      </c>
      <c r="K3" s="2">
        <f t="shared" si="1"/>
        <v>2031</v>
      </c>
      <c r="L3" s="2">
        <f t="shared" si="1"/>
        <v>2032</v>
      </c>
      <c r="M3" s="2">
        <f t="shared" si="1"/>
        <v>2033</v>
      </c>
      <c r="N3" s="2">
        <f t="shared" si="1"/>
        <v>2034</v>
      </c>
    </row>
    <row r="4" spans="2:15">
      <c r="B4" s="407" t="s">
        <v>407</v>
      </c>
      <c r="C4" s="407"/>
      <c r="E4">
        <f>Calculation_FSL!K1278</f>
        <v>3582985.568</v>
      </c>
      <c r="F4">
        <f>Calculation_FSL!L1278</f>
        <v>3690475.1350400001</v>
      </c>
      <c r="G4">
        <f>Calculation_FSL!M1278</f>
        <v>3801189.3890912002</v>
      </c>
      <c r="H4">
        <f>Calculation_FSL!N1278</f>
        <v>3915225.0707639363</v>
      </c>
      <c r="I4">
        <f>Calculation_FSL!O1278</f>
        <v>4032681.8228868544</v>
      </c>
      <c r="J4">
        <f>Calculation_FSL!P1278</f>
        <v>4153662.2775734598</v>
      </c>
      <c r="K4">
        <f>Calculation_FSL!Q1278</f>
        <v>4278272.1459006639</v>
      </c>
      <c r="L4">
        <f>Calculation_FSL!R1278</f>
        <v>4406620.3102776837</v>
      </c>
      <c r="M4">
        <f>Calculation_FSL!S1278</f>
        <v>4538818.9195860149</v>
      </c>
      <c r="N4">
        <f>Calculation_FSL!T1278</f>
        <v>4674983.4871735955</v>
      </c>
    </row>
    <row r="5" spans="2:15" s="2" customFormat="1">
      <c r="B5" s="2" t="s">
        <v>433</v>
      </c>
      <c r="D5" s="2">
        <f>SUM(E5:N5)</f>
        <v>1432.693004725114</v>
      </c>
      <c r="E5" s="2">
        <f>Calculation_FSL!K1287</f>
        <v>124.97453661183999</v>
      </c>
      <c r="F5" s="2">
        <f>Calculation_FSL!L1287</f>
        <v>128.72377271019519</v>
      </c>
      <c r="G5" s="2">
        <f>Calculation_FSL!M1287</f>
        <v>132.58548589150107</v>
      </c>
      <c r="H5" s="2">
        <f>Calculation_FSL!N1287</f>
        <v>136.5630504682461</v>
      </c>
      <c r="I5" s="2">
        <f>Calculation_FSL!O1287</f>
        <v>140.65994198229347</v>
      </c>
      <c r="J5" s="2">
        <f>Calculation_FSL!P1287</f>
        <v>144.87974024176231</v>
      </c>
      <c r="K5" s="2">
        <f>Calculation_FSL!Q1287</f>
        <v>149.22613244901515</v>
      </c>
      <c r="L5" s="2">
        <f>Calculation_FSL!R1287</f>
        <v>153.7029164224856</v>
      </c>
      <c r="M5" s="2">
        <f>Calculation_FSL!S1287</f>
        <v>158.31400391516019</v>
      </c>
      <c r="N5" s="2">
        <f>Calculation_FSL!T1287</f>
        <v>163.06342403261499</v>
      </c>
      <c r="O5" s="2">
        <f>N5-E5</f>
        <v>38.088887420774995</v>
      </c>
    </row>
    <row r="6" spans="2:15">
      <c r="B6" s="407" t="s">
        <v>139</v>
      </c>
      <c r="C6" s="407"/>
      <c r="E6">
        <f>E7-Calculation_FSL!K1290</f>
        <v>42.259881580332802</v>
      </c>
      <c r="F6">
        <f>F7-Calculation_FSL!L1290</f>
        <v>43.52767802774278</v>
      </c>
      <c r="G6">
        <f>G7-Calculation_FSL!M1290</f>
        <v>44.833508368575075</v>
      </c>
      <c r="H6">
        <f>H7-Calculation_FSL!N1290</f>
        <v>46.178513619632326</v>
      </c>
      <c r="I6">
        <f>I7-Calculation_FSL!O1290</f>
        <v>47.563869028221291</v>
      </c>
      <c r="J6">
        <f>J7-Calculation_FSL!P1290</f>
        <v>48.990785099067942</v>
      </c>
      <c r="K6">
        <f>K7-Calculation_FSL!Q1290</f>
        <v>50.460508652039969</v>
      </c>
      <c r="L6">
        <f>L7-Calculation_FSL!R1290</f>
        <v>51.974323911601168</v>
      </c>
      <c r="M6">
        <f>M7-Calculation_FSL!S1290</f>
        <v>53.533553628949214</v>
      </c>
      <c r="N6">
        <f>N7-Calculation_FSL!T1290</f>
        <v>55.13956023781769</v>
      </c>
    </row>
    <row r="7" spans="2:15">
      <c r="B7" s="407" t="s">
        <v>434</v>
      </c>
      <c r="C7" s="407"/>
      <c r="E7">
        <f>Calculation_FSL!K1297</f>
        <v>33.743124885196799</v>
      </c>
      <c r="F7">
        <f>Calculation_FSL!L1297</f>
        <v>34.755418631752704</v>
      </c>
      <c r="G7">
        <f>Calculation_FSL!M1297</f>
        <v>35.79808119070529</v>
      </c>
      <c r="H7">
        <f>Calculation_FSL!N1297</f>
        <v>36.872023626426447</v>
      </c>
      <c r="I7">
        <f>Calculation_FSL!O1297</f>
        <v>37.97818433521924</v>
      </c>
      <c r="J7">
        <f>Calculation_FSL!P1297</f>
        <v>39.117529865275827</v>
      </c>
      <c r="K7">
        <f>Calculation_FSL!Q1297</f>
        <v>40.291055761234091</v>
      </c>
      <c r="L7">
        <f>Calculation_FSL!R1297</f>
        <v>41.499787434071116</v>
      </c>
      <c r="M7">
        <f>Calculation_FSL!S1297</f>
        <v>42.744781057093256</v>
      </c>
      <c r="N7">
        <f>Calculation_FSL!T1297</f>
        <v>44.027124488806052</v>
      </c>
    </row>
    <row r="8" spans="2:15">
      <c r="E8" s="31">
        <f>E6/E5</f>
        <v>0.33814793577981656</v>
      </c>
      <c r="F8" s="31">
        <f t="shared" ref="F8:N8" si="2">F6/F5</f>
        <v>0.3381479357798165</v>
      </c>
      <c r="G8" s="31">
        <f t="shared" si="2"/>
        <v>0.33814793577981656</v>
      </c>
      <c r="H8" s="31">
        <f t="shared" si="2"/>
        <v>0.3381479357798165</v>
      </c>
      <c r="I8" s="31">
        <f t="shared" si="2"/>
        <v>0.3381479357798165</v>
      </c>
      <c r="J8" s="31">
        <f t="shared" si="2"/>
        <v>0.33814793577981656</v>
      </c>
      <c r="K8" s="31">
        <f t="shared" si="2"/>
        <v>0.3381479357798165</v>
      </c>
      <c r="L8" s="31">
        <f t="shared" si="2"/>
        <v>0.33814793577981656</v>
      </c>
      <c r="M8" s="31">
        <f t="shared" si="2"/>
        <v>0.33814793577981656</v>
      </c>
      <c r="N8" s="31">
        <f t="shared" si="2"/>
        <v>0.33814793577981656</v>
      </c>
    </row>
    <row r="9" spans="2:15">
      <c r="B9" s="2" t="s">
        <v>435</v>
      </c>
      <c r="C9" s="2"/>
      <c r="F9" s="31">
        <f>F10/E10-1</f>
        <v>3.0000000000000027E-2</v>
      </c>
      <c r="G9" s="31">
        <f t="shared" ref="G9:N9" si="3">G10/F10-1</f>
        <v>3.0000000000000027E-2</v>
      </c>
      <c r="H9" s="31">
        <f t="shared" si="3"/>
        <v>3.0000000000000027E-2</v>
      </c>
      <c r="I9" s="123">
        <f t="shared" si="3"/>
        <v>3.0000000000000027E-2</v>
      </c>
      <c r="J9" s="31">
        <f t="shared" si="3"/>
        <v>3.0000000000000027E-2</v>
      </c>
      <c r="K9" s="31">
        <f t="shared" si="3"/>
        <v>3.0000000000000027E-2</v>
      </c>
      <c r="L9" s="31">
        <f t="shared" si="3"/>
        <v>3.0000000000000027E-2</v>
      </c>
      <c r="M9" s="31">
        <f t="shared" si="3"/>
        <v>3.0000000000000249E-2</v>
      </c>
      <c r="N9" s="31">
        <f t="shared" si="3"/>
        <v>3.0000000000000027E-2</v>
      </c>
    </row>
    <row r="10" spans="2:15">
      <c r="B10" s="407" t="s">
        <v>407</v>
      </c>
      <c r="C10" s="407"/>
      <c r="E10">
        <f>Calculation_FSL!K1302</f>
        <v>3582985.568</v>
      </c>
      <c r="F10">
        <f>Calculation_FSL!L1302</f>
        <v>3690475.1350400001</v>
      </c>
      <c r="G10">
        <f>Calculation_FSL!M1302</f>
        <v>3801189.3890912002</v>
      </c>
      <c r="H10">
        <f>Calculation_FSL!N1302</f>
        <v>3915225.0707639363</v>
      </c>
      <c r="I10">
        <f>Calculation_FSL!O1302</f>
        <v>4032681.8228868544</v>
      </c>
      <c r="J10">
        <f>Calculation_FSL!P1302</f>
        <v>4153662.2775734598</v>
      </c>
      <c r="K10">
        <f>Calculation_FSL!Q1302</f>
        <v>4278272.1459006639</v>
      </c>
      <c r="L10">
        <f>Calculation_FSL!R1302</f>
        <v>4406620.3102776837</v>
      </c>
      <c r="M10">
        <f>Calculation_FSL!S1302</f>
        <v>4538818.9195860149</v>
      </c>
      <c r="N10">
        <f>Calculation_FSL!T1302</f>
        <v>4674983.4871735955</v>
      </c>
    </row>
    <row r="11" spans="2:15">
      <c r="B11" s="407" t="s">
        <v>433</v>
      </c>
      <c r="C11" s="407"/>
    </row>
    <row r="12" spans="2:15">
      <c r="B12" s="407" t="s">
        <v>436</v>
      </c>
      <c r="C12" s="407"/>
      <c r="E12">
        <f>Calculation_FSL!K1311</f>
        <v>70.190021628747019</v>
      </c>
      <c r="F12">
        <f>Calculation_FSL!L1311</f>
        <v>72.295722277609428</v>
      </c>
      <c r="G12">
        <f>Calculation_FSL!M1311</f>
        <v>74.464593945937708</v>
      </c>
      <c r="H12">
        <f>Calculation_FSL!N1311</f>
        <v>76.698531764315845</v>
      </c>
      <c r="I12">
        <f>Calculation_FSL!O1311</f>
        <v>78.999487717245316</v>
      </c>
      <c r="J12">
        <f>Calculation_FSL!P1311</f>
        <v>81.369472348762685</v>
      </c>
      <c r="K12">
        <f>Calculation_FSL!Q1311</f>
        <v>83.810556519225557</v>
      </c>
      <c r="L12">
        <f>Calculation_FSL!R1311</f>
        <v>86.324873214802324</v>
      </c>
      <c r="M12">
        <f>Calculation_FSL!S1311</f>
        <v>88.914619411246406</v>
      </c>
      <c r="N12">
        <f>Calculation_FSL!T1311</f>
        <v>91.582057993583803</v>
      </c>
      <c r="O12">
        <f>N12-E12</f>
        <v>21.392036364836784</v>
      </c>
    </row>
    <row r="13" spans="2:15">
      <c r="B13" s="407" t="s">
        <v>437</v>
      </c>
      <c r="C13" s="407"/>
      <c r="E13">
        <f>Calculation_FSL!K451</f>
        <v>0</v>
      </c>
      <c r="F13">
        <f>Calculation_FSL!L451</f>
        <v>0</v>
      </c>
      <c r="G13">
        <f>Calculation_FSL!M451</f>
        <v>55.188018</v>
      </c>
      <c r="H13">
        <f>Calculation_FSL!N451</f>
        <v>56.84365854</v>
      </c>
      <c r="I13">
        <f>Calculation_FSL!O451</f>
        <v>58.548968296200009</v>
      </c>
      <c r="J13">
        <f>Calculation_FSL!P451</f>
        <v>60.305437345086006</v>
      </c>
      <c r="K13">
        <f>Calculation_FSL!Q451</f>
        <v>62.114600465438592</v>
      </c>
      <c r="L13">
        <f>Calculation_FSL!R451</f>
        <v>63.978038479401746</v>
      </c>
      <c r="M13">
        <f>Calculation_FSL!S451</f>
        <v>65.897379633783814</v>
      </c>
      <c r="N13">
        <f>Calculation_FSL!T451</f>
        <v>67.874301022797326</v>
      </c>
    </row>
    <row r="14" spans="2:15">
      <c r="B14" s="407" t="s">
        <v>438</v>
      </c>
      <c r="C14" s="407"/>
      <c r="E14">
        <f>Calculation_FSL!K486</f>
        <v>0</v>
      </c>
      <c r="F14">
        <f>Calculation_FSL!L486</f>
        <v>0</v>
      </c>
      <c r="G14">
        <f>Calculation_FSL!M486</f>
        <v>1.560414156</v>
      </c>
      <c r="H14">
        <f>Calculation_FSL!N486</f>
        <v>1.6072265806800001</v>
      </c>
      <c r="I14">
        <f>Calculation_FSL!O486</f>
        <v>1.6554433781003999</v>
      </c>
      <c r="J14">
        <f>Calculation_FSL!P486</f>
        <v>1.7051066794434122</v>
      </c>
      <c r="K14">
        <f>Calculation_FSL!Q486</f>
        <v>1.7562598798267148</v>
      </c>
      <c r="L14">
        <f>Calculation_FSL!R486</f>
        <v>1.8089476762215162</v>
      </c>
      <c r="M14">
        <f>Calculation_FSL!S486</f>
        <v>1.8632161065081616</v>
      </c>
      <c r="N14">
        <f>Calculation_FSL!T486</f>
        <v>1.9191125897034065</v>
      </c>
    </row>
    <row r="15" spans="2:15">
      <c r="B15" s="28" t="s">
        <v>53</v>
      </c>
      <c r="C15" s="28"/>
      <c r="D15" s="28">
        <f>SUM(E15:N15)</f>
        <v>1309.2760656506673</v>
      </c>
      <c r="E15" s="28">
        <f>SUM(E12:E14)</f>
        <v>70.190021628747019</v>
      </c>
      <c r="F15" s="28">
        <f t="shared" ref="F15:N15" si="4">SUM(F12:F14)</f>
        <v>72.295722277609428</v>
      </c>
      <c r="G15" s="28">
        <f t="shared" si="4"/>
        <v>131.21302610193771</v>
      </c>
      <c r="H15" s="28">
        <f t="shared" si="4"/>
        <v>135.14941688499584</v>
      </c>
      <c r="I15" s="28">
        <f t="shared" si="4"/>
        <v>139.20389939154572</v>
      </c>
      <c r="J15" s="28">
        <f t="shared" si="4"/>
        <v>143.38001637329211</v>
      </c>
      <c r="K15" s="28">
        <f t="shared" si="4"/>
        <v>147.68141686449087</v>
      </c>
      <c r="L15" s="28">
        <f t="shared" si="4"/>
        <v>152.11185937042558</v>
      </c>
      <c r="M15" s="28">
        <f t="shared" si="4"/>
        <v>156.6752151515384</v>
      </c>
      <c r="N15" s="28">
        <f t="shared" si="4"/>
        <v>161.37547160608455</v>
      </c>
      <c r="O15" s="302">
        <f>N15-E15</f>
        <v>91.185449977337527</v>
      </c>
    </row>
    <row r="16" spans="2:15">
      <c r="D16" s="31">
        <f>D15/D5-1</f>
        <v>-8.6143324960343604E-2</v>
      </c>
      <c r="O16">
        <f>O15-O5</f>
        <v>53.096562556562532</v>
      </c>
    </row>
    <row r="17" spans="2:15">
      <c r="E17">
        <v>0</v>
      </c>
      <c r="F17">
        <v>88.250399999999999</v>
      </c>
      <c r="G17">
        <v>90.897912000000005</v>
      </c>
      <c r="H17">
        <v>93.624849359999999</v>
      </c>
      <c r="I17">
        <v>96.433594840800012</v>
      </c>
      <c r="J17">
        <v>99.326602686023989</v>
      </c>
      <c r="K17">
        <v>102.30640076660475</v>
      </c>
      <c r="L17">
        <v>105.37559278960288</v>
      </c>
      <c r="M17">
        <v>108.53686057329098</v>
      </c>
      <c r="N17">
        <v>111.79296639048971</v>
      </c>
      <c r="O17">
        <f>O16*34%</f>
        <v>18.052831269231262</v>
      </c>
    </row>
    <row r="18" spans="2:15">
      <c r="B18" s="407" t="s">
        <v>139</v>
      </c>
      <c r="C18" s="407"/>
    </row>
    <row r="19" spans="2:15">
      <c r="B19" s="2" t="s">
        <v>394</v>
      </c>
      <c r="C19" s="2"/>
      <c r="D19" s="2"/>
      <c r="E19" s="2">
        <f>E6</f>
        <v>42.259881580332802</v>
      </c>
      <c r="F19" s="2">
        <f t="shared" ref="F19:N19" si="5">F6</f>
        <v>43.52767802774278</v>
      </c>
      <c r="G19" s="2">
        <f t="shared" si="5"/>
        <v>44.833508368575075</v>
      </c>
      <c r="H19" s="2">
        <f t="shared" si="5"/>
        <v>46.178513619632326</v>
      </c>
      <c r="I19" s="2">
        <f t="shared" si="5"/>
        <v>47.563869028221291</v>
      </c>
      <c r="J19" s="2">
        <f t="shared" si="5"/>
        <v>48.990785099067942</v>
      </c>
      <c r="K19" s="2">
        <f t="shared" si="5"/>
        <v>50.460508652039969</v>
      </c>
      <c r="L19" s="2">
        <f t="shared" si="5"/>
        <v>51.974323911601168</v>
      </c>
      <c r="M19" s="2">
        <f t="shared" si="5"/>
        <v>53.533553628949214</v>
      </c>
      <c r="N19" s="2">
        <f t="shared" si="5"/>
        <v>55.13956023781769</v>
      </c>
      <c r="O19" s="2">
        <f>N19-E19</f>
        <v>12.879678657484888</v>
      </c>
    </row>
    <row r="20" spans="2:15">
      <c r="B20" s="407" t="s">
        <v>435</v>
      </c>
      <c r="C20" s="407"/>
    </row>
    <row r="21" spans="2:15">
      <c r="B21" s="407" t="s">
        <v>436</v>
      </c>
      <c r="C21" s="407"/>
      <c r="E21">
        <f>Calculation_FSL!K1329-Calculation_FSL!K1314</f>
        <v>43.444804459184638</v>
      </c>
      <c r="F21">
        <f>Calculation_FSL!L1329-Calculation_FSL!L1314</f>
        <v>44.748148592960192</v>
      </c>
      <c r="G21">
        <f>Calculation_FSL!M1329-Calculation_FSL!M1314</f>
        <v>46.090593050748986</v>
      </c>
      <c r="H21">
        <f>Calculation_FSL!N1329-Calculation_FSL!N1314</f>
        <v>47.473310842271459</v>
      </c>
      <c r="I21">
        <f>Calculation_FSL!O1329-Calculation_FSL!O1314</f>
        <v>48.8975101675396</v>
      </c>
      <c r="J21">
        <f>Calculation_FSL!P1329-Calculation_FSL!P1314</f>
        <v>50.364435472565802</v>
      </c>
      <c r="K21">
        <f>Calculation_FSL!Q1329-Calculation_FSL!Q1314</f>
        <v>51.875368536742762</v>
      </c>
      <c r="L21">
        <f>Calculation_FSL!R1329-Calculation_FSL!R1314</f>
        <v>53.431629592845049</v>
      </c>
      <c r="M21">
        <f>Calculation_FSL!S1329-Calculation_FSL!S1314</f>
        <v>55.034578480630408</v>
      </c>
      <c r="N21">
        <f>Calculation_FSL!T1329-Calculation_FSL!T1314</f>
        <v>56.685615835049319</v>
      </c>
      <c r="O21">
        <f>N21-E21</f>
        <v>13.240811375864681</v>
      </c>
    </row>
    <row r="22" spans="2:15">
      <c r="B22" s="407" t="s">
        <v>437</v>
      </c>
      <c r="C22" s="407"/>
      <c r="D22" s="35">
        <f>SUM(Calculation_FSL!F457:F458)</f>
        <v>0.6</v>
      </c>
      <c r="E22">
        <f>(1-$D$22)*E13</f>
        <v>0</v>
      </c>
      <c r="F22">
        <f t="shared" ref="F22:N22" si="6">(1-$D$22)*F13</f>
        <v>0</v>
      </c>
      <c r="G22">
        <f t="shared" si="6"/>
        <v>22.075207200000001</v>
      </c>
      <c r="H22">
        <f t="shared" si="6"/>
        <v>22.737463416000001</v>
      </c>
      <c r="I22">
        <f t="shared" si="6"/>
        <v>23.419587318480005</v>
      </c>
      <c r="J22">
        <f t="shared" si="6"/>
        <v>24.122174938034405</v>
      </c>
      <c r="K22">
        <f t="shared" si="6"/>
        <v>24.845840186175437</v>
      </c>
      <c r="L22">
        <f t="shared" si="6"/>
        <v>25.591215391760699</v>
      </c>
      <c r="M22">
        <f t="shared" si="6"/>
        <v>26.358951853513528</v>
      </c>
      <c r="N22">
        <f t="shared" si="6"/>
        <v>27.149720409118931</v>
      </c>
      <c r="O22">
        <f>N22-E22</f>
        <v>27.149720409118931</v>
      </c>
    </row>
    <row r="23" spans="2:15">
      <c r="B23" s="407" t="s">
        <v>438</v>
      </c>
      <c r="C23" s="407"/>
      <c r="D23" s="35">
        <f>Calculation_FSL!F493</f>
        <v>0.2</v>
      </c>
      <c r="E23">
        <f>(1-$D$23)*E14</f>
        <v>0</v>
      </c>
      <c r="F23">
        <f t="shared" ref="F23:N23" si="7">(1-$D$23)*F14</f>
        <v>0</v>
      </c>
      <c r="G23">
        <f t="shared" si="7"/>
        <v>1.2483313248000001</v>
      </c>
      <c r="H23">
        <f t="shared" si="7"/>
        <v>1.2857812645440001</v>
      </c>
      <c r="I23">
        <f t="shared" si="7"/>
        <v>1.3243547024803199</v>
      </c>
      <c r="J23">
        <f t="shared" si="7"/>
        <v>1.3640853435547298</v>
      </c>
      <c r="K23">
        <f t="shared" si="7"/>
        <v>1.4050079038613719</v>
      </c>
      <c r="L23">
        <f t="shared" si="7"/>
        <v>1.447158140977213</v>
      </c>
      <c r="M23">
        <f t="shared" si="7"/>
        <v>1.4905728852065294</v>
      </c>
      <c r="N23">
        <f t="shared" si="7"/>
        <v>1.5352900717627254</v>
      </c>
      <c r="O23">
        <f>N23-E23</f>
        <v>1.5352900717627254</v>
      </c>
    </row>
    <row r="24" spans="2:15">
      <c r="B24" s="28" t="s">
        <v>139</v>
      </c>
      <c r="C24" s="28"/>
      <c r="D24" s="28"/>
      <c r="E24" s="28">
        <f>SUM(E21:E23)</f>
        <v>43.444804459184638</v>
      </c>
      <c r="F24" s="28">
        <f t="shared" ref="F24:N24" si="8">SUM(F21:F23)</f>
        <v>44.748148592960192</v>
      </c>
      <c r="G24" s="459">
        <f t="shared" si="8"/>
        <v>69.414131575548993</v>
      </c>
      <c r="H24" s="28">
        <f t="shared" si="8"/>
        <v>71.496555522815456</v>
      </c>
      <c r="I24" s="28">
        <f t="shared" si="8"/>
        <v>73.641452188499926</v>
      </c>
      <c r="J24" s="28">
        <f t="shared" si="8"/>
        <v>75.850695754154941</v>
      </c>
      <c r="K24" s="28">
        <f t="shared" si="8"/>
        <v>78.126216626779566</v>
      </c>
      <c r="L24" s="28">
        <f t="shared" si="8"/>
        <v>80.470003125582949</v>
      </c>
      <c r="M24" s="28">
        <f t="shared" si="8"/>
        <v>82.884103219350465</v>
      </c>
      <c r="N24" s="28">
        <f t="shared" si="8"/>
        <v>85.370626315930977</v>
      </c>
    </row>
    <row r="25" spans="2:15">
      <c r="E25" s="99">
        <f>E24/E19</f>
        <v>1.0280389540751407</v>
      </c>
      <c r="F25" s="99">
        <f t="shared" ref="F25:N25" si="9">F24/F19</f>
        <v>1.0280389540751411</v>
      </c>
      <c r="G25" s="99">
        <f t="shared" si="9"/>
        <v>1.5482645481343389</v>
      </c>
      <c r="H25" s="99">
        <f t="shared" si="9"/>
        <v>1.5482645481343389</v>
      </c>
      <c r="I25" s="99">
        <f t="shared" si="9"/>
        <v>1.5482645481343391</v>
      </c>
      <c r="J25" s="99">
        <f t="shared" si="9"/>
        <v>1.5482645481343391</v>
      </c>
      <c r="K25" s="99">
        <f t="shared" si="9"/>
        <v>1.5482645481343389</v>
      </c>
      <c r="L25" s="99">
        <f t="shared" si="9"/>
        <v>1.5482645481343389</v>
      </c>
      <c r="M25" s="99">
        <f t="shared" si="9"/>
        <v>1.5482645481343391</v>
      </c>
      <c r="N25" s="99">
        <f t="shared" si="9"/>
        <v>1.5482645481343391</v>
      </c>
    </row>
    <row r="26" spans="2:15">
      <c r="E26" s="31">
        <f>E25-1</f>
        <v>2.8038954075140676E-2</v>
      </c>
      <c r="F26" s="31">
        <f t="shared" ref="F26:N26" si="10">F25-1</f>
        <v>2.803895407514112E-2</v>
      </c>
      <c r="G26" s="31">
        <f t="shared" si="10"/>
        <v>0.54826454813433889</v>
      </c>
      <c r="H26" s="31">
        <f t="shared" si="10"/>
        <v>0.54826454813433889</v>
      </c>
      <c r="I26" s="31">
        <f t="shared" si="10"/>
        <v>0.54826454813433911</v>
      </c>
      <c r="J26" s="31">
        <f t="shared" si="10"/>
        <v>0.54826454813433911</v>
      </c>
      <c r="K26" s="31">
        <f t="shared" si="10"/>
        <v>0.54826454813433889</v>
      </c>
      <c r="L26" s="31">
        <f t="shared" si="10"/>
        <v>0.54826454813433889</v>
      </c>
      <c r="M26" s="31">
        <f t="shared" si="10"/>
        <v>0.54826454813433911</v>
      </c>
      <c r="N26" s="31">
        <f t="shared" si="10"/>
        <v>0.54826454813433911</v>
      </c>
    </row>
    <row r="27" spans="2:15">
      <c r="F27" s="31">
        <f>F24/F6-1</f>
        <v>2.803895407514112E-2</v>
      </c>
    </row>
    <row r="28" spans="2:15">
      <c r="B28" s="407" t="s">
        <v>439</v>
      </c>
      <c r="C28" s="407"/>
    </row>
    <row r="29" spans="2:15">
      <c r="B29" s="407" t="s">
        <v>394</v>
      </c>
      <c r="C29" s="407"/>
      <c r="E29">
        <f>E19</f>
        <v>42.259881580332802</v>
      </c>
      <c r="F29">
        <f t="shared" ref="F29:N29" si="11">F19</f>
        <v>43.52767802774278</v>
      </c>
      <c r="G29">
        <f t="shared" si="11"/>
        <v>44.833508368575075</v>
      </c>
      <c r="H29">
        <f t="shared" si="11"/>
        <v>46.178513619632326</v>
      </c>
      <c r="I29">
        <f t="shared" si="11"/>
        <v>47.563869028221291</v>
      </c>
      <c r="J29">
        <f t="shared" si="11"/>
        <v>48.990785099067942</v>
      </c>
      <c r="K29">
        <f t="shared" si="11"/>
        <v>50.460508652039969</v>
      </c>
      <c r="L29">
        <f t="shared" si="11"/>
        <v>51.974323911601168</v>
      </c>
      <c r="M29">
        <f t="shared" si="11"/>
        <v>53.533553628949214</v>
      </c>
      <c r="N29">
        <f t="shared" si="11"/>
        <v>55.13956023781769</v>
      </c>
    </row>
    <row r="30" spans="2:15">
      <c r="B30" s="407" t="s">
        <v>440</v>
      </c>
      <c r="C30" s="407"/>
    </row>
    <row r="31" spans="2:15">
      <c r="B31" s="407" t="s">
        <v>441</v>
      </c>
      <c r="C31" s="407"/>
      <c r="F31">
        <f>F21-F6</f>
        <v>1.2204705652174113</v>
      </c>
      <c r="G31">
        <f t="shared" ref="G31:M31" si="12">G21-G6</f>
        <v>1.257084682173911</v>
      </c>
      <c r="H31">
        <f t="shared" si="12"/>
        <v>1.2947972226391329</v>
      </c>
      <c r="I31">
        <f t="shared" si="12"/>
        <v>1.3336411393183099</v>
      </c>
      <c r="J31">
        <f t="shared" si="12"/>
        <v>1.3736503734978598</v>
      </c>
      <c r="K31">
        <f t="shared" si="12"/>
        <v>1.4148598847027927</v>
      </c>
      <c r="L31">
        <f t="shared" si="12"/>
        <v>1.4573056812438807</v>
      </c>
      <c r="M31">
        <f t="shared" si="12"/>
        <v>1.5010248516811941</v>
      </c>
      <c r="N31">
        <f>N21-N6</f>
        <v>1.5460555972316286</v>
      </c>
      <c r="O31">
        <f>N31-E31</f>
        <v>1.5460555972316286</v>
      </c>
    </row>
    <row r="33" spans="1:14">
      <c r="B33" s="429" t="s">
        <v>442</v>
      </c>
      <c r="C33" s="429"/>
      <c r="D33" s="54"/>
      <c r="E33" s="434" t="s">
        <v>443</v>
      </c>
      <c r="F33" s="429" t="s">
        <v>444</v>
      </c>
    </row>
    <row r="34" spans="1:14">
      <c r="B34" s="429" t="s">
        <v>445</v>
      </c>
      <c r="C34" s="429"/>
      <c r="D34" s="54"/>
      <c r="E34" s="54">
        <f>E6</f>
        <v>42.259881580332802</v>
      </c>
      <c r="F34" s="54">
        <f>N24</f>
        <v>85.370626315930977</v>
      </c>
      <c r="G34">
        <f>F34-E34</f>
        <v>43.110744735598175</v>
      </c>
    </row>
    <row r="35" spans="1:14">
      <c r="B35" s="429" t="s">
        <v>408</v>
      </c>
      <c r="C35" s="429"/>
      <c r="D35" s="54"/>
      <c r="E35" s="54">
        <f>O19</f>
        <v>12.879678657484888</v>
      </c>
      <c r="F35" s="54"/>
    </row>
    <row r="36" spans="1:14">
      <c r="B36" s="429" t="s">
        <v>446</v>
      </c>
      <c r="C36" s="429"/>
      <c r="D36" s="54"/>
      <c r="E36" s="54">
        <f>SUM(O22:O23)</f>
        <v>28.685010480881658</v>
      </c>
      <c r="F36" s="54"/>
    </row>
    <row r="37" spans="1:14">
      <c r="B37" s="429" t="s">
        <v>441</v>
      </c>
      <c r="C37" s="429"/>
      <c r="D37" s="54"/>
      <c r="E37" s="54">
        <f>O31</f>
        <v>1.5460555972316286</v>
      </c>
      <c r="F37" s="54"/>
      <c r="G37">
        <f>SUM(E35:E37)</f>
        <v>43.110744735598175</v>
      </c>
    </row>
    <row r="39" spans="1:14" ht="24" thickBot="1">
      <c r="B39" s="237" t="s">
        <v>430</v>
      </c>
      <c r="C39" s="237"/>
      <c r="F39" s="31">
        <f>F41/E41-1</f>
        <v>3.0000000000000027E-2</v>
      </c>
      <c r="G39" s="31">
        <f t="shared" ref="G39:N39" si="13">G41/F41-1</f>
        <v>3.0000000000000249E-2</v>
      </c>
      <c r="H39" s="31">
        <f t="shared" si="13"/>
        <v>3.0000000000000027E-2</v>
      </c>
      <c r="I39" s="31">
        <f t="shared" si="13"/>
        <v>3.0000000000000027E-2</v>
      </c>
      <c r="J39" s="31">
        <f t="shared" si="13"/>
        <v>3.0000000000000027E-2</v>
      </c>
      <c r="K39" s="31">
        <f t="shared" si="13"/>
        <v>3.0000000000000027E-2</v>
      </c>
      <c r="L39" s="31">
        <f t="shared" si="13"/>
        <v>3.0000000000000027E-2</v>
      </c>
      <c r="M39" s="31">
        <f t="shared" si="13"/>
        <v>3.0000000000000027E-2</v>
      </c>
      <c r="N39" s="31">
        <f t="shared" si="13"/>
        <v>2.9999999999999805E-2</v>
      </c>
    </row>
    <row r="40" spans="1:14">
      <c r="A40" s="407" t="s">
        <v>186</v>
      </c>
      <c r="B40" s="2" t="s">
        <v>432</v>
      </c>
      <c r="C40" s="2"/>
      <c r="E40" s="2">
        <v>2025</v>
      </c>
      <c r="F40" s="2">
        <f>E40+1</f>
        <v>2026</v>
      </c>
      <c r="G40" s="2">
        <f t="shared" ref="G40:N40" si="14">F40+1</f>
        <v>2027</v>
      </c>
      <c r="H40" s="2">
        <f t="shared" si="14"/>
        <v>2028</v>
      </c>
      <c r="I40" s="2">
        <f t="shared" si="14"/>
        <v>2029</v>
      </c>
      <c r="J40" s="2">
        <f t="shared" si="14"/>
        <v>2030</v>
      </c>
      <c r="K40" s="2">
        <f t="shared" si="14"/>
        <v>2031</v>
      </c>
      <c r="L40" s="2">
        <f t="shared" si="14"/>
        <v>2032</v>
      </c>
      <c r="M40" s="2">
        <f t="shared" si="14"/>
        <v>2033</v>
      </c>
      <c r="N40" s="2">
        <f t="shared" si="14"/>
        <v>2034</v>
      </c>
    </row>
    <row r="41" spans="1:14">
      <c r="B41" s="407" t="s">
        <v>407</v>
      </c>
      <c r="C41" s="407"/>
      <c r="E41">
        <f>Calculation_FSL!K1166+Calculation_FSL!K1188</f>
        <v>3776212.0342799998</v>
      </c>
      <c r="F41">
        <f>Calculation_FSL!L1166+Calculation_FSL!L1188</f>
        <v>3889498.3953083996</v>
      </c>
      <c r="G41">
        <f>Calculation_FSL!M1166+Calculation_FSL!M1188</f>
        <v>4006183.3471676521</v>
      </c>
      <c r="H41">
        <f>Calculation_FSL!N1166+Calculation_FSL!N1188</f>
        <v>4126368.847582682</v>
      </c>
      <c r="I41">
        <f>Calculation_FSL!O1166+Calculation_FSL!O1188</f>
        <v>4250159.9130101623</v>
      </c>
      <c r="J41">
        <f>Calculation_FSL!P1166+Calculation_FSL!P1188</f>
        <v>4377664.7104004677</v>
      </c>
      <c r="K41">
        <f>Calculation_FSL!Q1166+Calculation_FSL!Q1188</f>
        <v>4508994.6517124819</v>
      </c>
      <c r="L41">
        <f>Calculation_FSL!R1166+Calculation_FSL!R1188</f>
        <v>4644264.4912638562</v>
      </c>
      <c r="M41">
        <f>Calculation_FSL!S1166+Calculation_FSL!S1188</f>
        <v>4783592.4260017723</v>
      </c>
      <c r="N41">
        <f>Calculation_FSL!T1166+Calculation_FSL!T1188</f>
        <v>4927100.1987818247</v>
      </c>
    </row>
    <row r="42" spans="1:14">
      <c r="B42" s="407" t="s">
        <v>433</v>
      </c>
      <c r="C42" s="407"/>
      <c r="D42">
        <f>SUM(E42:N42)</f>
        <v>3548.2198774149383</v>
      </c>
      <c r="E42">
        <f>Calculation_FSL!K1206</f>
        <v>309.51301745340231</v>
      </c>
      <c r="F42" s="462">
        <f>Calculation_FSL!L1206</f>
        <v>318.79840797700439</v>
      </c>
      <c r="G42">
        <f>Calculation_FSL!M1206</f>
        <v>328.36236021631453</v>
      </c>
      <c r="H42">
        <f>Calculation_FSL!N1206</f>
        <v>338.21323102280405</v>
      </c>
      <c r="I42">
        <f>Calculation_FSL!O1206</f>
        <v>348.35962795348814</v>
      </c>
      <c r="J42">
        <f>Calculation_FSL!P1206</f>
        <v>358.81041679209284</v>
      </c>
      <c r="K42">
        <f>Calculation_FSL!Q1206</f>
        <v>369.5747292958556</v>
      </c>
      <c r="L42">
        <f>Calculation_FSL!R1206</f>
        <v>380.66197117473126</v>
      </c>
      <c r="M42">
        <f>Calculation_FSL!S1206</f>
        <v>392.08183030997327</v>
      </c>
      <c r="N42">
        <f>Calculation_FSL!T1206</f>
        <v>403.84428521927236</v>
      </c>
    </row>
    <row r="43" spans="1:14">
      <c r="B43" s="407" t="s">
        <v>139</v>
      </c>
      <c r="C43" s="407"/>
      <c r="E43">
        <f>Calculation_FSL!K1210-(Calculation_FSL!K1200+Calculation_FSL!K1178)</f>
        <v>114.30702787908531</v>
      </c>
      <c r="F43">
        <f>Calculation_FSL!L1210-(Calculation_FSL!L1200+Calculation_FSL!L1178)</f>
        <v>117.73623871545786</v>
      </c>
      <c r="G43">
        <f>Calculation_FSL!M1210-(Calculation_FSL!M1200+Calculation_FSL!M1178)</f>
        <v>121.26832587692158</v>
      </c>
      <c r="H43">
        <f>Calculation_FSL!N1210-(Calculation_FSL!N1200+Calculation_FSL!N1178)</f>
        <v>124.90637565322928</v>
      </c>
      <c r="I43">
        <f>Calculation_FSL!O1210-(Calculation_FSL!O1200+Calculation_FSL!O1178)</f>
        <v>128.65356692282612</v>
      </c>
      <c r="J43">
        <f>Calculation_FSL!P1210-(Calculation_FSL!P1200+Calculation_FSL!P1178)</f>
        <v>132.51317393051093</v>
      </c>
      <c r="K43">
        <f>Calculation_FSL!Q1210-(Calculation_FSL!Q1200+Calculation_FSL!Q1178)</f>
        <v>136.48856914842625</v>
      </c>
      <c r="L43">
        <f>Calculation_FSL!R1210-(Calculation_FSL!R1200+Calculation_FSL!R1178)</f>
        <v>140.58322622287903</v>
      </c>
      <c r="M43">
        <f>Calculation_FSL!S1210-(Calculation_FSL!S1200+Calculation_FSL!S1178)</f>
        <v>144.80072300956544</v>
      </c>
      <c r="N43">
        <f>Calculation_FSL!T1210-(Calculation_FSL!T1200+Calculation_FSL!T1178)</f>
        <v>149.14474469985237</v>
      </c>
    </row>
    <row r="44" spans="1:14">
      <c r="B44" s="407" t="s">
        <v>434</v>
      </c>
      <c r="C44" s="407"/>
      <c r="E44">
        <f>Calculation_FSL!K1210</f>
        <v>83.568514712418647</v>
      </c>
      <c r="F44">
        <f>Calculation_FSL!L1210</f>
        <v>86.07557015379119</v>
      </c>
      <c r="G44">
        <f>Calculation_FSL!M1210</f>
        <v>88.657837258404925</v>
      </c>
      <c r="H44">
        <f>Calculation_FSL!N1210</f>
        <v>91.317572376157102</v>
      </c>
      <c r="I44">
        <f>Calculation_FSL!O1210</f>
        <v>94.057099547441794</v>
      </c>
      <c r="J44">
        <f>Calculation_FSL!P1210</f>
        <v>96.878812533865073</v>
      </c>
      <c r="K44">
        <f>Calculation_FSL!Q1210</f>
        <v>99.785176909881017</v>
      </c>
      <c r="L44">
        <f>Calculation_FSL!R1210</f>
        <v>102.77873221717745</v>
      </c>
      <c r="M44">
        <f>Calculation_FSL!S1210</f>
        <v>105.86209418369279</v>
      </c>
      <c r="N44">
        <f>Calculation_FSL!T1210</f>
        <v>109.03795700920355</v>
      </c>
    </row>
    <row r="45" spans="1:14">
      <c r="E45" s="31"/>
      <c r="F45" s="31"/>
      <c r="G45" s="31"/>
      <c r="H45" s="31"/>
      <c r="I45" s="31"/>
      <c r="J45" s="31"/>
      <c r="K45" s="31"/>
      <c r="L45" s="31"/>
      <c r="M45" s="31"/>
      <c r="N45" s="31"/>
    </row>
    <row r="46" spans="1:14">
      <c r="B46" s="2" t="s">
        <v>435</v>
      </c>
      <c r="C46" s="2"/>
      <c r="F46" s="31">
        <f t="shared" ref="F46:N46" si="15">F47/E47-1</f>
        <v>3.0000000000000027E-2</v>
      </c>
      <c r="G46" s="31">
        <f t="shared" si="15"/>
        <v>3.0000000000000249E-2</v>
      </c>
      <c r="H46" s="31">
        <f t="shared" si="15"/>
        <v>3.0000000000000027E-2</v>
      </c>
      <c r="I46" s="123">
        <f t="shared" si="15"/>
        <v>3.0000000000000027E-2</v>
      </c>
      <c r="J46" s="31">
        <f t="shared" si="15"/>
        <v>3.0000000000000027E-2</v>
      </c>
      <c r="K46" s="31">
        <f t="shared" si="15"/>
        <v>3.0000000000000027E-2</v>
      </c>
      <c r="L46" s="31">
        <f t="shared" si="15"/>
        <v>3.0000000000000027E-2</v>
      </c>
      <c r="M46" s="31">
        <f t="shared" si="15"/>
        <v>3.0000000000000027E-2</v>
      </c>
      <c r="N46" s="31">
        <f t="shared" si="15"/>
        <v>2.9999999999999805E-2</v>
      </c>
    </row>
    <row r="47" spans="1:14">
      <c r="B47" s="407" t="s">
        <v>407</v>
      </c>
      <c r="C47" s="407"/>
      <c r="E47">
        <f>Calculation_FSL!K1215+Calculation_FSL!K1239</f>
        <v>3776212.0342799998</v>
      </c>
      <c r="F47">
        <f>Calculation_FSL!L1215+Calculation_FSL!L1239</f>
        <v>3889498.3953083996</v>
      </c>
      <c r="G47">
        <f>Calculation_FSL!M1215+Calculation_FSL!M1239</f>
        <v>4006183.3471676521</v>
      </c>
      <c r="H47">
        <f>Calculation_FSL!N1215+Calculation_FSL!N1239</f>
        <v>4126368.847582682</v>
      </c>
      <c r="I47">
        <f>Calculation_FSL!O1215+Calculation_FSL!O1239</f>
        <v>4250159.9130101623</v>
      </c>
      <c r="J47">
        <f>Calculation_FSL!P1215+Calculation_FSL!P1239</f>
        <v>4377664.7104004677</v>
      </c>
      <c r="K47">
        <f>Calculation_FSL!Q1215+Calculation_FSL!Q1239</f>
        <v>4508994.6517124819</v>
      </c>
      <c r="L47">
        <f>Calculation_FSL!R1215+Calculation_FSL!R1239</f>
        <v>4644264.4912638562</v>
      </c>
      <c r="M47">
        <f>Calculation_FSL!S1215+Calculation_FSL!S1239</f>
        <v>4783592.4260017723</v>
      </c>
      <c r="N47">
        <f>Calculation_FSL!T1215+Calculation_FSL!T1239</f>
        <v>4927100.1987818247</v>
      </c>
    </row>
    <row r="48" spans="1:14">
      <c r="B48" s="407" t="s">
        <v>433</v>
      </c>
      <c r="C48" s="407"/>
    </row>
    <row r="49" spans="1:14">
      <c r="B49" s="407" t="s">
        <v>436</v>
      </c>
      <c r="C49" s="407"/>
      <c r="D49">
        <f>SUM(E49:N49)</f>
        <v>2899.7434900754224</v>
      </c>
      <c r="E49">
        <f>Calculation_FSL!K1265</f>
        <v>252.94609366429268</v>
      </c>
      <c r="F49" s="462">
        <f>Calculation_FSL!L1265</f>
        <v>260.53447647422149</v>
      </c>
      <c r="G49">
        <f>Calculation_FSL!M1265</f>
        <v>268.35051076844809</v>
      </c>
      <c r="H49">
        <f>Calculation_FSL!N1265</f>
        <v>276.40102609150159</v>
      </c>
      <c r="I49">
        <f>Calculation_FSL!O1265</f>
        <v>284.69305687424662</v>
      </c>
      <c r="J49">
        <f>Calculation_FSL!P1265</f>
        <v>293.23384858047405</v>
      </c>
      <c r="K49">
        <f>Calculation_FSL!Q1265</f>
        <v>302.03086403788831</v>
      </c>
      <c r="L49">
        <f>Calculation_FSL!R1265</f>
        <v>311.09178995902488</v>
      </c>
      <c r="M49">
        <f>Calculation_FSL!S1265</f>
        <v>320.42454365779565</v>
      </c>
      <c r="N49">
        <f>Calculation_FSL!T1265</f>
        <v>330.03727996752946</v>
      </c>
    </row>
    <row r="50" spans="1:14">
      <c r="B50" s="407" t="s">
        <v>447</v>
      </c>
      <c r="C50" s="407"/>
      <c r="E50">
        <f>Calculation_FSL!K232</f>
        <v>0</v>
      </c>
      <c r="F50">
        <f>Calculation_FSL!L232</f>
        <v>0</v>
      </c>
      <c r="G50">
        <f>Calculation_FSL!M232</f>
        <v>0.7412366694335305</v>
      </c>
      <c r="H50">
        <f>Calculation_FSL!N232</f>
        <v>0.76527376951653636</v>
      </c>
      <c r="I50">
        <f>Calculation_FSL!O232</f>
        <v>0.79003198260203245</v>
      </c>
      <c r="J50">
        <f>Calculation_FSL!P232</f>
        <v>0.81553294208009353</v>
      </c>
      <c r="K50">
        <f>Calculation_FSL!Q232</f>
        <v>0.84179893034249642</v>
      </c>
      <c r="L50">
        <f>Calculation_FSL!R232</f>
        <v>0.86885289825277123</v>
      </c>
      <c r="M50">
        <f>Calculation_FSL!S232</f>
        <v>0.89671848520035446</v>
      </c>
      <c r="N50">
        <f>Calculation_FSL!T232</f>
        <v>0.92542003975636489</v>
      </c>
    </row>
    <row r="51" spans="1:14">
      <c r="B51" s="28" t="s">
        <v>53</v>
      </c>
      <c r="C51" s="28"/>
      <c r="D51" s="28">
        <f>SUM(E51:N51)</f>
        <v>2906.3883557926074</v>
      </c>
      <c r="E51" s="28">
        <f t="shared" ref="E51:N51" si="16">SUM(E49:E50)</f>
        <v>252.94609366429268</v>
      </c>
      <c r="F51" s="28">
        <f t="shared" si="16"/>
        <v>260.53447647422149</v>
      </c>
      <c r="G51" s="28">
        <f t="shared" si="16"/>
        <v>269.09174743788162</v>
      </c>
      <c r="H51" s="28">
        <f t="shared" si="16"/>
        <v>277.1662998610181</v>
      </c>
      <c r="I51" s="28">
        <f t="shared" si="16"/>
        <v>285.48308885684867</v>
      </c>
      <c r="J51" s="28">
        <f t="shared" si="16"/>
        <v>294.04938152255414</v>
      </c>
      <c r="K51" s="28">
        <f t="shared" si="16"/>
        <v>302.87266296823083</v>
      </c>
      <c r="L51" s="28">
        <f t="shared" si="16"/>
        <v>311.96064285727766</v>
      </c>
      <c r="M51" s="28">
        <f t="shared" si="16"/>
        <v>321.32126214299603</v>
      </c>
      <c r="N51" s="28">
        <f t="shared" si="16"/>
        <v>330.96270000728583</v>
      </c>
    </row>
    <row r="52" spans="1:14">
      <c r="D52" s="31">
        <f>D51/D42-1</f>
        <v>-0.18088831690158347</v>
      </c>
    </row>
    <row r="54" spans="1:14">
      <c r="B54" s="407" t="s">
        <v>139</v>
      </c>
      <c r="C54" s="407"/>
    </row>
    <row r="55" spans="1:14">
      <c r="B55" s="2" t="s">
        <v>394</v>
      </c>
      <c r="C55" s="2"/>
      <c r="D55" s="2"/>
      <c r="E55" s="2">
        <f t="shared" ref="E55:N55" si="17">E43</f>
        <v>114.30702787908531</v>
      </c>
      <c r="F55" s="467">
        <f t="shared" si="17"/>
        <v>117.73623871545786</v>
      </c>
      <c r="G55" s="2">
        <f t="shared" si="17"/>
        <v>121.26832587692158</v>
      </c>
      <c r="H55" s="2">
        <f t="shared" si="17"/>
        <v>124.90637565322928</v>
      </c>
      <c r="I55" s="2">
        <f t="shared" si="17"/>
        <v>128.65356692282612</v>
      </c>
      <c r="J55" s="2">
        <f t="shared" si="17"/>
        <v>132.51317393051093</v>
      </c>
      <c r="K55" s="2">
        <f t="shared" si="17"/>
        <v>136.48856914842625</v>
      </c>
      <c r="L55" s="2">
        <f t="shared" si="17"/>
        <v>140.58322622287903</v>
      </c>
      <c r="M55" s="2">
        <f t="shared" si="17"/>
        <v>144.80072300956544</v>
      </c>
      <c r="N55" s="2">
        <f t="shared" si="17"/>
        <v>149.14474469985237</v>
      </c>
    </row>
    <row r="56" spans="1:14">
      <c r="B56" s="407" t="s">
        <v>435</v>
      </c>
      <c r="C56" s="407"/>
    </row>
    <row r="57" spans="1:14">
      <c r="B57" s="407" t="s">
        <v>436</v>
      </c>
      <c r="C57" s="407"/>
      <c r="E57">
        <f>Calculation_FSL!K1266-(Calculation_FSL!K1251+Calculation_FSL!K1227)</f>
        <v>125.3436310228762</v>
      </c>
      <c r="F57">
        <f>Calculation_FSL!L1266-(Calculation_FSL!L1251+Calculation_FSL!L1227)</f>
        <v>129.1039399535625</v>
      </c>
      <c r="G57">
        <f>Calculation_FSL!M1266-(Calculation_FSL!M1251+Calculation_FSL!M1227)</f>
        <v>132.97705815216935</v>
      </c>
      <c r="H57">
        <f>Calculation_FSL!N1266-(Calculation_FSL!N1251+Calculation_FSL!N1227)</f>
        <v>136.96636989673445</v>
      </c>
      <c r="I57">
        <f>Calculation_FSL!O1266-(Calculation_FSL!O1251+Calculation_FSL!O1227)</f>
        <v>141.07536099363648</v>
      </c>
      <c r="J57">
        <f>Calculation_FSL!P1266-(Calculation_FSL!P1251+Calculation_FSL!P1227)</f>
        <v>145.30762182344554</v>
      </c>
      <c r="K57">
        <f>Calculation_FSL!Q1266-(Calculation_FSL!Q1251+Calculation_FSL!Q1227)</f>
        <v>149.66685047814897</v>
      </c>
      <c r="L57">
        <f>Calculation_FSL!R1266-(Calculation_FSL!R1251+Calculation_FSL!R1227)</f>
        <v>154.1568559924934</v>
      </c>
      <c r="M57">
        <f>Calculation_FSL!S1266-(Calculation_FSL!S1251+Calculation_FSL!S1227)</f>
        <v>158.7815616722682</v>
      </c>
      <c r="N57">
        <f>Calculation_FSL!T1266-(Calculation_FSL!T1251+Calculation_FSL!T1227)</f>
        <v>163.54500852243623</v>
      </c>
    </row>
    <row r="58" spans="1:14">
      <c r="B58" s="407" t="s">
        <v>447</v>
      </c>
      <c r="C58" s="407"/>
      <c r="D58" s="35">
        <f>D23</f>
        <v>0.2</v>
      </c>
      <c r="E58">
        <f t="shared" ref="E58:N58" si="18">(1-$D$23)*E50</f>
        <v>0</v>
      </c>
      <c r="F58">
        <f t="shared" si="18"/>
        <v>0</v>
      </c>
      <c r="G58">
        <f t="shared" si="18"/>
        <v>0.59298933554682443</v>
      </c>
      <c r="H58">
        <f t="shared" si="18"/>
        <v>0.61221901561322911</v>
      </c>
      <c r="I58">
        <f t="shared" si="18"/>
        <v>0.63202558608162596</v>
      </c>
      <c r="J58">
        <f t="shared" si="18"/>
        <v>0.65242635366407487</v>
      </c>
      <c r="K58">
        <f t="shared" si="18"/>
        <v>0.6734391442739972</v>
      </c>
      <c r="L58">
        <f t="shared" si="18"/>
        <v>0.69508231860221703</v>
      </c>
      <c r="M58">
        <f t="shared" si="18"/>
        <v>0.71737478816028366</v>
      </c>
      <c r="N58">
        <f t="shared" si="18"/>
        <v>0.740336031805092</v>
      </c>
    </row>
    <row r="59" spans="1:14">
      <c r="B59" s="28" t="s">
        <v>139</v>
      </c>
      <c r="C59" s="28"/>
      <c r="D59" s="28"/>
      <c r="E59" s="28">
        <f t="shared" ref="E59:N59" si="19">SUM(E57:E58)</f>
        <v>125.3436310228762</v>
      </c>
      <c r="F59" s="28">
        <f t="shared" si="19"/>
        <v>129.1039399535625</v>
      </c>
      <c r="G59" s="28">
        <f t="shared" si="19"/>
        <v>133.57004748771618</v>
      </c>
      <c r="H59" s="28">
        <f t="shared" si="19"/>
        <v>137.57858891234767</v>
      </c>
      <c r="I59" s="28">
        <f t="shared" si="19"/>
        <v>141.7073865797181</v>
      </c>
      <c r="J59" s="28">
        <f t="shared" si="19"/>
        <v>145.96004817710963</v>
      </c>
      <c r="K59" s="28">
        <f t="shared" si="19"/>
        <v>150.34028962242297</v>
      </c>
      <c r="L59" s="28">
        <f t="shared" si="19"/>
        <v>154.85193831109561</v>
      </c>
      <c r="M59" s="28">
        <f t="shared" si="19"/>
        <v>159.49893646042847</v>
      </c>
      <c r="N59" s="28">
        <f t="shared" si="19"/>
        <v>164.28534455424133</v>
      </c>
    </row>
    <row r="60" spans="1:14">
      <c r="E60" s="99">
        <f t="shared" ref="E60:N60" si="20">E59/E55</f>
        <v>1.096552271094525</v>
      </c>
      <c r="F60" s="99">
        <f t="shared" si="20"/>
        <v>1.0965522710945255</v>
      </c>
      <c r="G60" s="99">
        <f t="shared" si="20"/>
        <v>1.1014421657249556</v>
      </c>
      <c r="H60" s="99">
        <f t="shared" si="20"/>
        <v>1.1014536943598425</v>
      </c>
      <c r="I60" s="99">
        <f t="shared" si="20"/>
        <v>1.1014648872092481</v>
      </c>
      <c r="J60" s="99">
        <f t="shared" si="20"/>
        <v>1.1014757540533302</v>
      </c>
      <c r="K60" s="99">
        <f t="shared" si="20"/>
        <v>1.1014863043873915</v>
      </c>
      <c r="L60" s="99">
        <f t="shared" si="20"/>
        <v>1.1014965474301688</v>
      </c>
      <c r="M60" s="99">
        <f t="shared" si="20"/>
        <v>1.101506492131894</v>
      </c>
      <c r="N60" s="99">
        <f t="shared" si="20"/>
        <v>1.1015161471821135</v>
      </c>
    </row>
    <row r="61" spans="1:14">
      <c r="E61" s="31">
        <f t="shared" ref="E61:N61" si="21">E60-1</f>
        <v>9.6552271094525022E-2</v>
      </c>
      <c r="F61" s="31">
        <f t="shared" si="21"/>
        <v>9.6552271094525466E-2</v>
      </c>
      <c r="G61" s="31">
        <f t="shared" si="21"/>
        <v>0.10144216572495557</v>
      </c>
      <c r="H61" s="31">
        <f t="shared" si="21"/>
        <v>0.10145369435984253</v>
      </c>
      <c r="I61" s="31">
        <f t="shared" si="21"/>
        <v>0.10146488720924807</v>
      </c>
      <c r="J61" s="31">
        <f t="shared" si="21"/>
        <v>0.1014757540533302</v>
      </c>
      <c r="K61" s="31">
        <f t="shared" si="21"/>
        <v>0.10148630438739148</v>
      </c>
      <c r="L61" s="31">
        <f t="shared" si="21"/>
        <v>0.10149654743016878</v>
      </c>
      <c r="M61" s="31">
        <f t="shared" si="21"/>
        <v>0.101506492131894</v>
      </c>
      <c r="N61" s="31">
        <f t="shared" si="21"/>
        <v>0.10151614718211355</v>
      </c>
    </row>
    <row r="63" spans="1:14">
      <c r="A63" s="407" t="s">
        <v>390</v>
      </c>
      <c r="B63" s="2" t="s">
        <v>432</v>
      </c>
      <c r="C63" s="2"/>
      <c r="E63">
        <v>2025</v>
      </c>
      <c r="F63">
        <f>E63+1</f>
        <v>2026</v>
      </c>
      <c r="G63">
        <f t="shared" ref="G63:N63" si="22">F63+1</f>
        <v>2027</v>
      </c>
      <c r="H63">
        <f t="shared" si="22"/>
        <v>2028</v>
      </c>
      <c r="I63">
        <f t="shared" si="22"/>
        <v>2029</v>
      </c>
      <c r="J63">
        <f t="shared" si="22"/>
        <v>2030</v>
      </c>
      <c r="K63">
        <f t="shared" si="22"/>
        <v>2031</v>
      </c>
      <c r="L63">
        <f t="shared" si="22"/>
        <v>2032</v>
      </c>
      <c r="M63">
        <f t="shared" si="22"/>
        <v>2033</v>
      </c>
      <c r="N63">
        <f t="shared" si="22"/>
        <v>2034</v>
      </c>
    </row>
    <row r="64" spans="1:14">
      <c r="B64" s="407" t="s">
        <v>407</v>
      </c>
      <c r="C64" s="407"/>
      <c r="E64">
        <f>Calculation_FSL!K1346</f>
        <v>772500</v>
      </c>
      <c r="F64">
        <f>Calculation_FSL!L1346</f>
        <v>795675</v>
      </c>
      <c r="G64">
        <f>Calculation_FSL!M1346</f>
        <v>819545.25</v>
      </c>
      <c r="H64">
        <f>Calculation_FSL!N1346</f>
        <v>844131.60750000016</v>
      </c>
      <c r="I64">
        <f>Calculation_FSL!O1346</f>
        <v>869455.5557250001</v>
      </c>
      <c r="J64">
        <f>Calculation_FSL!P1346</f>
        <v>895539.22239675012</v>
      </c>
      <c r="K64">
        <f>Calculation_FSL!Q1346</f>
        <v>922405.39906865265</v>
      </c>
      <c r="L64">
        <f>Calculation_FSL!R1346</f>
        <v>950077.56104071229</v>
      </c>
      <c r="M64">
        <f>Calculation_FSL!S1346</f>
        <v>978579.88787193364</v>
      </c>
      <c r="N64">
        <f>Calculation_FSL!T1346</f>
        <v>1007937.2845080916</v>
      </c>
    </row>
    <row r="65" spans="2:14">
      <c r="B65" s="407" t="s">
        <v>433</v>
      </c>
      <c r="C65" s="407"/>
      <c r="D65">
        <f>SUM(E65:N65)</f>
        <v>487.07157224611274</v>
      </c>
      <c r="E65">
        <f>Calculation_FSL!K1349</f>
        <v>42.487499999999997</v>
      </c>
      <c r="F65">
        <f>Calculation_FSL!L1349</f>
        <v>43.762124999999997</v>
      </c>
      <c r="G65">
        <f>Calculation_FSL!M1349</f>
        <v>45.074988750000003</v>
      </c>
      <c r="H65">
        <f>Calculation_FSL!N1349</f>
        <v>46.42723841250001</v>
      </c>
      <c r="I65">
        <f>Calculation_FSL!O1349</f>
        <v>47.820055564875005</v>
      </c>
      <c r="J65">
        <f>Calculation_FSL!P1349</f>
        <v>49.254657231821255</v>
      </c>
      <c r="K65">
        <f>Calculation_FSL!Q1349</f>
        <v>50.732296948775897</v>
      </c>
      <c r="L65">
        <f>Calculation_FSL!R1349</f>
        <v>52.254265857239176</v>
      </c>
      <c r="M65">
        <f>Calculation_FSL!S1349</f>
        <v>53.821893832956356</v>
      </c>
      <c r="N65">
        <f>Calculation_FSL!T1349</f>
        <v>55.43655064794504</v>
      </c>
    </row>
    <row r="66" spans="2:14">
      <c r="B66" s="407" t="s">
        <v>139</v>
      </c>
      <c r="C66" s="407"/>
      <c r="E66">
        <f>Calculation_FSL!K1355</f>
        <v>15.839986600622304</v>
      </c>
      <c r="F66">
        <f>Calculation_FSL!L1355</f>
        <v>16.315186198640973</v>
      </c>
      <c r="G66">
        <f>Calculation_FSL!M1355</f>
        <v>16.804641784600214</v>
      </c>
      <c r="H66">
        <f>Calculation_FSL!N1355</f>
        <v>17.308781038138221</v>
      </c>
      <c r="I66">
        <f>Calculation_FSL!O1355</f>
        <v>17.828044469282361</v>
      </c>
      <c r="J66">
        <f>Calculation_FSL!P1355</f>
        <v>18.362885803360832</v>
      </c>
      <c r="K66">
        <f>Calculation_FSL!Q1355</f>
        <v>18.913772377461658</v>
      </c>
      <c r="L66">
        <f>Calculation_FSL!R1355</f>
        <v>19.481185548785508</v>
      </c>
      <c r="M66">
        <f>Calculation_FSL!S1355</f>
        <v>20.065621115249076</v>
      </c>
      <c r="N66">
        <f>Calculation_FSL!T1355</f>
        <v>20.667589748706551</v>
      </c>
    </row>
    <row r="67" spans="2:14">
      <c r="B67" s="407" t="s">
        <v>434</v>
      </c>
      <c r="C67" s="407"/>
      <c r="E67">
        <f>Calculation_FSL!K1358</f>
        <v>11.471624999999996</v>
      </c>
      <c r="F67">
        <f>Calculation_FSL!L1358</f>
        <v>11.815773749999995</v>
      </c>
      <c r="G67">
        <f>Calculation_FSL!M1358</f>
        <v>12.170246962500009</v>
      </c>
      <c r="H67">
        <f>Calculation_FSL!N1358</f>
        <v>12.535354371375007</v>
      </c>
      <c r="I67">
        <f>Calculation_FSL!O1358</f>
        <v>12.91141500251625</v>
      </c>
      <c r="J67">
        <f>Calculation_FSL!P1358</f>
        <v>13.29875745259174</v>
      </c>
      <c r="K67">
        <f>Calculation_FSL!Q1358</f>
        <v>13.697720176169494</v>
      </c>
      <c r="L67">
        <f>Calculation_FSL!R1358</f>
        <v>14.108651781454576</v>
      </c>
      <c r="M67">
        <f>Calculation_FSL!S1358</f>
        <v>14.531911334898219</v>
      </c>
      <c r="N67">
        <f>Calculation_FSL!T1358</f>
        <v>14.967868674945166</v>
      </c>
    </row>
    <row r="68" spans="2:14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2:14">
      <c r="B69" s="2" t="s">
        <v>435</v>
      </c>
      <c r="C69" s="2"/>
      <c r="F69" s="31">
        <f t="shared" ref="F69:N69" si="23">F70/E70-1</f>
        <v>3.0000000000000027E-2</v>
      </c>
      <c r="G69" s="31">
        <f t="shared" si="23"/>
        <v>0.28135890910233452</v>
      </c>
      <c r="H69" s="31">
        <f t="shared" si="23"/>
        <v>7.3156495506207397E-2</v>
      </c>
      <c r="I69" s="123">
        <f t="shared" si="23"/>
        <v>6.8843590395043064E-2</v>
      </c>
      <c r="J69" s="31">
        <f t="shared" si="23"/>
        <v>6.5059049315116635E-2</v>
      </c>
      <c r="K69" s="31">
        <f t="shared" si="23"/>
        <v>6.1713172327075849E-2</v>
      </c>
      <c r="L69" s="31">
        <f t="shared" si="23"/>
        <v>5.8735514863114346E-2</v>
      </c>
      <c r="M69" s="31">
        <f t="shared" si="23"/>
        <v>5.6069984274920159E-2</v>
      </c>
      <c r="N69" s="31">
        <f t="shared" si="23"/>
        <v>5.3671362154380509E-2</v>
      </c>
    </row>
    <row r="70" spans="2:14">
      <c r="B70" s="407" t="s">
        <v>407</v>
      </c>
      <c r="C70" s="407"/>
      <c r="E70">
        <f>Calculation_FSL!K1363</f>
        <v>772500</v>
      </c>
      <c r="F70">
        <f>Calculation_FSL!L1363</f>
        <v>795675</v>
      </c>
      <c r="G70">
        <f>Calculation_FSL!M1363</f>
        <v>1019545.25</v>
      </c>
      <c r="H70">
        <f>Calculation_FSL!N1363</f>
        <v>1094131.6075000002</v>
      </c>
      <c r="I70">
        <f>Calculation_FSL!O1363</f>
        <v>1169455.5557250001</v>
      </c>
      <c r="J70">
        <f>Calculation_FSL!P1363</f>
        <v>1245539.22239675</v>
      </c>
      <c r="K70">
        <f>Calculation_FSL!Q1363</f>
        <v>1322405.3990686527</v>
      </c>
      <c r="L70">
        <f>Calculation_FSL!R1363</f>
        <v>1400077.5610407123</v>
      </c>
      <c r="M70">
        <f>Calculation_FSL!S1363</f>
        <v>1478579.8878719336</v>
      </c>
      <c r="N70">
        <f>Calculation_FSL!T1363</f>
        <v>1557937.2845080916</v>
      </c>
    </row>
    <row r="71" spans="2:14">
      <c r="B71" s="407" t="s">
        <v>433</v>
      </c>
      <c r="C71" s="407"/>
    </row>
    <row r="72" spans="2:14">
      <c r="B72" s="407" t="s">
        <v>436</v>
      </c>
      <c r="C72" s="407"/>
      <c r="D72">
        <f>SUM(E72:N72)</f>
        <v>461.31971948397745</v>
      </c>
      <c r="E72">
        <f>Calculation_FSL!K1366</f>
        <v>30.058543288523708</v>
      </c>
      <c r="F72">
        <f>Calculation_FSL!L1366</f>
        <v>30.960299587179421</v>
      </c>
      <c r="G72">
        <f>Calculation_FSL!M1366</f>
        <v>39.671255704509683</v>
      </c>
      <c r="H72">
        <f>Calculation_FSL!N1366</f>
        <v>42.573465744182251</v>
      </c>
      <c r="I72">
        <f>Calculation_FSL!O1366</f>
        <v>45.504375981572117</v>
      </c>
      <c r="J72">
        <f>Calculation_FSL!P1366</f>
        <v>48.464847422610831</v>
      </c>
      <c r="K72">
        <f>Calculation_FSL!Q1366</f>
        <v>51.455766903407849</v>
      </c>
      <c r="L72">
        <f>Calculation_FSL!R1366</f>
        <v>54.478047865155915</v>
      </c>
      <c r="M72">
        <f>Calculation_FSL!S1366</f>
        <v>57.532631152283564</v>
      </c>
      <c r="N72">
        <f>Calculation_FSL!T1366</f>
        <v>60.62048583455217</v>
      </c>
    </row>
    <row r="73" spans="2:14">
      <c r="B73" s="407" t="s">
        <v>447</v>
      </c>
      <c r="C73" s="407"/>
      <c r="E73">
        <f>Calculation_FSL!K709</f>
        <v>0</v>
      </c>
      <c r="F73">
        <f>Calculation_FSL!L709</f>
        <v>0</v>
      </c>
      <c r="G73">
        <f>Calculation_FSL!M709</f>
        <v>0.4507498875</v>
      </c>
      <c r="H73">
        <f>Calculation_FSL!N709</f>
        <v>0.46427238412500005</v>
      </c>
      <c r="I73">
        <f>Calculation_FSL!O709</f>
        <v>0.47820055564875008</v>
      </c>
      <c r="J73">
        <f>Calculation_FSL!P709</f>
        <v>0.49254657231821258</v>
      </c>
      <c r="K73">
        <f>Calculation_FSL!Q709</f>
        <v>0.5073229694877589</v>
      </c>
      <c r="L73">
        <f>Calculation_FSL!R709</f>
        <v>0.52254265857239179</v>
      </c>
      <c r="M73">
        <f>Calculation_FSL!S709</f>
        <v>0.53821893832956347</v>
      </c>
      <c r="N73">
        <f>Calculation_FSL!T709</f>
        <v>0.55436550647945038</v>
      </c>
    </row>
    <row r="74" spans="2:14">
      <c r="B74" s="28" t="s">
        <v>53</v>
      </c>
      <c r="C74" s="28"/>
      <c r="D74" s="28">
        <f>SUM(E74:N74)</f>
        <v>465.32793895643863</v>
      </c>
      <c r="E74" s="28">
        <f t="shared" ref="E74:N74" si="24">SUM(E72:E73)</f>
        <v>30.058543288523708</v>
      </c>
      <c r="F74" s="28">
        <f t="shared" si="24"/>
        <v>30.960299587179421</v>
      </c>
      <c r="G74" s="28">
        <f t="shared" si="24"/>
        <v>40.122005592009685</v>
      </c>
      <c r="H74" s="28">
        <f t="shared" si="24"/>
        <v>43.037738128307254</v>
      </c>
      <c r="I74" s="28">
        <f t="shared" si="24"/>
        <v>45.982576537220865</v>
      </c>
      <c r="J74" s="28">
        <f t="shared" si="24"/>
        <v>48.957393994929042</v>
      </c>
      <c r="K74" s="28">
        <f t="shared" si="24"/>
        <v>51.963089872895608</v>
      </c>
      <c r="L74" s="28">
        <f t="shared" si="24"/>
        <v>55.000590523728306</v>
      </c>
      <c r="M74" s="28">
        <f t="shared" si="24"/>
        <v>58.070850090613128</v>
      </c>
      <c r="N74" s="28">
        <f t="shared" si="24"/>
        <v>61.174851341031619</v>
      </c>
    </row>
    <row r="75" spans="2:14">
      <c r="D75" s="31"/>
    </row>
    <row r="77" spans="2:14">
      <c r="B77" s="407" t="s">
        <v>139</v>
      </c>
      <c r="C77" s="407"/>
    </row>
    <row r="78" spans="2:14">
      <c r="B78" s="2" t="s">
        <v>394</v>
      </c>
      <c r="C78" s="2"/>
      <c r="D78" s="2">
        <f>SUM(E78:N78)</f>
        <v>181.58769468484772</v>
      </c>
      <c r="E78" s="2">
        <f>E66</f>
        <v>15.839986600622304</v>
      </c>
      <c r="F78" s="2">
        <f t="shared" ref="F78:N78" si="25">F66</f>
        <v>16.315186198640973</v>
      </c>
      <c r="G78" s="2">
        <f t="shared" si="25"/>
        <v>16.804641784600214</v>
      </c>
      <c r="H78" s="2">
        <f t="shared" si="25"/>
        <v>17.308781038138221</v>
      </c>
      <c r="I78" s="2">
        <f t="shared" si="25"/>
        <v>17.828044469282361</v>
      </c>
      <c r="J78" s="2">
        <f t="shared" si="25"/>
        <v>18.362885803360832</v>
      </c>
      <c r="K78" s="2">
        <f t="shared" si="25"/>
        <v>18.913772377461658</v>
      </c>
      <c r="L78" s="2">
        <f t="shared" si="25"/>
        <v>19.481185548785508</v>
      </c>
      <c r="M78" s="2">
        <f t="shared" si="25"/>
        <v>20.065621115249076</v>
      </c>
      <c r="N78" s="2">
        <f t="shared" si="25"/>
        <v>20.667589748706551</v>
      </c>
    </row>
    <row r="79" spans="2:14">
      <c r="B79" s="407" t="s">
        <v>435</v>
      </c>
      <c r="C79" s="407"/>
    </row>
    <row r="80" spans="2:14">
      <c r="B80" s="407" t="s">
        <v>436</v>
      </c>
      <c r="C80" s="407"/>
      <c r="E80">
        <f>Calculation_FSL!K1372</f>
        <v>16.773288259138617</v>
      </c>
      <c r="F80">
        <f>Calculation_FSL!L1372</f>
        <v>17.276486906912776</v>
      </c>
      <c r="G80">
        <f>Calculation_FSL!M1372</f>
        <v>22.137380416162522</v>
      </c>
      <c r="H80">
        <f>Calculation_FSL!N1372</f>
        <v>23.75687358709672</v>
      </c>
      <c r="I80">
        <f>Calculation_FSL!O1372</f>
        <v>25.392382061393619</v>
      </c>
      <c r="J80">
        <f>Calculation_FSL!P1372</f>
        <v>27.044386298154109</v>
      </c>
      <c r="K80">
        <f>Calculation_FSL!Q1372</f>
        <v>28.713381170252102</v>
      </c>
      <c r="L80">
        <f>Calculation_FSL!R1372</f>
        <v>30.399876396747711</v>
      </c>
      <c r="M80">
        <f>Calculation_FSL!S1372</f>
        <v>32.104396988272882</v>
      </c>
      <c r="N80">
        <f>Calculation_FSL!T1372</f>
        <v>33.827483705778477</v>
      </c>
    </row>
    <row r="81" spans="1:14">
      <c r="B81" s="407" t="s">
        <v>447</v>
      </c>
      <c r="C81" s="407"/>
      <c r="D81" s="35">
        <f>D58</f>
        <v>0.2</v>
      </c>
      <c r="E81">
        <f t="shared" ref="E81:N81" si="26">(1-$D$23)*E73</f>
        <v>0</v>
      </c>
      <c r="F81">
        <f t="shared" si="26"/>
        <v>0</v>
      </c>
      <c r="G81">
        <f t="shared" si="26"/>
        <v>0.36059991000000002</v>
      </c>
      <c r="H81">
        <f t="shared" si="26"/>
        <v>0.37141790730000007</v>
      </c>
      <c r="I81">
        <f t="shared" si="26"/>
        <v>0.38256044451900006</v>
      </c>
      <c r="J81">
        <f t="shared" si="26"/>
        <v>0.39403725785457011</v>
      </c>
      <c r="K81">
        <f t="shared" si="26"/>
        <v>0.40585837559020715</v>
      </c>
      <c r="L81">
        <f t="shared" si="26"/>
        <v>0.41803412685791347</v>
      </c>
      <c r="M81">
        <f t="shared" si="26"/>
        <v>0.43057515066365082</v>
      </c>
      <c r="N81">
        <f t="shared" si="26"/>
        <v>0.44349240518356031</v>
      </c>
    </row>
    <row r="82" spans="1:14">
      <c r="B82" s="28" t="s">
        <v>139</v>
      </c>
      <c r="C82" s="28"/>
      <c r="D82" s="2">
        <f>SUM(E82:N82)</f>
        <v>260.63251136787846</v>
      </c>
      <c r="E82" s="28">
        <f t="shared" ref="E82:N82" si="27">SUM(E80:E81)</f>
        <v>16.773288259138617</v>
      </c>
      <c r="F82" s="28">
        <f t="shared" si="27"/>
        <v>17.276486906912776</v>
      </c>
      <c r="G82" s="28">
        <f t="shared" si="27"/>
        <v>22.497980326162523</v>
      </c>
      <c r="H82" s="28">
        <f t="shared" si="27"/>
        <v>24.12829149439672</v>
      </c>
      <c r="I82" s="28">
        <f t="shared" si="27"/>
        <v>25.77494250591262</v>
      </c>
      <c r="J82" s="28">
        <f t="shared" si="27"/>
        <v>27.438423556008679</v>
      </c>
      <c r="K82" s="28">
        <f t="shared" si="27"/>
        <v>29.119239545842309</v>
      </c>
      <c r="L82" s="28">
        <f t="shared" si="27"/>
        <v>30.817910523605626</v>
      </c>
      <c r="M82" s="28">
        <f t="shared" si="27"/>
        <v>32.534972138936531</v>
      </c>
      <c r="N82" s="28">
        <f t="shared" si="27"/>
        <v>34.270976110962039</v>
      </c>
    </row>
    <row r="83" spans="1:14">
      <c r="E83" s="99">
        <f t="shared" ref="E83:N83" si="28">E82/E78</f>
        <v>1.0589206090919072</v>
      </c>
      <c r="F83" s="99">
        <f t="shared" si="28"/>
        <v>1.0589206090919072</v>
      </c>
      <c r="G83" s="99">
        <f t="shared" si="28"/>
        <v>1.3387955907979954</v>
      </c>
      <c r="H83" s="99">
        <f t="shared" si="28"/>
        <v>1.3939913758936791</v>
      </c>
      <c r="I83" s="99">
        <f t="shared" si="28"/>
        <v>1.4457526483245389</v>
      </c>
      <c r="J83" s="99">
        <f t="shared" si="28"/>
        <v>1.4942326522003864</v>
      </c>
      <c r="K83" s="99">
        <f t="shared" si="28"/>
        <v>1.5395786184115157</v>
      </c>
      <c r="L83" s="99">
        <f t="shared" si="28"/>
        <v>1.5819319849107885</v>
      </c>
      <c r="M83" s="99">
        <f t="shared" si="28"/>
        <v>1.6214286092649901</v>
      </c>
      <c r="N83" s="99">
        <f t="shared" si="28"/>
        <v>1.6581989737389109</v>
      </c>
    </row>
    <row r="84" spans="1:14">
      <c r="E84" s="31">
        <f t="shared" ref="E84:N84" si="29">E83-1</f>
        <v>5.8920609091907217E-2</v>
      </c>
      <c r="F84" s="31">
        <f t="shared" si="29"/>
        <v>5.8920609091907217E-2</v>
      </c>
      <c r="G84" s="31">
        <f t="shared" si="29"/>
        <v>0.33879559079799537</v>
      </c>
      <c r="H84" s="31">
        <f t="shared" si="29"/>
        <v>0.39399137589367905</v>
      </c>
      <c r="I84" s="31">
        <f t="shared" si="29"/>
        <v>0.44575264832453887</v>
      </c>
      <c r="J84" s="31">
        <f t="shared" si="29"/>
        <v>0.49423265220038637</v>
      </c>
      <c r="K84" s="31">
        <f t="shared" si="29"/>
        <v>0.53957861841151566</v>
      </c>
      <c r="L84" s="31">
        <f t="shared" si="29"/>
        <v>0.58193198491078846</v>
      </c>
      <c r="M84" s="31">
        <f t="shared" si="29"/>
        <v>0.62142860926499011</v>
      </c>
      <c r="N84" s="31">
        <f t="shared" si="29"/>
        <v>0.6581989737389109</v>
      </c>
    </row>
    <row r="86" spans="1:14">
      <c r="A86" s="407" t="s">
        <v>297</v>
      </c>
      <c r="B86" s="2" t="s">
        <v>432</v>
      </c>
      <c r="C86" s="2"/>
      <c r="E86">
        <v>2025</v>
      </c>
      <c r="F86">
        <f>E86+1</f>
        <v>2026</v>
      </c>
      <c r="G86">
        <f t="shared" ref="G86:N86" si="30">F86+1</f>
        <v>2027</v>
      </c>
      <c r="H86">
        <f t="shared" si="30"/>
        <v>2028</v>
      </c>
      <c r="I86">
        <f t="shared" si="30"/>
        <v>2029</v>
      </c>
      <c r="J86">
        <f t="shared" si="30"/>
        <v>2030</v>
      </c>
      <c r="K86">
        <f t="shared" si="30"/>
        <v>2031</v>
      </c>
      <c r="L86">
        <f t="shared" si="30"/>
        <v>2032</v>
      </c>
      <c r="M86">
        <f t="shared" si="30"/>
        <v>2033</v>
      </c>
      <c r="N86">
        <f t="shared" si="30"/>
        <v>2034</v>
      </c>
    </row>
    <row r="87" spans="1:14">
      <c r="B87" s="407" t="s">
        <v>407</v>
      </c>
      <c r="C87" s="407"/>
    </row>
    <row r="88" spans="1:14">
      <c r="B88" s="430" t="s">
        <v>448</v>
      </c>
      <c r="C88" s="430"/>
      <c r="D88" s="57">
        <v>50000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>
      <c r="B89" s="430" t="s">
        <v>449</v>
      </c>
      <c r="C89" s="430"/>
      <c r="D89" s="57">
        <v>49000</v>
      </c>
      <c r="E89">
        <v>987114.85714285728</v>
      </c>
      <c r="F89">
        <v>1016728.302857143</v>
      </c>
      <c r="G89">
        <v>1047230.1519428573</v>
      </c>
      <c r="H89">
        <v>1078647.0565011431</v>
      </c>
      <c r="I89">
        <v>1111006.4681961774</v>
      </c>
      <c r="J89">
        <v>1144336.6622420629</v>
      </c>
      <c r="K89">
        <v>1178666.7621093248</v>
      </c>
      <c r="L89">
        <v>1214026.7649726046</v>
      </c>
      <c r="M89">
        <v>1250447.5679217828</v>
      </c>
      <c r="N89">
        <v>1287960.9949594364</v>
      </c>
    </row>
    <row r="90" spans="1:14">
      <c r="B90" s="407" t="s">
        <v>433</v>
      </c>
      <c r="C90" s="407"/>
      <c r="D90">
        <f>SUM(E90:N90)</f>
        <v>0</v>
      </c>
    </row>
    <row r="91" spans="1:14">
      <c r="B91" s="430" t="s">
        <v>448</v>
      </c>
      <c r="C91" s="430"/>
      <c r="E91">
        <f>E88*$D88/Billion</f>
        <v>0</v>
      </c>
      <c r="F91">
        <f t="shared" ref="F91:N92" si="31">F88*$D88/Billion</f>
        <v>0</v>
      </c>
      <c r="G91">
        <f t="shared" si="31"/>
        <v>0</v>
      </c>
      <c r="H91">
        <f t="shared" si="31"/>
        <v>0</v>
      </c>
      <c r="I91">
        <f t="shared" si="31"/>
        <v>0</v>
      </c>
      <c r="J91">
        <f t="shared" si="31"/>
        <v>0</v>
      </c>
      <c r="K91">
        <f t="shared" si="31"/>
        <v>0</v>
      </c>
      <c r="L91">
        <f t="shared" si="31"/>
        <v>0</v>
      </c>
      <c r="M91">
        <f t="shared" si="31"/>
        <v>0</v>
      </c>
      <c r="N91">
        <f t="shared" si="31"/>
        <v>0</v>
      </c>
    </row>
    <row r="92" spans="1:14">
      <c r="B92" s="430" t="s">
        <v>449</v>
      </c>
      <c r="C92" s="430"/>
      <c r="E92">
        <f>E89*$D89/Billion</f>
        <v>48.368628000000008</v>
      </c>
      <c r="F92">
        <f t="shared" si="31"/>
        <v>49.81968684000001</v>
      </c>
      <c r="G92">
        <f t="shared" si="31"/>
        <v>51.314277445200005</v>
      </c>
      <c r="H92">
        <f t="shared" si="31"/>
        <v>52.853705768556019</v>
      </c>
      <c r="I92">
        <f t="shared" si="31"/>
        <v>54.439316941612695</v>
      </c>
      <c r="J92">
        <f t="shared" si="31"/>
        <v>56.072496449861077</v>
      </c>
      <c r="K92">
        <f t="shared" si="31"/>
        <v>57.754671343356918</v>
      </c>
      <c r="L92">
        <f t="shared" si="31"/>
        <v>59.487311483657621</v>
      </c>
      <c r="M92">
        <f t="shared" si="31"/>
        <v>61.271930828167356</v>
      </c>
      <c r="N92">
        <f t="shared" si="31"/>
        <v>63.110088753012384</v>
      </c>
    </row>
    <row r="93" spans="1:14">
      <c r="B93" s="28" t="s">
        <v>9</v>
      </c>
      <c r="C93" s="28"/>
      <c r="D93" s="28"/>
      <c r="E93" s="28">
        <f>SUM(E91:E92)</f>
        <v>48.368628000000008</v>
      </c>
      <c r="F93" s="28">
        <f t="shared" ref="F93:N93" si="32">SUM(F91:F92)</f>
        <v>49.81968684000001</v>
      </c>
      <c r="G93" s="28">
        <f t="shared" si="32"/>
        <v>51.314277445200005</v>
      </c>
      <c r="H93" s="28">
        <f t="shared" si="32"/>
        <v>52.853705768556019</v>
      </c>
      <c r="I93" s="28">
        <f t="shared" si="32"/>
        <v>54.439316941612695</v>
      </c>
      <c r="J93" s="28">
        <f t="shared" si="32"/>
        <v>56.072496449861077</v>
      </c>
      <c r="K93" s="28">
        <f t="shared" si="32"/>
        <v>57.754671343356918</v>
      </c>
      <c r="L93" s="28">
        <f t="shared" si="32"/>
        <v>59.487311483657621</v>
      </c>
      <c r="M93" s="28">
        <f t="shared" si="32"/>
        <v>61.271930828167356</v>
      </c>
      <c r="N93" s="28">
        <f t="shared" si="32"/>
        <v>63.110088753012384</v>
      </c>
    </row>
    <row r="95" spans="1:14">
      <c r="B95" s="407" t="s">
        <v>450</v>
      </c>
      <c r="C95" s="407"/>
      <c r="D95" s="35">
        <v>0.63</v>
      </c>
      <c r="E95">
        <f>-E93*$D$95</f>
        <v>-30.472235640000005</v>
      </c>
      <c r="F95">
        <f t="shared" ref="F95:N95" si="33">-F93*$D$95</f>
        <v>-31.386402709200006</v>
      </c>
      <c r="G95">
        <f t="shared" si="33"/>
        <v>-32.327994790476005</v>
      </c>
      <c r="H95">
        <f t="shared" si="33"/>
        <v>-33.297834634190295</v>
      </c>
      <c r="I95">
        <f t="shared" si="33"/>
        <v>-34.296769673215998</v>
      </c>
      <c r="J95">
        <f t="shared" si="33"/>
        <v>-35.325672763412477</v>
      </c>
      <c r="K95">
        <f t="shared" si="33"/>
        <v>-36.385442946314861</v>
      </c>
      <c r="L95">
        <f t="shared" si="33"/>
        <v>-37.477006234704298</v>
      </c>
      <c r="M95">
        <f t="shared" si="33"/>
        <v>-38.601316421745437</v>
      </c>
      <c r="N95">
        <f t="shared" si="33"/>
        <v>-39.759355914397801</v>
      </c>
    </row>
    <row r="96" spans="1:14">
      <c r="B96" s="28" t="s">
        <v>139</v>
      </c>
      <c r="C96" s="28"/>
      <c r="D96" s="28"/>
      <c r="E96" s="28">
        <f>SUM(E93,E95)</f>
        <v>17.896392360000004</v>
      </c>
      <c r="F96" s="28">
        <f t="shared" ref="F96:N96" si="34">SUM(F93,F95)</f>
        <v>18.433284130800004</v>
      </c>
      <c r="G96" s="28">
        <f t="shared" si="34"/>
        <v>18.986282654724</v>
      </c>
      <c r="H96" s="28">
        <f t="shared" si="34"/>
        <v>19.555871134365724</v>
      </c>
      <c r="I96" s="28">
        <f t="shared" si="34"/>
        <v>20.142547268396697</v>
      </c>
      <c r="J96" s="28">
        <f t="shared" si="34"/>
        <v>20.7468236864486</v>
      </c>
      <c r="K96" s="28">
        <f t="shared" si="34"/>
        <v>21.369228397042058</v>
      </c>
      <c r="L96" s="28">
        <f t="shared" si="34"/>
        <v>22.010305248953323</v>
      </c>
      <c r="M96" s="28">
        <f t="shared" si="34"/>
        <v>22.670614406421919</v>
      </c>
      <c r="N96" s="28">
        <f t="shared" si="34"/>
        <v>23.350732838614583</v>
      </c>
    </row>
    <row r="97" spans="2:14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2:14">
      <c r="B98" s="2" t="s">
        <v>435</v>
      </c>
      <c r="C98" s="2"/>
      <c r="F98" s="31"/>
      <c r="G98" s="31"/>
      <c r="H98" s="31"/>
      <c r="I98" s="123">
        <f t="shared" ref="I98:N98" si="35">I99/H99-1</f>
        <v>0.10000000000000009</v>
      </c>
      <c r="J98" s="31">
        <f t="shared" si="35"/>
        <v>0.10000000000000009</v>
      </c>
      <c r="K98" s="31">
        <f t="shared" si="35"/>
        <v>0.10000000000000009</v>
      </c>
      <c r="L98" s="31">
        <f t="shared" si="35"/>
        <v>6.0000000000000275E-2</v>
      </c>
      <c r="M98" s="31">
        <f t="shared" si="35"/>
        <v>6.0000000000000053E-2</v>
      </c>
      <c r="N98" s="31">
        <f t="shared" si="35"/>
        <v>6.0000000000000053E-2</v>
      </c>
    </row>
    <row r="99" spans="2:14">
      <c r="B99" s="407" t="s">
        <v>407</v>
      </c>
      <c r="C99" s="407"/>
      <c r="E99" s="19">
        <f>E89</f>
        <v>987114.85714285728</v>
      </c>
      <c r="F99" s="19">
        <f>F89</f>
        <v>1016728.302857143</v>
      </c>
      <c r="G99" s="19">
        <f>G89</f>
        <v>1047230.1519428573</v>
      </c>
      <c r="H99">
        <f>Calculation_FSL!N1391</f>
        <v>1600000</v>
      </c>
      <c r="I99">
        <f>Calculation_FSL!O1391</f>
        <v>1760000.0000000002</v>
      </c>
      <c r="J99">
        <f>Calculation_FSL!P1391</f>
        <v>1936000.0000000002</v>
      </c>
      <c r="K99">
        <f>Calculation_FSL!Q1391</f>
        <v>2129600.0000000005</v>
      </c>
      <c r="L99">
        <f>Calculation_FSL!R1391</f>
        <v>2257376.0000000009</v>
      </c>
      <c r="M99">
        <f>Calculation_FSL!S1391</f>
        <v>2392818.560000001</v>
      </c>
      <c r="N99" s="462">
        <f>Calculation_FSL!T1391</f>
        <v>2536387.6736000013</v>
      </c>
    </row>
    <row r="100" spans="2:14">
      <c r="B100" s="407" t="s">
        <v>433</v>
      </c>
      <c r="C100" s="407"/>
    </row>
    <row r="101" spans="2:14">
      <c r="B101" s="407" t="s">
        <v>436</v>
      </c>
      <c r="C101" s="407"/>
      <c r="D101">
        <f>SUM(E101:N101)</f>
        <v>778.38507989172763</v>
      </c>
      <c r="E101" s="57">
        <f>E93</f>
        <v>48.368628000000008</v>
      </c>
      <c r="F101" s="57">
        <f>F93</f>
        <v>49.81968684000001</v>
      </c>
      <c r="G101" s="57">
        <f>G93</f>
        <v>51.314277445200005</v>
      </c>
      <c r="H101">
        <f>Calculation_FSL!N1394</f>
        <v>53.742160412165532</v>
      </c>
      <c r="I101">
        <f>Calculation_FSL!O1394</f>
        <v>70.939651744058509</v>
      </c>
      <c r="J101">
        <f>Calculation_FSL!P1394</f>
        <v>78.033616918464361</v>
      </c>
      <c r="K101">
        <f>Calculation_FSL!Q1394</f>
        <v>94.420676471341864</v>
      </c>
      <c r="L101">
        <f>Calculation_FSL!R1394</f>
        <v>100.08591705962239</v>
      </c>
      <c r="M101">
        <f>Calculation_FSL!S1394</f>
        <v>112.45653640819174</v>
      </c>
      <c r="N101">
        <f>Calculation_FSL!T1394</f>
        <v>119.20392859268325</v>
      </c>
    </row>
    <row r="102" spans="2:14">
      <c r="B102" s="407" t="s">
        <v>447</v>
      </c>
      <c r="C102" s="407"/>
      <c r="E102">
        <f>Calculation_FSL!K560</f>
        <v>0</v>
      </c>
      <c r="F102">
        <f>Calculation_FSL!L560</f>
        <v>0</v>
      </c>
      <c r="G102">
        <f>Calculation_FSL!M560</f>
        <v>0</v>
      </c>
      <c r="H102">
        <f>Calculation_FSL!N560</f>
        <v>0.46400000000000002</v>
      </c>
      <c r="I102">
        <f>Calculation_FSL!O560</f>
        <v>0.51040000000000008</v>
      </c>
      <c r="J102">
        <f>Calculation_FSL!P560</f>
        <v>0.56144000000000016</v>
      </c>
      <c r="K102">
        <f>Calculation_FSL!Q560</f>
        <v>0.61758400000000013</v>
      </c>
      <c r="L102">
        <f>Calculation_FSL!R560</f>
        <v>0.65463904000000028</v>
      </c>
      <c r="M102">
        <f>Calculation_FSL!S560</f>
        <v>0.69391738240000034</v>
      </c>
      <c r="N102">
        <f>Calculation_FSL!T560</f>
        <v>0.73555242534400034</v>
      </c>
    </row>
    <row r="103" spans="2:14">
      <c r="B103" s="28" t="s">
        <v>53</v>
      </c>
      <c r="C103" s="28"/>
      <c r="D103" s="28">
        <f>SUM(E103:N103)</f>
        <v>782.62261273947172</v>
      </c>
      <c r="E103" s="28">
        <f t="shared" ref="E103:N103" si="36">SUM(E101:E102)</f>
        <v>48.368628000000008</v>
      </c>
      <c r="F103" s="28">
        <f t="shared" si="36"/>
        <v>49.81968684000001</v>
      </c>
      <c r="G103" s="28">
        <f t="shared" si="36"/>
        <v>51.314277445200005</v>
      </c>
      <c r="H103" s="28">
        <f t="shared" si="36"/>
        <v>54.206160412165531</v>
      </c>
      <c r="I103" s="28">
        <f t="shared" si="36"/>
        <v>71.450051744058513</v>
      </c>
      <c r="J103" s="28">
        <f t="shared" si="36"/>
        <v>78.595056918464365</v>
      </c>
      <c r="K103" s="28">
        <f t="shared" si="36"/>
        <v>95.038260471341857</v>
      </c>
      <c r="L103" s="28">
        <f t="shared" si="36"/>
        <v>100.7405560996224</v>
      </c>
      <c r="M103" s="28">
        <f t="shared" si="36"/>
        <v>113.15045379059174</v>
      </c>
      <c r="N103" s="28">
        <f t="shared" si="36"/>
        <v>119.93948101802725</v>
      </c>
    </row>
    <row r="104" spans="2:14">
      <c r="D104" s="31" t="e">
        <f>D103/D90-1</f>
        <v>#DIV/0!</v>
      </c>
    </row>
    <row r="106" spans="2:14">
      <c r="B106" s="407" t="s">
        <v>139</v>
      </c>
      <c r="C106" s="407"/>
    </row>
    <row r="107" spans="2:14">
      <c r="B107" s="2" t="s">
        <v>394</v>
      </c>
      <c r="C107" s="2"/>
      <c r="D107" s="2"/>
      <c r="E107" s="2">
        <f>E96</f>
        <v>17.896392360000004</v>
      </c>
      <c r="F107" s="2">
        <f t="shared" ref="F107:N107" si="37">F96</f>
        <v>18.433284130800004</v>
      </c>
      <c r="G107" s="2">
        <f t="shared" si="37"/>
        <v>18.986282654724</v>
      </c>
      <c r="H107" s="2">
        <f t="shared" si="37"/>
        <v>19.555871134365724</v>
      </c>
      <c r="I107" s="2">
        <f t="shared" si="37"/>
        <v>20.142547268396697</v>
      </c>
      <c r="J107" s="2">
        <f t="shared" si="37"/>
        <v>20.7468236864486</v>
      </c>
      <c r="K107" s="2">
        <f t="shared" si="37"/>
        <v>21.369228397042058</v>
      </c>
      <c r="L107" s="2">
        <f t="shared" si="37"/>
        <v>22.010305248953323</v>
      </c>
      <c r="M107" s="2">
        <f t="shared" si="37"/>
        <v>22.670614406421919</v>
      </c>
      <c r="N107" s="2">
        <f t="shared" si="37"/>
        <v>23.350732838614583</v>
      </c>
    </row>
    <row r="108" spans="2:14">
      <c r="B108" s="407" t="s">
        <v>435</v>
      </c>
      <c r="C108" s="407"/>
    </row>
    <row r="109" spans="2:14">
      <c r="B109" s="407" t="s">
        <v>436</v>
      </c>
      <c r="C109" s="407"/>
      <c r="E109">
        <f>Calculation_FSL!K1398</f>
        <v>0</v>
      </c>
      <c r="F109">
        <f>Calculation_FSL!L1398</f>
        <v>0</v>
      </c>
      <c r="G109">
        <f>Calculation_FSL!M1398</f>
        <v>0</v>
      </c>
      <c r="H109" s="462">
        <f>Calculation_FSL!N1398</f>
        <v>19.884599352501247</v>
      </c>
      <c r="I109">
        <f>Calculation_FSL!O1398</f>
        <v>26.247671145301645</v>
      </c>
      <c r="J109">
        <f>Calculation_FSL!P1398</f>
        <v>28.87243825983181</v>
      </c>
      <c r="K109">
        <f>Calculation_FSL!Q1398</f>
        <v>34.935650294396488</v>
      </c>
      <c r="L109">
        <f>Calculation_FSL!R1398</f>
        <v>37.031789312060283</v>
      </c>
      <c r="M109">
        <f>Calculation_FSL!S1398</f>
        <v>41.608918471030947</v>
      </c>
      <c r="N109">
        <f>Calculation_FSL!T1398</f>
        <v>44.105453579292799</v>
      </c>
    </row>
    <row r="110" spans="2:14">
      <c r="B110" s="407" t="s">
        <v>447</v>
      </c>
      <c r="C110" s="407"/>
      <c r="D110" s="35">
        <f>D81</f>
        <v>0.2</v>
      </c>
      <c r="E110" s="1">
        <f t="shared" ref="E110:N110" si="38">(1-$D$23)*E102</f>
        <v>0</v>
      </c>
      <c r="F110" s="1">
        <f t="shared" si="38"/>
        <v>0</v>
      </c>
      <c r="G110" s="1">
        <f t="shared" si="38"/>
        <v>0</v>
      </c>
      <c r="H110" s="1">
        <f t="shared" si="38"/>
        <v>0.37120000000000003</v>
      </c>
      <c r="I110" s="1">
        <f t="shared" si="38"/>
        <v>0.40832000000000007</v>
      </c>
      <c r="J110" s="1">
        <f t="shared" si="38"/>
        <v>0.44915200000000016</v>
      </c>
      <c r="K110" s="1">
        <f t="shared" si="38"/>
        <v>0.49406720000000015</v>
      </c>
      <c r="L110" s="1">
        <f t="shared" si="38"/>
        <v>0.52371123200000025</v>
      </c>
      <c r="M110" s="1">
        <f t="shared" si="38"/>
        <v>0.55513390592000034</v>
      </c>
      <c r="N110" s="1">
        <f t="shared" si="38"/>
        <v>0.58844194027520025</v>
      </c>
    </row>
    <row r="111" spans="2:14">
      <c r="B111" s="28" t="s">
        <v>139</v>
      </c>
      <c r="C111" s="28"/>
      <c r="D111" s="28"/>
      <c r="E111" s="28">
        <f t="shared" ref="E111:N111" si="39">SUM(E109:E110)</f>
        <v>0</v>
      </c>
      <c r="F111" s="28">
        <f t="shared" si="39"/>
        <v>0</v>
      </c>
      <c r="G111" s="28">
        <f t="shared" si="39"/>
        <v>0</v>
      </c>
      <c r="H111" s="28">
        <f t="shared" si="39"/>
        <v>20.255799352501249</v>
      </c>
      <c r="I111" s="28">
        <f t="shared" si="39"/>
        <v>26.655991145301645</v>
      </c>
      <c r="J111" s="28">
        <f t="shared" si="39"/>
        <v>29.321590259831812</v>
      </c>
      <c r="K111" s="28">
        <f t="shared" si="39"/>
        <v>35.429717494396492</v>
      </c>
      <c r="L111" s="28">
        <f t="shared" si="39"/>
        <v>37.555500544060287</v>
      </c>
      <c r="M111" s="28">
        <f t="shared" si="39"/>
        <v>42.164052376950949</v>
      </c>
      <c r="N111" s="28">
        <f t="shared" si="39"/>
        <v>44.693895519568002</v>
      </c>
    </row>
    <row r="112" spans="2:14">
      <c r="E112" s="99"/>
      <c r="F112" s="99"/>
      <c r="G112" s="99"/>
      <c r="H112" s="99"/>
      <c r="I112" s="99"/>
      <c r="J112" s="99"/>
      <c r="K112" s="99"/>
      <c r="L112" s="99"/>
      <c r="M112" s="99"/>
      <c r="N112" s="99"/>
    </row>
    <row r="113" spans="1:14">
      <c r="A113" t="s">
        <v>299</v>
      </c>
      <c r="E113" s="10">
        <v>2025</v>
      </c>
      <c r="F113" s="10">
        <f t="shared" ref="F113:N113" si="40">E113+1</f>
        <v>2026</v>
      </c>
      <c r="G113" s="10">
        <f t="shared" si="40"/>
        <v>2027</v>
      </c>
      <c r="H113" s="10">
        <f t="shared" si="40"/>
        <v>2028</v>
      </c>
      <c r="I113" s="10">
        <f t="shared" si="40"/>
        <v>2029</v>
      </c>
      <c r="J113" s="10">
        <f t="shared" si="40"/>
        <v>2030</v>
      </c>
      <c r="K113" s="10">
        <f t="shared" si="40"/>
        <v>2031</v>
      </c>
      <c r="L113" s="10">
        <f t="shared" si="40"/>
        <v>2032</v>
      </c>
      <c r="M113" s="10">
        <f t="shared" si="40"/>
        <v>2033</v>
      </c>
      <c r="N113" s="10">
        <f t="shared" si="40"/>
        <v>2034</v>
      </c>
    </row>
    <row r="114" spans="1:14">
      <c r="A114" t="s">
        <v>451</v>
      </c>
      <c r="B114" t="s">
        <v>407</v>
      </c>
      <c r="E114" s="57"/>
      <c r="F114" s="57"/>
      <c r="G114" s="57"/>
      <c r="H114" s="57"/>
      <c r="I114" s="57"/>
      <c r="J114" s="57">
        <v>750000</v>
      </c>
      <c r="K114" s="57">
        <f>J114*(1+3%)</f>
        <v>772500</v>
      </c>
      <c r="L114" s="57">
        <f>K114*(1+3%)</f>
        <v>795675</v>
      </c>
      <c r="M114" s="57">
        <f>L114*(1+3%)</f>
        <v>819545.25</v>
      </c>
      <c r="N114" s="57">
        <f>M114*(1+3%)</f>
        <v>844131.60750000004</v>
      </c>
    </row>
    <row r="115" spans="1:14">
      <c r="B115" t="s">
        <v>452</v>
      </c>
      <c r="E115" s="57">
        <v>60000</v>
      </c>
      <c r="F115" s="99">
        <f>$E$115*(1+3%)</f>
        <v>61800</v>
      </c>
      <c r="G115" s="99">
        <f t="shared" ref="G115:N115" si="41">F115*(1+3%)</f>
        <v>63654</v>
      </c>
      <c r="H115" s="99">
        <f t="shared" si="41"/>
        <v>65563.62</v>
      </c>
      <c r="I115" s="99">
        <f t="shared" si="41"/>
        <v>67530.528599999991</v>
      </c>
      <c r="J115" s="99">
        <f t="shared" si="41"/>
        <v>69556.444457999998</v>
      </c>
      <c r="K115" s="99">
        <f t="shared" si="41"/>
        <v>71643.137791739995</v>
      </c>
      <c r="L115" s="99">
        <f t="shared" si="41"/>
        <v>73792.431925492201</v>
      </c>
      <c r="M115" s="99">
        <f t="shared" si="41"/>
        <v>76006.204883256971</v>
      </c>
      <c r="N115" s="99">
        <f t="shared" si="41"/>
        <v>78286.391029754683</v>
      </c>
    </row>
    <row r="116" spans="1:14">
      <c r="B116" s="28" t="s">
        <v>9</v>
      </c>
      <c r="C116" s="28"/>
      <c r="D116" s="28"/>
      <c r="E116" s="28">
        <f>E115*E114/Billion</f>
        <v>0</v>
      </c>
      <c r="F116" s="28">
        <f t="shared" ref="F116:N116" si="42">F115*F114/Billion</f>
        <v>0</v>
      </c>
      <c r="G116" s="28">
        <f t="shared" si="42"/>
        <v>0</v>
      </c>
      <c r="H116" s="28">
        <f t="shared" si="42"/>
        <v>0</v>
      </c>
      <c r="I116" s="28">
        <f t="shared" si="42"/>
        <v>0</v>
      </c>
      <c r="J116" s="28">
        <f t="shared" si="42"/>
        <v>52.167333343499998</v>
      </c>
      <c r="K116" s="28">
        <f t="shared" si="42"/>
        <v>55.344323944119147</v>
      </c>
      <c r="L116" s="28">
        <f t="shared" si="42"/>
        <v>58.714793272316008</v>
      </c>
      <c r="M116" s="28">
        <f t="shared" si="42"/>
        <v>62.290524182600052</v>
      </c>
      <c r="N116" s="28">
        <f t="shared" si="42"/>
        <v>66.084017105320399</v>
      </c>
    </row>
    <row r="118" spans="1:14">
      <c r="B118" t="s">
        <v>450</v>
      </c>
      <c r="D118" s="35">
        <f>D95</f>
        <v>0.63</v>
      </c>
      <c r="E118">
        <f>-E116*$D$118</f>
        <v>0</v>
      </c>
      <c r="F118">
        <f t="shared" ref="F118:N118" si="43">-F116*$D$118</f>
        <v>0</v>
      </c>
      <c r="G118">
        <f t="shared" si="43"/>
        <v>0</v>
      </c>
      <c r="H118">
        <f t="shared" si="43"/>
        <v>0</v>
      </c>
      <c r="I118">
        <f t="shared" si="43"/>
        <v>0</v>
      </c>
      <c r="J118">
        <f t="shared" si="43"/>
        <v>-32.865420006404996</v>
      </c>
      <c r="K118">
        <f t="shared" si="43"/>
        <v>-34.866924084795066</v>
      </c>
      <c r="L118">
        <f t="shared" si="43"/>
        <v>-36.990319761559086</v>
      </c>
      <c r="M118">
        <f t="shared" si="43"/>
        <v>-39.243030235038034</v>
      </c>
      <c r="N118">
        <f t="shared" si="43"/>
        <v>-41.632930776351849</v>
      </c>
    </row>
    <row r="119" spans="1:14">
      <c r="B119" s="28" t="s">
        <v>139</v>
      </c>
      <c r="C119" s="28"/>
      <c r="D119" s="28"/>
      <c r="E119" s="28">
        <f>SUM(E116,E118)</f>
        <v>0</v>
      </c>
      <c r="F119" s="28">
        <f t="shared" ref="F119:N119" si="44">SUM(F116,F118)</f>
        <v>0</v>
      </c>
      <c r="G119" s="28">
        <f t="shared" si="44"/>
        <v>0</v>
      </c>
      <c r="H119" s="28">
        <f t="shared" si="44"/>
        <v>0</v>
      </c>
      <c r="I119" s="28">
        <f t="shared" si="44"/>
        <v>0</v>
      </c>
      <c r="J119" s="28">
        <f t="shared" si="44"/>
        <v>19.301913337095002</v>
      </c>
      <c r="K119" s="28">
        <f t="shared" si="44"/>
        <v>20.47739985932408</v>
      </c>
      <c r="L119" s="28">
        <f t="shared" si="44"/>
        <v>21.724473510756923</v>
      </c>
      <c r="M119" s="28">
        <f t="shared" si="44"/>
        <v>23.047493947562018</v>
      </c>
      <c r="N119" s="28">
        <f t="shared" si="44"/>
        <v>24.45108632896855</v>
      </c>
    </row>
    <row r="121" spans="1:14">
      <c r="A121" s="468" t="s">
        <v>391</v>
      </c>
      <c r="B121" s="2" t="s">
        <v>432</v>
      </c>
      <c r="C121" s="2"/>
      <c r="E121">
        <v>2025</v>
      </c>
      <c r="F121">
        <f>E121+1</f>
        <v>2026</v>
      </c>
      <c r="G121">
        <f t="shared" ref="G121" si="45">F121+1</f>
        <v>2027</v>
      </c>
      <c r="H121">
        <f t="shared" ref="H121" si="46">G121+1</f>
        <v>2028</v>
      </c>
      <c r="I121">
        <f t="shared" ref="I121" si="47">H121+1</f>
        <v>2029</v>
      </c>
      <c r="J121">
        <f t="shared" ref="J121" si="48">I121+1</f>
        <v>2030</v>
      </c>
      <c r="K121">
        <f t="shared" ref="K121" si="49">J121+1</f>
        <v>2031</v>
      </c>
      <c r="L121">
        <f t="shared" ref="L121" si="50">K121+1</f>
        <v>2032</v>
      </c>
      <c r="M121">
        <f t="shared" ref="M121" si="51">L121+1</f>
        <v>2033</v>
      </c>
      <c r="N121">
        <f t="shared" ref="N121" si="52">M121+1</f>
        <v>2034</v>
      </c>
    </row>
    <row r="122" spans="1:14">
      <c r="B122" s="468" t="s">
        <v>1084</v>
      </c>
      <c r="C122" s="468"/>
    </row>
    <row r="123" spans="1:14">
      <c r="B123" s="469" t="s">
        <v>1082</v>
      </c>
      <c r="C123" s="469"/>
      <c r="E123">
        <v>585000</v>
      </c>
      <c r="F123">
        <f>E123</f>
        <v>585000</v>
      </c>
      <c r="G123">
        <f t="shared" ref="G123:N124" si="53">F123</f>
        <v>585000</v>
      </c>
      <c r="H123">
        <f t="shared" si="53"/>
        <v>585000</v>
      </c>
      <c r="I123">
        <f t="shared" si="53"/>
        <v>585000</v>
      </c>
      <c r="J123">
        <f t="shared" si="53"/>
        <v>585000</v>
      </c>
      <c r="K123">
        <f t="shared" si="53"/>
        <v>585000</v>
      </c>
      <c r="L123">
        <f t="shared" si="53"/>
        <v>585000</v>
      </c>
      <c r="M123">
        <f t="shared" si="53"/>
        <v>585000</v>
      </c>
      <c r="N123">
        <f t="shared" si="53"/>
        <v>585000</v>
      </c>
    </row>
    <row r="124" spans="1:14">
      <c r="B124" s="469" t="s">
        <v>1083</v>
      </c>
      <c r="C124" s="469"/>
      <c r="E124">
        <v>708000</v>
      </c>
      <c r="F124">
        <f>E124</f>
        <v>708000</v>
      </c>
      <c r="G124">
        <f t="shared" si="53"/>
        <v>708000</v>
      </c>
      <c r="H124">
        <f t="shared" si="53"/>
        <v>708000</v>
      </c>
      <c r="I124">
        <f t="shared" si="53"/>
        <v>708000</v>
      </c>
      <c r="J124">
        <f t="shared" si="53"/>
        <v>708000</v>
      </c>
      <c r="K124">
        <f t="shared" si="53"/>
        <v>708000</v>
      </c>
      <c r="L124">
        <f t="shared" si="53"/>
        <v>708000</v>
      </c>
      <c r="M124">
        <f t="shared" si="53"/>
        <v>708000</v>
      </c>
      <c r="N124">
        <f t="shared" si="53"/>
        <v>708000</v>
      </c>
    </row>
    <row r="125" spans="1:14">
      <c r="B125" s="407" t="s">
        <v>433</v>
      </c>
      <c r="C125" s="407"/>
      <c r="D125">
        <f>SUM(E125:N125)</f>
        <v>0</v>
      </c>
    </row>
    <row r="126" spans="1:14">
      <c r="B126" s="469" t="s">
        <v>1082</v>
      </c>
      <c r="C126" s="469"/>
    </row>
    <row r="127" spans="1:14">
      <c r="A127" s="468" t="s">
        <v>1087</v>
      </c>
      <c r="B127" s="469" t="s">
        <v>1085</v>
      </c>
      <c r="C127" s="470">
        <f>100%-C128</f>
        <v>0.37</v>
      </c>
      <c r="D127" s="57">
        <f>27000+15000+42500+18800</f>
        <v>103300</v>
      </c>
      <c r="E127">
        <f>E123*$D127/Billion*$C$127</f>
        <v>22.359285</v>
      </c>
      <c r="F127">
        <f t="shared" ref="F127:N127" si="54">F123*$D127/Billion*$C$127</f>
        <v>22.359285</v>
      </c>
      <c r="G127">
        <f t="shared" si="54"/>
        <v>22.359285</v>
      </c>
      <c r="H127">
        <f t="shared" si="54"/>
        <v>22.359285</v>
      </c>
      <c r="I127">
        <f t="shared" si="54"/>
        <v>22.359285</v>
      </c>
      <c r="J127">
        <f t="shared" si="54"/>
        <v>22.359285</v>
      </c>
      <c r="K127">
        <f t="shared" si="54"/>
        <v>22.359285</v>
      </c>
      <c r="L127">
        <f t="shared" si="54"/>
        <v>22.359285</v>
      </c>
      <c r="M127">
        <f t="shared" si="54"/>
        <v>22.359285</v>
      </c>
      <c r="N127">
        <f t="shared" si="54"/>
        <v>22.359285</v>
      </c>
    </row>
    <row r="128" spans="1:14">
      <c r="A128" s="468" t="s">
        <v>1088</v>
      </c>
      <c r="B128" s="469" t="s">
        <v>1086</v>
      </c>
      <c r="C128" s="470">
        <v>0.63</v>
      </c>
      <c r="D128" s="57">
        <f>2000+42500+18800</f>
        <v>63300</v>
      </c>
      <c r="E128">
        <f>E123*$D128/Billion*$C$128</f>
        <v>23.329215000000001</v>
      </c>
      <c r="F128">
        <f t="shared" ref="F128:N128" si="55">F123*$D128/Billion*$C$128</f>
        <v>23.329215000000001</v>
      </c>
      <c r="G128">
        <f t="shared" si="55"/>
        <v>23.329215000000001</v>
      </c>
      <c r="H128">
        <f t="shared" si="55"/>
        <v>23.329215000000001</v>
      </c>
      <c r="I128">
        <f t="shared" si="55"/>
        <v>23.329215000000001</v>
      </c>
      <c r="J128">
        <f t="shared" si="55"/>
        <v>23.329215000000001</v>
      </c>
      <c r="K128">
        <f t="shared" si="55"/>
        <v>23.329215000000001</v>
      </c>
      <c r="L128">
        <f t="shared" si="55"/>
        <v>23.329215000000001</v>
      </c>
      <c r="M128">
        <f t="shared" si="55"/>
        <v>23.329215000000001</v>
      </c>
      <c r="N128">
        <f t="shared" si="55"/>
        <v>23.329215000000001</v>
      </c>
    </row>
    <row r="129" spans="1:14">
      <c r="B129" s="469" t="s">
        <v>1083</v>
      </c>
      <c r="C129" s="469"/>
    </row>
    <row r="130" spans="1:14">
      <c r="B130" s="469" t="s">
        <v>1085</v>
      </c>
      <c r="C130" s="470">
        <v>0.2</v>
      </c>
      <c r="D130" s="57">
        <f>30000+15000+42500+14720</f>
        <v>102220</v>
      </c>
      <c r="E130">
        <f>$D$130*$C$130*E124/Billion</f>
        <v>14.474352</v>
      </c>
      <c r="F130">
        <f t="shared" ref="F130:N130" si="56">$D$130*$C$130*F124/Billion</f>
        <v>14.474352</v>
      </c>
      <c r="G130">
        <f t="shared" si="56"/>
        <v>14.474352</v>
      </c>
      <c r="H130">
        <f t="shared" si="56"/>
        <v>14.474352</v>
      </c>
      <c r="I130">
        <f t="shared" si="56"/>
        <v>14.474352</v>
      </c>
      <c r="J130">
        <f t="shared" si="56"/>
        <v>14.474352</v>
      </c>
      <c r="K130">
        <f t="shared" si="56"/>
        <v>14.474352</v>
      </c>
      <c r="L130">
        <f t="shared" si="56"/>
        <v>14.474352</v>
      </c>
      <c r="M130">
        <f t="shared" si="56"/>
        <v>14.474352</v>
      </c>
      <c r="N130">
        <f t="shared" si="56"/>
        <v>14.474352</v>
      </c>
    </row>
    <row r="131" spans="1:14">
      <c r="B131" s="469" t="s">
        <v>1086</v>
      </c>
      <c r="C131" s="470">
        <v>0.8</v>
      </c>
      <c r="D131" s="57">
        <f>2000+42500+14720</f>
        <v>59220</v>
      </c>
      <c r="E131">
        <f>$D$131*$C$131*E124/Billion</f>
        <v>33.542208000000002</v>
      </c>
      <c r="F131">
        <f t="shared" ref="F131:N131" si="57">$D$131*$C$131*F124/Billion</f>
        <v>33.542208000000002</v>
      </c>
      <c r="G131">
        <f t="shared" si="57"/>
        <v>33.542208000000002</v>
      </c>
      <c r="H131">
        <f t="shared" si="57"/>
        <v>33.542208000000002</v>
      </c>
      <c r="I131">
        <f t="shared" si="57"/>
        <v>33.542208000000002</v>
      </c>
      <c r="J131">
        <f t="shared" si="57"/>
        <v>33.542208000000002</v>
      </c>
      <c r="K131">
        <f t="shared" si="57"/>
        <v>33.542208000000002</v>
      </c>
      <c r="L131">
        <f t="shared" si="57"/>
        <v>33.542208000000002</v>
      </c>
      <c r="M131">
        <f t="shared" si="57"/>
        <v>33.542208000000002</v>
      </c>
      <c r="N131">
        <f t="shared" si="57"/>
        <v>33.542208000000002</v>
      </c>
    </row>
    <row r="132" spans="1:14">
      <c r="B132" s="28" t="s">
        <v>9</v>
      </c>
      <c r="C132" s="28"/>
      <c r="D132" s="28"/>
      <c r="E132" s="459">
        <f>SUM(E127:E128,E130:E131)</f>
        <v>93.705060000000003</v>
      </c>
      <c r="F132" s="28">
        <f t="shared" ref="F132:N132" si="58">SUM(F127:F128,F130:F131)</f>
        <v>93.705060000000003</v>
      </c>
      <c r="G132" s="28">
        <f t="shared" si="58"/>
        <v>93.705060000000003</v>
      </c>
      <c r="H132" s="28">
        <f t="shared" si="58"/>
        <v>93.705060000000003</v>
      </c>
      <c r="I132" s="28">
        <f t="shared" si="58"/>
        <v>93.705060000000003</v>
      </c>
      <c r="J132" s="28">
        <f t="shared" si="58"/>
        <v>93.705060000000003</v>
      </c>
      <c r="K132" s="28">
        <f t="shared" si="58"/>
        <v>93.705060000000003</v>
      </c>
      <c r="L132" s="28">
        <f t="shared" si="58"/>
        <v>93.705060000000003</v>
      </c>
      <c r="M132" s="28">
        <f t="shared" si="58"/>
        <v>93.705060000000003</v>
      </c>
      <c r="N132" s="28">
        <f t="shared" si="58"/>
        <v>93.705060000000003</v>
      </c>
    </row>
    <row r="133" spans="1:14">
      <c r="A133" s="21">
        <f>15320/42500</f>
        <v>0.3604705882352941</v>
      </c>
    </row>
    <row r="134" spans="1:14">
      <c r="A134" s="21">
        <f>100%-A133</f>
        <v>0.6395294117647059</v>
      </c>
      <c r="B134" s="407" t="s">
        <v>450</v>
      </c>
      <c r="C134" s="407"/>
      <c r="D134" s="35">
        <f>A134</f>
        <v>0.6395294117647059</v>
      </c>
      <c r="E134">
        <f>-E132*$D$134</f>
        <v>-59.927141901176476</v>
      </c>
      <c r="F134">
        <f t="shared" ref="F134:N134" si="59">-F132*$D$134</f>
        <v>-59.927141901176476</v>
      </c>
      <c r="G134">
        <f t="shared" si="59"/>
        <v>-59.927141901176476</v>
      </c>
      <c r="H134">
        <f t="shared" si="59"/>
        <v>-59.927141901176476</v>
      </c>
      <c r="I134">
        <f t="shared" si="59"/>
        <v>-59.927141901176476</v>
      </c>
      <c r="J134">
        <f t="shared" si="59"/>
        <v>-59.927141901176476</v>
      </c>
      <c r="K134">
        <f t="shared" si="59"/>
        <v>-59.927141901176476</v>
      </c>
      <c r="L134">
        <f t="shared" si="59"/>
        <v>-59.927141901176476</v>
      </c>
      <c r="M134">
        <f t="shared" si="59"/>
        <v>-59.927141901176476</v>
      </c>
      <c r="N134">
        <f t="shared" si="59"/>
        <v>-59.927141901176476</v>
      </c>
    </row>
    <row r="135" spans="1:14">
      <c r="B135" s="28" t="s">
        <v>139</v>
      </c>
      <c r="C135" s="28"/>
      <c r="D135" s="28"/>
      <c r="E135" s="28">
        <f>SUM(E132,E134)</f>
        <v>33.777918098823527</v>
      </c>
      <c r="F135" s="28">
        <f t="shared" ref="F135:N135" si="60">SUM(F132,F134)</f>
        <v>33.777918098823527</v>
      </c>
      <c r="G135" s="28">
        <f t="shared" si="60"/>
        <v>33.777918098823527</v>
      </c>
      <c r="H135" s="28">
        <f t="shared" si="60"/>
        <v>33.777918098823527</v>
      </c>
      <c r="I135" s="28">
        <f t="shared" si="60"/>
        <v>33.777918098823527</v>
      </c>
      <c r="J135" s="28">
        <f t="shared" si="60"/>
        <v>33.777918098823527</v>
      </c>
      <c r="K135" s="28">
        <f t="shared" si="60"/>
        <v>33.777918098823527</v>
      </c>
      <c r="L135" s="28">
        <f t="shared" si="60"/>
        <v>33.777918098823527</v>
      </c>
      <c r="M135" s="28">
        <f t="shared" si="60"/>
        <v>33.777918098823527</v>
      </c>
      <c r="N135" s="28">
        <f t="shared" si="60"/>
        <v>33.777918098823527</v>
      </c>
    </row>
    <row r="136" spans="1:14">
      <c r="A136">
        <f>46200+18800</f>
        <v>65000</v>
      </c>
      <c r="B136">
        <f>50280+14720</f>
        <v>65000</v>
      </c>
      <c r="E136" s="31"/>
      <c r="F136" s="31"/>
      <c r="G136" s="31"/>
      <c r="H136" s="31"/>
      <c r="I136" s="31"/>
      <c r="J136" s="31"/>
      <c r="K136" s="31"/>
      <c r="L136" s="31"/>
      <c r="M136" s="31"/>
      <c r="N136" s="31"/>
    </row>
    <row r="137" spans="1:14">
      <c r="B137" s="2" t="s">
        <v>435</v>
      </c>
      <c r="C137" s="2"/>
      <c r="F137" s="31"/>
      <c r="G137" s="31"/>
      <c r="H137" s="31"/>
      <c r="I137" s="31"/>
      <c r="J137" s="31"/>
      <c r="K137" s="31"/>
      <c r="L137" s="31"/>
      <c r="M137" s="31"/>
      <c r="N137" s="31"/>
    </row>
    <row r="138" spans="1:14">
      <c r="B138" s="468" t="s">
        <v>1084</v>
      </c>
      <c r="C138" s="468"/>
      <c r="E138">
        <f>SUM(E123:E124)</f>
        <v>1293000</v>
      </c>
      <c r="F138">
        <f>Calculation_FSL!L174</f>
        <v>1300000</v>
      </c>
      <c r="G138">
        <f>Calculation_FSL!M174</f>
        <v>1300000</v>
      </c>
      <c r="H138">
        <f>Calculation_FSL!N174</f>
        <v>1300000</v>
      </c>
      <c r="I138">
        <f>Calculation_FSL!O174</f>
        <v>1339000</v>
      </c>
      <c r="J138">
        <f>Calculation_FSL!P174</f>
        <v>1339000</v>
      </c>
      <c r="K138">
        <f>Calculation_FSL!Q174</f>
        <v>1339000</v>
      </c>
      <c r="L138">
        <f>Calculation_FSL!R174</f>
        <v>1339000</v>
      </c>
      <c r="M138">
        <f>Calculation_FSL!S174</f>
        <v>1379170</v>
      </c>
      <c r="N138">
        <f>Calculation_FSL!T174</f>
        <v>1379170</v>
      </c>
    </row>
    <row r="139" spans="1:14">
      <c r="B139" s="469" t="s">
        <v>1082</v>
      </c>
      <c r="C139" s="469"/>
      <c r="D139" s="21">
        <f>E139/SUM(E139:E140)</f>
        <v>0.45243619489559167</v>
      </c>
      <c r="E139">
        <f>E123</f>
        <v>585000</v>
      </c>
      <c r="F139">
        <f>$D139*F$138</f>
        <v>588167.0533642692</v>
      </c>
      <c r="G139">
        <f t="shared" ref="G139:N140" si="61">$D139*G$138</f>
        <v>588167.0533642692</v>
      </c>
      <c r="H139">
        <f t="shared" si="61"/>
        <v>588167.0533642692</v>
      </c>
      <c r="I139">
        <f t="shared" si="61"/>
        <v>605812.06496519723</v>
      </c>
      <c r="J139">
        <f t="shared" si="61"/>
        <v>605812.06496519723</v>
      </c>
      <c r="K139">
        <f t="shared" si="61"/>
        <v>605812.06496519723</v>
      </c>
      <c r="L139">
        <f t="shared" si="61"/>
        <v>605812.06496519723</v>
      </c>
      <c r="M139">
        <f t="shared" si="61"/>
        <v>623986.42691415315</v>
      </c>
      <c r="N139">
        <f t="shared" si="61"/>
        <v>623986.42691415315</v>
      </c>
    </row>
    <row r="140" spans="1:14">
      <c r="B140" s="469" t="s">
        <v>1083</v>
      </c>
      <c r="C140" s="469"/>
      <c r="D140" s="21">
        <f>100%-D139</f>
        <v>0.54756380510440827</v>
      </c>
      <c r="E140">
        <f>E124</f>
        <v>708000</v>
      </c>
      <c r="F140">
        <f>$D140*F$138</f>
        <v>711832.9466357308</v>
      </c>
      <c r="G140">
        <f t="shared" si="61"/>
        <v>711832.9466357308</v>
      </c>
      <c r="H140">
        <f t="shared" si="61"/>
        <v>711832.9466357308</v>
      </c>
      <c r="I140">
        <f t="shared" si="61"/>
        <v>733187.93503480265</v>
      </c>
      <c r="J140">
        <f t="shared" si="61"/>
        <v>733187.93503480265</v>
      </c>
      <c r="K140">
        <f t="shared" si="61"/>
        <v>733187.93503480265</v>
      </c>
      <c r="L140">
        <f t="shared" si="61"/>
        <v>733187.93503480265</v>
      </c>
      <c r="M140">
        <f t="shared" si="61"/>
        <v>755183.57308584673</v>
      </c>
      <c r="N140">
        <f t="shared" si="61"/>
        <v>755183.57308584673</v>
      </c>
    </row>
    <row r="141" spans="1:14">
      <c r="B141" s="407" t="s">
        <v>433</v>
      </c>
      <c r="C141" s="407"/>
      <c r="D141">
        <f>SUM(E141:N141)</f>
        <v>0</v>
      </c>
    </row>
    <row r="142" spans="1:14">
      <c r="B142" s="469" t="s">
        <v>1082</v>
      </c>
      <c r="C142" s="469"/>
    </row>
    <row r="143" spans="1:14">
      <c r="A143" s="468" t="s">
        <v>1087</v>
      </c>
      <c r="B143" s="469" t="s">
        <v>1085</v>
      </c>
      <c r="C143" s="470">
        <f>100%-C144</f>
        <v>0.37</v>
      </c>
      <c r="D143" s="57">
        <f>27000+15000+65000</f>
        <v>107000</v>
      </c>
      <c r="E143">
        <f>E139*$D143/Billion*$C$143</f>
        <v>23.160149999999998</v>
      </c>
      <c r="F143">
        <f t="shared" ref="F143:N143" si="62">F139*$D143/Billion*$C$143</f>
        <v>23.285533642691419</v>
      </c>
      <c r="G143">
        <f t="shared" si="62"/>
        <v>23.285533642691419</v>
      </c>
      <c r="H143">
        <f t="shared" si="62"/>
        <v>23.285533642691419</v>
      </c>
      <c r="I143">
        <f t="shared" si="62"/>
        <v>23.984099651972159</v>
      </c>
      <c r="J143">
        <f t="shared" si="62"/>
        <v>23.984099651972159</v>
      </c>
      <c r="K143">
        <f t="shared" si="62"/>
        <v>23.984099651972159</v>
      </c>
      <c r="L143">
        <f t="shared" si="62"/>
        <v>23.984099651972159</v>
      </c>
      <c r="M143">
        <f t="shared" si="62"/>
        <v>24.703622641531322</v>
      </c>
      <c r="N143">
        <f t="shared" si="62"/>
        <v>24.703622641531322</v>
      </c>
    </row>
    <row r="144" spans="1:14">
      <c r="A144" s="468" t="s">
        <v>1088</v>
      </c>
      <c r="B144" s="469" t="s">
        <v>1086</v>
      </c>
      <c r="C144" s="470">
        <v>0.63</v>
      </c>
      <c r="D144" s="57">
        <v>65000</v>
      </c>
      <c r="E144">
        <f>E139*$D144/Billion*$C$144</f>
        <v>23.955749999999998</v>
      </c>
      <c r="F144">
        <f t="shared" ref="F144:N144" si="63">F139*$D144/Billion*$C$144</f>
        <v>24.085440835266823</v>
      </c>
      <c r="G144">
        <f t="shared" si="63"/>
        <v>24.085440835266823</v>
      </c>
      <c r="H144">
        <f t="shared" si="63"/>
        <v>24.085440835266823</v>
      </c>
      <c r="I144">
        <f t="shared" si="63"/>
        <v>24.80800406032483</v>
      </c>
      <c r="J144">
        <f t="shared" si="63"/>
        <v>24.80800406032483</v>
      </c>
      <c r="K144">
        <f t="shared" si="63"/>
        <v>24.80800406032483</v>
      </c>
      <c r="L144">
        <f t="shared" si="63"/>
        <v>24.80800406032483</v>
      </c>
      <c r="M144">
        <f t="shared" si="63"/>
        <v>25.552244182134572</v>
      </c>
      <c r="N144">
        <f t="shared" si="63"/>
        <v>25.552244182134572</v>
      </c>
    </row>
    <row r="145" spans="1:14">
      <c r="B145" s="469" t="s">
        <v>1083</v>
      </c>
      <c r="C145" s="469"/>
    </row>
    <row r="146" spans="1:14">
      <c r="B146" s="469" t="s">
        <v>1085</v>
      </c>
      <c r="C146" s="470">
        <v>0.2</v>
      </c>
      <c r="D146" s="57">
        <f>30000+15000+65000</f>
        <v>110000</v>
      </c>
      <c r="E146">
        <f>$D$146*$C$146*E140/Billion</f>
        <v>15.576000000000001</v>
      </c>
      <c r="F146">
        <f t="shared" ref="F146:N146" si="64">$D$146*$C$146*F140/Billion</f>
        <v>15.660324825986079</v>
      </c>
      <c r="G146">
        <f t="shared" si="64"/>
        <v>15.660324825986079</v>
      </c>
      <c r="H146">
        <f t="shared" si="64"/>
        <v>15.660324825986079</v>
      </c>
      <c r="I146">
        <f t="shared" si="64"/>
        <v>16.130134570765659</v>
      </c>
      <c r="J146">
        <f t="shared" si="64"/>
        <v>16.130134570765659</v>
      </c>
      <c r="K146">
        <f t="shared" si="64"/>
        <v>16.130134570765659</v>
      </c>
      <c r="L146">
        <f t="shared" si="64"/>
        <v>16.130134570765659</v>
      </c>
      <c r="M146">
        <f t="shared" si="64"/>
        <v>16.614038607888627</v>
      </c>
      <c r="N146">
        <f t="shared" si="64"/>
        <v>16.614038607888627</v>
      </c>
    </row>
    <row r="147" spans="1:14">
      <c r="B147" s="469" t="s">
        <v>1086</v>
      </c>
      <c r="C147" s="470">
        <v>0.8</v>
      </c>
      <c r="D147" s="57">
        <f>D144</f>
        <v>65000</v>
      </c>
      <c r="E147">
        <f>$D$147*$C$147*E140/Billion</f>
        <v>36.816000000000003</v>
      </c>
      <c r="F147">
        <f t="shared" ref="F147:N147" si="65">$D$147*$C$147*F140/Billion</f>
        <v>37.015313225058001</v>
      </c>
      <c r="G147">
        <f t="shared" si="65"/>
        <v>37.015313225058001</v>
      </c>
      <c r="H147">
        <f t="shared" si="65"/>
        <v>37.015313225058001</v>
      </c>
      <c r="I147">
        <f t="shared" si="65"/>
        <v>38.125772621809737</v>
      </c>
      <c r="J147">
        <f t="shared" si="65"/>
        <v>38.125772621809737</v>
      </c>
      <c r="K147">
        <f t="shared" si="65"/>
        <v>38.125772621809737</v>
      </c>
      <c r="L147">
        <f t="shared" si="65"/>
        <v>38.125772621809737</v>
      </c>
      <c r="M147">
        <f t="shared" si="65"/>
        <v>39.26954580046403</v>
      </c>
      <c r="N147">
        <f t="shared" si="65"/>
        <v>39.26954580046403</v>
      </c>
    </row>
    <row r="148" spans="1:14">
      <c r="B148" s="28" t="s">
        <v>53</v>
      </c>
      <c r="C148" s="28"/>
      <c r="D148" s="28"/>
      <c r="E148" s="28">
        <f>SUM(E146:E147,E143:E144)</f>
        <v>99.507899999999992</v>
      </c>
      <c r="F148" s="28">
        <f t="shared" ref="F148:N148" si="66">SUM(F146:F147,F143:F144)</f>
        <v>100.04661252900233</v>
      </c>
      <c r="G148" s="28">
        <f t="shared" si="66"/>
        <v>100.04661252900233</v>
      </c>
      <c r="H148" s="28">
        <f t="shared" si="66"/>
        <v>100.04661252900233</v>
      </c>
      <c r="I148" s="28">
        <f t="shared" si="66"/>
        <v>103.04801090487238</v>
      </c>
      <c r="J148" s="28">
        <f t="shared" si="66"/>
        <v>103.04801090487238</v>
      </c>
      <c r="K148" s="28">
        <f t="shared" si="66"/>
        <v>103.04801090487238</v>
      </c>
      <c r="L148" s="28">
        <f t="shared" si="66"/>
        <v>103.04801090487238</v>
      </c>
      <c r="M148" s="28">
        <f t="shared" si="66"/>
        <v>106.13945123201856</v>
      </c>
      <c r="N148" s="28">
        <f t="shared" si="66"/>
        <v>106.13945123201856</v>
      </c>
    </row>
    <row r="149" spans="1:14">
      <c r="D149" s="31"/>
    </row>
    <row r="150" spans="1:14">
      <c r="B150" s="471" t="s">
        <v>1090</v>
      </c>
      <c r="C150">
        <v>37000</v>
      </c>
    </row>
    <row r="151" spans="1:14">
      <c r="B151" s="407" t="s">
        <v>139</v>
      </c>
      <c r="C151" s="407"/>
    </row>
    <row r="152" spans="1:14">
      <c r="B152" s="2" t="s">
        <v>394</v>
      </c>
      <c r="C152" s="2" t="s">
        <v>1089</v>
      </c>
      <c r="D152" s="2"/>
      <c r="E152" s="2">
        <f t="shared" ref="E152:N152" si="67">E135</f>
        <v>33.777918098823527</v>
      </c>
      <c r="F152" s="2">
        <f t="shared" si="67"/>
        <v>33.777918098823527</v>
      </c>
      <c r="G152" s="2">
        <f t="shared" si="67"/>
        <v>33.777918098823527</v>
      </c>
      <c r="H152" s="2">
        <f t="shared" si="67"/>
        <v>33.777918098823527</v>
      </c>
      <c r="I152" s="2">
        <f t="shared" si="67"/>
        <v>33.777918098823527</v>
      </c>
      <c r="J152" s="2">
        <f t="shared" si="67"/>
        <v>33.777918098823527</v>
      </c>
      <c r="K152" s="2">
        <f t="shared" si="67"/>
        <v>33.777918098823527</v>
      </c>
      <c r="L152" s="2">
        <f t="shared" si="67"/>
        <v>33.777918098823527</v>
      </c>
      <c r="M152" s="2">
        <f t="shared" si="67"/>
        <v>33.777918098823527</v>
      </c>
      <c r="N152" s="2">
        <f t="shared" si="67"/>
        <v>33.777918098823527</v>
      </c>
    </row>
    <row r="153" spans="1:14">
      <c r="A153" s="468" t="s">
        <v>1082</v>
      </c>
      <c r="B153" s="469" t="s">
        <v>1085</v>
      </c>
      <c r="C153" s="19">
        <f>D127</f>
        <v>103300</v>
      </c>
      <c r="E153">
        <f t="shared" ref="E153:N153" si="68">$C153*E$139/Billion*$D154*$C$143</f>
        <v>14.299420383529412</v>
      </c>
      <c r="F153">
        <f t="shared" si="68"/>
        <v>14.376834105636686</v>
      </c>
      <c r="G153">
        <f t="shared" si="68"/>
        <v>14.376834105636686</v>
      </c>
      <c r="H153">
        <f t="shared" si="68"/>
        <v>14.376834105636686</v>
      </c>
      <c r="I153">
        <f t="shared" si="68"/>
        <v>14.80813912880579</v>
      </c>
      <c r="J153">
        <f t="shared" si="68"/>
        <v>14.80813912880579</v>
      </c>
      <c r="K153">
        <f t="shared" si="68"/>
        <v>14.80813912880579</v>
      </c>
      <c r="L153">
        <f t="shared" si="68"/>
        <v>14.80813912880579</v>
      </c>
      <c r="M153">
        <f t="shared" si="68"/>
        <v>15.252383302669962</v>
      </c>
      <c r="N153">
        <f t="shared" si="68"/>
        <v>15.252383302669962</v>
      </c>
    </row>
    <row r="154" spans="1:14">
      <c r="B154" s="469" t="s">
        <v>1086</v>
      </c>
      <c r="C154" s="19">
        <f>D128</f>
        <v>63300</v>
      </c>
      <c r="D154" s="35">
        <f>D134</f>
        <v>0.6395294117647059</v>
      </c>
      <c r="E154">
        <f>$C154*E$139/Billion*$D154*$C$144</f>
        <v>14.919719145882356</v>
      </c>
      <c r="F154">
        <f t="shared" ref="F154:N154" si="69">$C154*F$139/Billion*$D154*$C$144</f>
        <v>15.000491020608711</v>
      </c>
      <c r="G154">
        <f t="shared" si="69"/>
        <v>15.000491020608711</v>
      </c>
      <c r="H154">
        <f t="shared" si="69"/>
        <v>15.000491020608711</v>
      </c>
      <c r="I154">
        <f t="shared" si="69"/>
        <v>15.450505751226968</v>
      </c>
      <c r="J154">
        <f t="shared" si="69"/>
        <v>15.450505751226968</v>
      </c>
      <c r="K154">
        <f t="shared" si="69"/>
        <v>15.450505751226968</v>
      </c>
      <c r="L154">
        <f t="shared" si="69"/>
        <v>15.450505751226968</v>
      </c>
      <c r="M154">
        <f t="shared" si="69"/>
        <v>15.914020923763779</v>
      </c>
      <c r="N154">
        <f t="shared" si="69"/>
        <v>15.914020923763779</v>
      </c>
    </row>
    <row r="155" spans="1:14">
      <c r="A155" s="468" t="s">
        <v>1083</v>
      </c>
      <c r="B155" s="469" t="s">
        <v>1085</v>
      </c>
      <c r="C155" s="19">
        <f>D130</f>
        <v>102220</v>
      </c>
      <c r="D155" s="407"/>
      <c r="E155">
        <f>$C155*E$140/Billion*$D$154*$C$146</f>
        <v>9.2567738202352938</v>
      </c>
      <c r="F155">
        <f t="shared" ref="F155:N155" si="70">$C155*F$140/Billion*$D$154*$C$146</f>
        <v>9.3068878316364128</v>
      </c>
      <c r="G155">
        <f t="shared" si="70"/>
        <v>9.3068878316364128</v>
      </c>
      <c r="H155">
        <f t="shared" si="70"/>
        <v>9.3068878316364128</v>
      </c>
      <c r="I155">
        <f t="shared" si="70"/>
        <v>9.5860944665855037</v>
      </c>
      <c r="J155">
        <f t="shared" si="70"/>
        <v>9.5860944665855037</v>
      </c>
      <c r="K155">
        <f t="shared" si="70"/>
        <v>9.5860944665855037</v>
      </c>
      <c r="L155">
        <f t="shared" si="70"/>
        <v>9.5860944665855037</v>
      </c>
      <c r="M155">
        <f t="shared" si="70"/>
        <v>9.8736773005830685</v>
      </c>
      <c r="N155">
        <f t="shared" si="70"/>
        <v>9.8736773005830685</v>
      </c>
    </row>
    <row r="156" spans="1:14">
      <c r="B156" s="469" t="s">
        <v>1086</v>
      </c>
      <c r="C156" s="19">
        <f>D131</f>
        <v>59220</v>
      </c>
      <c r="D156" s="407"/>
      <c r="E156">
        <f>$C156*E$140/Billion*$D$154*$C$147</f>
        <v>21.451228551529411</v>
      </c>
      <c r="F156">
        <f t="shared" ref="F156:N156" si="71">$C156*F$140/Billion*$D$154*$C$147</f>
        <v>21.567360492643644</v>
      </c>
      <c r="G156">
        <f t="shared" si="71"/>
        <v>21.567360492643644</v>
      </c>
      <c r="H156">
        <f t="shared" si="71"/>
        <v>21.567360492643644</v>
      </c>
      <c r="I156">
        <f t="shared" si="71"/>
        <v>22.214381307422954</v>
      </c>
      <c r="J156">
        <f t="shared" si="71"/>
        <v>22.214381307422954</v>
      </c>
      <c r="K156">
        <f t="shared" si="71"/>
        <v>22.214381307422954</v>
      </c>
      <c r="L156">
        <f t="shared" si="71"/>
        <v>22.214381307422954</v>
      </c>
      <c r="M156">
        <f t="shared" si="71"/>
        <v>22.880812746645645</v>
      </c>
      <c r="N156">
        <f t="shared" si="71"/>
        <v>22.880812746645645</v>
      </c>
    </row>
    <row r="157" spans="1:14">
      <c r="B157" s="28" t="s">
        <v>450</v>
      </c>
      <c r="C157" s="28"/>
      <c r="D157" s="28"/>
      <c r="E157" s="459">
        <f>SUM(E153:E156)</f>
        <v>59.927141901176476</v>
      </c>
      <c r="F157" s="28">
        <f t="shared" ref="F157:N157" si="72">SUM(F153:F156)</f>
        <v>60.251573450525456</v>
      </c>
      <c r="G157" s="28">
        <f t="shared" si="72"/>
        <v>60.251573450525456</v>
      </c>
      <c r="H157" s="28">
        <f t="shared" si="72"/>
        <v>60.251573450525456</v>
      </c>
      <c r="I157" s="28">
        <f t="shared" si="72"/>
        <v>62.059120654041216</v>
      </c>
      <c r="J157" s="28">
        <f t="shared" si="72"/>
        <v>62.059120654041216</v>
      </c>
      <c r="K157" s="28">
        <f t="shared" si="72"/>
        <v>62.059120654041216</v>
      </c>
      <c r="L157" s="28">
        <f t="shared" si="72"/>
        <v>62.059120654041216</v>
      </c>
      <c r="M157" s="28">
        <f t="shared" si="72"/>
        <v>63.920894273662455</v>
      </c>
      <c r="N157" s="28">
        <f t="shared" si="72"/>
        <v>63.920894273662455</v>
      </c>
    </row>
    <row r="159" spans="1:14">
      <c r="B159" s="471" t="s">
        <v>139</v>
      </c>
      <c r="E159">
        <f>SUM(E148,-E157)</f>
        <v>39.580758098823516</v>
      </c>
      <c r="F159">
        <f t="shared" ref="F159:N159" si="73">SUM(F148,-F157)</f>
        <v>39.795039078476876</v>
      </c>
      <c r="G159">
        <f t="shared" si="73"/>
        <v>39.795039078476876</v>
      </c>
      <c r="H159">
        <f t="shared" si="73"/>
        <v>39.795039078476876</v>
      </c>
      <c r="I159">
        <f t="shared" si="73"/>
        <v>40.988890250831169</v>
      </c>
      <c r="J159">
        <f t="shared" si="73"/>
        <v>40.988890250831169</v>
      </c>
      <c r="K159">
        <f t="shared" si="73"/>
        <v>40.988890250831169</v>
      </c>
      <c r="L159">
        <f t="shared" si="73"/>
        <v>40.988890250831169</v>
      </c>
      <c r="M159">
        <f t="shared" si="73"/>
        <v>42.218556958356103</v>
      </c>
      <c r="N159">
        <f t="shared" si="73"/>
        <v>42.218556958356103</v>
      </c>
    </row>
    <row r="161" spans="1:15">
      <c r="A161" s="407" t="s">
        <v>453</v>
      </c>
    </row>
    <row r="162" spans="1:15">
      <c r="A162" s="407"/>
      <c r="B162" s="407" t="s">
        <v>408</v>
      </c>
      <c r="C162" s="407"/>
    </row>
    <row r="163" spans="1:15">
      <c r="B163" s="2" t="s">
        <v>9</v>
      </c>
      <c r="C163" s="2"/>
      <c r="E163">
        <v>2025</v>
      </c>
      <c r="F163">
        <f t="shared" ref="F163:N163" si="74">E163+1</f>
        <v>2026</v>
      </c>
      <c r="G163">
        <f t="shared" si="74"/>
        <v>2027</v>
      </c>
      <c r="H163">
        <f t="shared" si="74"/>
        <v>2028</v>
      </c>
      <c r="I163">
        <f t="shared" si="74"/>
        <v>2029</v>
      </c>
      <c r="J163">
        <f t="shared" si="74"/>
        <v>2030</v>
      </c>
      <c r="K163">
        <f t="shared" si="74"/>
        <v>2031</v>
      </c>
      <c r="L163">
        <f t="shared" si="74"/>
        <v>2032</v>
      </c>
      <c r="M163">
        <f t="shared" si="74"/>
        <v>2033</v>
      </c>
      <c r="N163">
        <f t="shared" si="74"/>
        <v>2034</v>
      </c>
    </row>
    <row r="164" spans="1:15">
      <c r="B164" s="407" t="s">
        <v>186</v>
      </c>
      <c r="C164" s="407"/>
      <c r="E164">
        <f t="shared" ref="E164:N164" si="75">E42</f>
        <v>309.51301745340231</v>
      </c>
      <c r="F164" s="462">
        <f t="shared" si="75"/>
        <v>318.79840797700439</v>
      </c>
      <c r="G164">
        <f t="shared" si="75"/>
        <v>328.36236021631453</v>
      </c>
      <c r="H164">
        <f t="shared" si="75"/>
        <v>338.21323102280405</v>
      </c>
      <c r="I164">
        <f t="shared" si="75"/>
        <v>348.35962795348814</v>
      </c>
      <c r="J164">
        <f t="shared" si="75"/>
        <v>358.81041679209284</v>
      </c>
      <c r="K164">
        <f t="shared" si="75"/>
        <v>369.5747292958556</v>
      </c>
      <c r="L164">
        <f t="shared" si="75"/>
        <v>380.66197117473126</v>
      </c>
      <c r="M164">
        <f t="shared" si="75"/>
        <v>392.08183030997327</v>
      </c>
      <c r="N164">
        <f t="shared" si="75"/>
        <v>403.84428521927236</v>
      </c>
    </row>
    <row r="165" spans="1:15">
      <c r="B165" s="407" t="s">
        <v>390</v>
      </c>
      <c r="C165" s="407"/>
      <c r="E165">
        <f t="shared" ref="E165:N165" si="76">E65</f>
        <v>42.487499999999997</v>
      </c>
      <c r="F165">
        <f t="shared" si="76"/>
        <v>43.762124999999997</v>
      </c>
      <c r="G165">
        <f t="shared" si="76"/>
        <v>45.074988750000003</v>
      </c>
      <c r="H165">
        <f t="shared" si="76"/>
        <v>46.42723841250001</v>
      </c>
      <c r="I165">
        <f t="shared" si="76"/>
        <v>47.820055564875005</v>
      </c>
      <c r="J165">
        <f t="shared" si="76"/>
        <v>49.254657231821255</v>
      </c>
      <c r="K165">
        <f t="shared" si="76"/>
        <v>50.732296948775897</v>
      </c>
      <c r="L165">
        <f t="shared" si="76"/>
        <v>52.254265857239176</v>
      </c>
      <c r="M165">
        <f t="shared" si="76"/>
        <v>53.821893832956356</v>
      </c>
      <c r="N165">
        <f t="shared" si="76"/>
        <v>55.43655064794504</v>
      </c>
    </row>
    <row r="166" spans="1:15">
      <c r="B166" s="407" t="s">
        <v>297</v>
      </c>
      <c r="C166" s="407"/>
      <c r="E166">
        <f t="shared" ref="E166:N166" si="77">E93</f>
        <v>48.368628000000008</v>
      </c>
      <c r="F166">
        <f t="shared" si="77"/>
        <v>49.81968684000001</v>
      </c>
      <c r="G166">
        <f t="shared" si="77"/>
        <v>51.314277445200005</v>
      </c>
      <c r="H166">
        <f t="shared" si="77"/>
        <v>52.853705768556019</v>
      </c>
      <c r="I166">
        <f t="shared" si="77"/>
        <v>54.439316941612695</v>
      </c>
      <c r="J166">
        <f t="shared" si="77"/>
        <v>56.072496449861077</v>
      </c>
      <c r="K166">
        <f t="shared" si="77"/>
        <v>57.754671343356918</v>
      </c>
      <c r="L166">
        <f t="shared" si="77"/>
        <v>59.487311483657621</v>
      </c>
      <c r="M166">
        <f t="shared" si="77"/>
        <v>61.271930828167356</v>
      </c>
      <c r="N166">
        <f t="shared" si="77"/>
        <v>63.110088753012384</v>
      </c>
    </row>
    <row r="167" spans="1:15">
      <c r="B167" s="468" t="s">
        <v>391</v>
      </c>
      <c r="C167" s="468"/>
      <c r="E167" s="462">
        <f>E132</f>
        <v>93.705060000000003</v>
      </c>
      <c r="F167">
        <f t="shared" ref="F167:N167" si="78">F132</f>
        <v>93.705060000000003</v>
      </c>
      <c r="G167">
        <f t="shared" si="78"/>
        <v>93.705060000000003</v>
      </c>
      <c r="H167">
        <f t="shared" si="78"/>
        <v>93.705060000000003</v>
      </c>
      <c r="I167">
        <f t="shared" si="78"/>
        <v>93.705060000000003</v>
      </c>
      <c r="J167">
        <f t="shared" si="78"/>
        <v>93.705060000000003</v>
      </c>
      <c r="K167">
        <f t="shared" si="78"/>
        <v>93.705060000000003</v>
      </c>
      <c r="L167">
        <f t="shared" si="78"/>
        <v>93.705060000000003</v>
      </c>
      <c r="M167">
        <f t="shared" si="78"/>
        <v>93.705060000000003</v>
      </c>
      <c r="N167">
        <f t="shared" si="78"/>
        <v>93.705060000000003</v>
      </c>
    </row>
    <row r="168" spans="1:15">
      <c r="B168" s="28" t="s">
        <v>454</v>
      </c>
      <c r="C168" s="28"/>
      <c r="D168" s="28"/>
      <c r="E168" s="28">
        <f>SUM(E164:E167)</f>
        <v>494.07420545340233</v>
      </c>
      <c r="F168" s="28">
        <f t="shared" ref="F168:N168" si="79">SUM(F164:F167)</f>
        <v>506.08527981700445</v>
      </c>
      <c r="G168" s="28">
        <f t="shared" si="79"/>
        <v>518.45668641151451</v>
      </c>
      <c r="H168" s="28">
        <f t="shared" si="79"/>
        <v>531.1992352038601</v>
      </c>
      <c r="I168" s="28">
        <f t="shared" si="79"/>
        <v>544.32406045997584</v>
      </c>
      <c r="J168" s="28">
        <f t="shared" si="79"/>
        <v>557.84263047377522</v>
      </c>
      <c r="K168" s="28">
        <f t="shared" si="79"/>
        <v>571.76675758798842</v>
      </c>
      <c r="L168" s="28">
        <f t="shared" si="79"/>
        <v>586.10860851562802</v>
      </c>
      <c r="M168" s="28">
        <f t="shared" si="79"/>
        <v>600.88071497109695</v>
      </c>
      <c r="N168" s="28">
        <f t="shared" si="79"/>
        <v>616.09598462022984</v>
      </c>
      <c r="O168" s="302">
        <f>N168-E168</f>
        <v>122.02177916682751</v>
      </c>
    </row>
    <row r="170" spans="1:15">
      <c r="B170" s="2" t="s">
        <v>139</v>
      </c>
      <c r="C170" s="2"/>
    </row>
    <row r="171" spans="1:15">
      <c r="B171" s="407" t="s">
        <v>186</v>
      </c>
      <c r="C171" s="407"/>
      <c r="E171">
        <f t="shared" ref="E171:N171" si="80">E43</f>
        <v>114.30702787908531</v>
      </c>
      <c r="F171">
        <f t="shared" si="80"/>
        <v>117.73623871545786</v>
      </c>
      <c r="G171">
        <f t="shared" si="80"/>
        <v>121.26832587692158</v>
      </c>
      <c r="H171">
        <f t="shared" si="80"/>
        <v>124.90637565322928</v>
      </c>
      <c r="I171">
        <f t="shared" si="80"/>
        <v>128.65356692282612</v>
      </c>
      <c r="J171">
        <f t="shared" si="80"/>
        <v>132.51317393051093</v>
      </c>
      <c r="K171">
        <f t="shared" si="80"/>
        <v>136.48856914842625</v>
      </c>
      <c r="L171">
        <f t="shared" si="80"/>
        <v>140.58322622287903</v>
      </c>
      <c r="M171">
        <f t="shared" si="80"/>
        <v>144.80072300956544</v>
      </c>
      <c r="N171">
        <f t="shared" si="80"/>
        <v>149.14474469985237</v>
      </c>
    </row>
    <row r="172" spans="1:15">
      <c r="B172" s="407" t="s">
        <v>390</v>
      </c>
      <c r="C172" s="407"/>
      <c r="E172">
        <f t="shared" ref="E172:N172" si="81">E66</f>
        <v>15.839986600622304</v>
      </c>
      <c r="F172">
        <f t="shared" si="81"/>
        <v>16.315186198640973</v>
      </c>
      <c r="G172">
        <f t="shared" si="81"/>
        <v>16.804641784600214</v>
      </c>
      <c r="H172">
        <f t="shared" si="81"/>
        <v>17.308781038138221</v>
      </c>
      <c r="I172">
        <f t="shared" si="81"/>
        <v>17.828044469282361</v>
      </c>
      <c r="J172">
        <f t="shared" si="81"/>
        <v>18.362885803360832</v>
      </c>
      <c r="K172">
        <f t="shared" si="81"/>
        <v>18.913772377461658</v>
      </c>
      <c r="L172">
        <f t="shared" si="81"/>
        <v>19.481185548785508</v>
      </c>
      <c r="M172">
        <f t="shared" si="81"/>
        <v>20.065621115249076</v>
      </c>
      <c r="N172">
        <f t="shared" si="81"/>
        <v>20.667589748706551</v>
      </c>
    </row>
    <row r="173" spans="1:15">
      <c r="B173" s="407" t="s">
        <v>297</v>
      </c>
      <c r="C173" s="407"/>
      <c r="E173">
        <f t="shared" ref="E173:N173" si="82">E96</f>
        <v>17.896392360000004</v>
      </c>
      <c r="F173">
        <f t="shared" si="82"/>
        <v>18.433284130800004</v>
      </c>
      <c r="G173">
        <f t="shared" si="82"/>
        <v>18.986282654724</v>
      </c>
      <c r="H173">
        <f t="shared" si="82"/>
        <v>19.555871134365724</v>
      </c>
      <c r="I173">
        <f t="shared" si="82"/>
        <v>20.142547268396697</v>
      </c>
      <c r="J173">
        <f t="shared" si="82"/>
        <v>20.7468236864486</v>
      </c>
      <c r="K173">
        <f t="shared" si="82"/>
        <v>21.369228397042058</v>
      </c>
      <c r="L173">
        <f t="shared" si="82"/>
        <v>22.010305248953323</v>
      </c>
      <c r="M173">
        <f t="shared" si="82"/>
        <v>22.670614406421919</v>
      </c>
      <c r="N173">
        <f t="shared" si="82"/>
        <v>23.350732838614583</v>
      </c>
    </row>
    <row r="174" spans="1:15">
      <c r="B174" s="468" t="s">
        <v>391</v>
      </c>
      <c r="C174" s="468"/>
      <c r="E174">
        <f>E135</f>
        <v>33.777918098823527</v>
      </c>
      <c r="F174">
        <f t="shared" ref="F174:N174" si="83">F135</f>
        <v>33.777918098823527</v>
      </c>
      <c r="G174">
        <f t="shared" si="83"/>
        <v>33.777918098823527</v>
      </c>
      <c r="H174">
        <f t="shared" si="83"/>
        <v>33.777918098823527</v>
      </c>
      <c r="I174">
        <f t="shared" si="83"/>
        <v>33.777918098823527</v>
      </c>
      <c r="J174">
        <f t="shared" si="83"/>
        <v>33.777918098823527</v>
      </c>
      <c r="K174">
        <f t="shared" si="83"/>
        <v>33.777918098823527</v>
      </c>
      <c r="L174">
        <f t="shared" si="83"/>
        <v>33.777918098823527</v>
      </c>
      <c r="M174">
        <f t="shared" si="83"/>
        <v>33.777918098823527</v>
      </c>
      <c r="N174">
        <f t="shared" si="83"/>
        <v>33.777918098823527</v>
      </c>
    </row>
    <row r="175" spans="1:15">
      <c r="B175" s="28" t="s">
        <v>455</v>
      </c>
      <c r="C175" s="28"/>
      <c r="D175" s="28"/>
      <c r="E175" s="459">
        <f>SUM(E171:E174)</f>
        <v>181.82132493853115</v>
      </c>
      <c r="F175" s="28">
        <f t="shared" ref="F175:N175" si="84">SUM(F171:F174)</f>
        <v>186.2626271437224</v>
      </c>
      <c r="G175" s="28">
        <f t="shared" si="84"/>
        <v>190.83716841506933</v>
      </c>
      <c r="H175" s="28">
        <f t="shared" si="84"/>
        <v>195.54894592455676</v>
      </c>
      <c r="I175" s="28">
        <f t="shared" si="84"/>
        <v>200.40207675932871</v>
      </c>
      <c r="J175" s="28">
        <f t="shared" si="84"/>
        <v>205.4008015191439</v>
      </c>
      <c r="K175" s="28">
        <f t="shared" si="84"/>
        <v>210.54948802175352</v>
      </c>
      <c r="L175" s="28">
        <f t="shared" si="84"/>
        <v>215.8526351194414</v>
      </c>
      <c r="M175" s="28">
        <f t="shared" si="84"/>
        <v>221.31487663005998</v>
      </c>
      <c r="N175" s="28">
        <f t="shared" si="84"/>
        <v>226.94098538599704</v>
      </c>
      <c r="O175" s="475">
        <f>N175-E175</f>
        <v>45.11966044746589</v>
      </c>
    </row>
    <row r="176" spans="1:15">
      <c r="E176" s="31">
        <f>E175/E168</f>
        <v>0.36800408305403687</v>
      </c>
      <c r="F176" s="31">
        <f>F175/F168</f>
        <v>0.36804592935616143</v>
      </c>
      <c r="G176" s="31">
        <f t="shared" ref="G176:N176" si="85">G175/G168</f>
        <v>0.36808700401945665</v>
      </c>
      <c r="H176" s="31">
        <f t="shared" si="85"/>
        <v>0.36812731074341681</v>
      </c>
      <c r="I176" s="31">
        <f t="shared" si="85"/>
        <v>0.36816685374881436</v>
      </c>
      <c r="J176" s="31">
        <f t="shared" si="85"/>
        <v>0.3682056377525274</v>
      </c>
      <c r="K176" s="31">
        <f t="shared" si="85"/>
        <v>0.36824366794243429</v>
      </c>
      <c r="L176" s="31">
        <f t="shared" si="85"/>
        <v>0.36828094995244537</v>
      </c>
      <c r="M176" s="31">
        <f t="shared" si="85"/>
        <v>0.36831748983773838</v>
      </c>
      <c r="N176" s="31">
        <f t="shared" si="85"/>
        <v>0.36835329405025524</v>
      </c>
    </row>
    <row r="177" spans="2:15">
      <c r="B177" s="407" t="s">
        <v>456</v>
      </c>
      <c r="C177" s="407"/>
    </row>
    <row r="178" spans="2:15">
      <c r="B178" s="2" t="s">
        <v>9</v>
      </c>
      <c r="C178" s="2"/>
    </row>
    <row r="179" spans="2:15">
      <c r="B179" s="407" t="s">
        <v>186</v>
      </c>
      <c r="C179" s="407"/>
      <c r="E179">
        <f>E164</f>
        <v>309.51301745340231</v>
      </c>
      <c r="F179">
        <f t="shared" ref="F179:N179" si="86">F49</f>
        <v>260.53447647422149</v>
      </c>
      <c r="G179">
        <f t="shared" si="86"/>
        <v>268.35051076844809</v>
      </c>
      <c r="H179">
        <f t="shared" si="86"/>
        <v>276.40102609150159</v>
      </c>
      <c r="I179">
        <f t="shared" si="86"/>
        <v>284.69305687424662</v>
      </c>
      <c r="J179">
        <f t="shared" si="86"/>
        <v>293.23384858047405</v>
      </c>
      <c r="K179">
        <f t="shared" si="86"/>
        <v>302.03086403788831</v>
      </c>
      <c r="L179">
        <f t="shared" si="86"/>
        <v>311.09178995902488</v>
      </c>
      <c r="M179">
        <f t="shared" si="86"/>
        <v>320.42454365779565</v>
      </c>
      <c r="N179">
        <f t="shared" si="86"/>
        <v>330.03727996752946</v>
      </c>
      <c r="O179">
        <f>N179-E179</f>
        <v>20.524262514127145</v>
      </c>
    </row>
    <row r="180" spans="2:15">
      <c r="B180" s="407" t="s">
        <v>390</v>
      </c>
      <c r="C180" s="407"/>
      <c r="E180">
        <f>E165</f>
        <v>42.487499999999997</v>
      </c>
      <c r="F180">
        <f t="shared" ref="F180:N180" si="87">F72</f>
        <v>30.960299587179421</v>
      </c>
      <c r="G180">
        <f t="shared" si="87"/>
        <v>39.671255704509683</v>
      </c>
      <c r="H180">
        <f t="shared" si="87"/>
        <v>42.573465744182251</v>
      </c>
      <c r="I180">
        <f t="shared" si="87"/>
        <v>45.504375981572117</v>
      </c>
      <c r="J180">
        <f t="shared" si="87"/>
        <v>48.464847422610831</v>
      </c>
      <c r="K180">
        <f t="shared" si="87"/>
        <v>51.455766903407849</v>
      </c>
      <c r="L180">
        <f t="shared" si="87"/>
        <v>54.478047865155915</v>
      </c>
      <c r="M180">
        <f t="shared" si="87"/>
        <v>57.532631152283564</v>
      </c>
      <c r="N180">
        <f t="shared" si="87"/>
        <v>60.62048583455217</v>
      </c>
      <c r="O180">
        <f>N180-E180</f>
        <v>18.132985834552173</v>
      </c>
    </row>
    <row r="181" spans="2:15">
      <c r="B181" s="407" t="s">
        <v>297</v>
      </c>
      <c r="C181" s="407"/>
      <c r="E181">
        <f>E166</f>
        <v>48.368628000000008</v>
      </c>
      <c r="F181">
        <f t="shared" ref="F181:N181" si="88">F101</f>
        <v>49.81968684000001</v>
      </c>
      <c r="G181">
        <f t="shared" si="88"/>
        <v>51.314277445200005</v>
      </c>
      <c r="H181">
        <f t="shared" si="88"/>
        <v>53.742160412165532</v>
      </c>
      <c r="I181">
        <f t="shared" si="88"/>
        <v>70.939651744058509</v>
      </c>
      <c r="J181">
        <f t="shared" si="88"/>
        <v>78.033616918464361</v>
      </c>
      <c r="K181">
        <f t="shared" si="88"/>
        <v>94.420676471341864</v>
      </c>
      <c r="L181">
        <f t="shared" si="88"/>
        <v>100.08591705962239</v>
      </c>
      <c r="M181">
        <f t="shared" si="88"/>
        <v>112.45653640819174</v>
      </c>
      <c r="N181">
        <f t="shared" si="88"/>
        <v>119.20392859268325</v>
      </c>
      <c r="O181">
        <f>N181-E181</f>
        <v>70.83530059268324</v>
      </c>
    </row>
    <row r="182" spans="2:15">
      <c r="B182" s="407" t="s">
        <v>457</v>
      </c>
      <c r="C182" s="407"/>
      <c r="E182">
        <f t="shared" ref="E182:N182" si="89">SUM(E50,E73,E102)</f>
        <v>0</v>
      </c>
      <c r="F182">
        <f t="shared" si="89"/>
        <v>0</v>
      </c>
      <c r="G182">
        <f t="shared" si="89"/>
        <v>1.1919865569335304</v>
      </c>
      <c r="H182">
        <f t="shared" si="89"/>
        <v>1.6935461536415364</v>
      </c>
      <c r="I182">
        <f t="shared" si="89"/>
        <v>1.7786325382507826</v>
      </c>
      <c r="J182">
        <f t="shared" si="89"/>
        <v>1.8695195143983063</v>
      </c>
      <c r="K182">
        <f t="shared" si="89"/>
        <v>1.9667058998302556</v>
      </c>
      <c r="L182">
        <f t="shared" si="89"/>
        <v>2.0460345968251632</v>
      </c>
      <c r="M182">
        <f t="shared" si="89"/>
        <v>2.1288548059299184</v>
      </c>
      <c r="N182">
        <f t="shared" si="89"/>
        <v>2.2153379715798156</v>
      </c>
      <c r="O182">
        <f>N182-E182</f>
        <v>2.2153379715798156</v>
      </c>
    </row>
    <row r="183" spans="2:15">
      <c r="B183" s="468" t="s">
        <v>391</v>
      </c>
      <c r="C183" s="468"/>
      <c r="E183">
        <f t="shared" ref="E183:N183" si="90">E148</f>
        <v>99.507899999999992</v>
      </c>
      <c r="F183">
        <f t="shared" si="90"/>
        <v>100.04661252900233</v>
      </c>
      <c r="G183">
        <f t="shared" si="90"/>
        <v>100.04661252900233</v>
      </c>
      <c r="H183">
        <f t="shared" si="90"/>
        <v>100.04661252900233</v>
      </c>
      <c r="I183">
        <f t="shared" si="90"/>
        <v>103.04801090487238</v>
      </c>
      <c r="J183">
        <f t="shared" si="90"/>
        <v>103.04801090487238</v>
      </c>
      <c r="K183">
        <f t="shared" si="90"/>
        <v>103.04801090487238</v>
      </c>
      <c r="L183">
        <f t="shared" si="90"/>
        <v>103.04801090487238</v>
      </c>
      <c r="M183">
        <f t="shared" si="90"/>
        <v>106.13945123201856</v>
      </c>
      <c r="N183">
        <f t="shared" si="90"/>
        <v>106.13945123201856</v>
      </c>
    </row>
    <row r="184" spans="2:15">
      <c r="B184" s="407" t="s">
        <v>299</v>
      </c>
      <c r="C184" s="407"/>
      <c r="E184">
        <f>E116*Output_FSL!$F$40</f>
        <v>0</v>
      </c>
      <c r="F184">
        <f>F116*Output_FSL!$F$40</f>
        <v>0</v>
      </c>
      <c r="G184">
        <f>G116*Output_FSL!$F$40</f>
        <v>0</v>
      </c>
      <c r="H184">
        <f>H116*Output_FSL!$F$40</f>
        <v>0</v>
      </c>
      <c r="I184">
        <f>I116*Output_FSL!$F$40</f>
        <v>0</v>
      </c>
      <c r="J184">
        <f>J116*Output_FSL!$F$40</f>
        <v>0</v>
      </c>
      <c r="K184">
        <f>K116*Output_FSL!$F$40</f>
        <v>0</v>
      </c>
      <c r="L184">
        <f>L116*Output_FSL!$F$40</f>
        <v>0</v>
      </c>
      <c r="M184">
        <f>M116*Output_FSL!$F$40</f>
        <v>0</v>
      </c>
      <c r="N184">
        <f>N116*Output_FSL!$F$40</f>
        <v>0</v>
      </c>
    </row>
    <row r="185" spans="2:15">
      <c r="B185" s="28" t="s">
        <v>454</v>
      </c>
      <c r="C185" s="28"/>
      <c r="D185" s="28"/>
      <c r="E185" s="28">
        <f>SUM(E179:E184)</f>
        <v>499.87704545340233</v>
      </c>
      <c r="F185" s="28">
        <f t="shared" ref="F185:N185" si="91">SUM(F179:F184)</f>
        <v>441.36107543040328</v>
      </c>
      <c r="G185" s="28">
        <f t="shared" si="91"/>
        <v>460.57464300409367</v>
      </c>
      <c r="H185" s="28">
        <f t="shared" si="91"/>
        <v>474.4568109304933</v>
      </c>
      <c r="I185" s="28">
        <f t="shared" si="91"/>
        <v>505.96372804300046</v>
      </c>
      <c r="J185" s="28">
        <f t="shared" si="91"/>
        <v>524.64984334081987</v>
      </c>
      <c r="K185" s="28">
        <f t="shared" si="91"/>
        <v>552.92202421734066</v>
      </c>
      <c r="L185" s="28">
        <f t="shared" si="91"/>
        <v>570.74980038550075</v>
      </c>
      <c r="M185" s="28">
        <f t="shared" si="91"/>
        <v>598.68201725621941</v>
      </c>
      <c r="N185" s="28">
        <f t="shared" si="91"/>
        <v>618.21648359836331</v>
      </c>
      <c r="O185" s="302">
        <f>N185-E185</f>
        <v>118.33943814496098</v>
      </c>
    </row>
    <row r="186" spans="2:15">
      <c r="E186">
        <f t="shared" ref="E186:M186" si="92">E185-E168</f>
        <v>5.8028400000000033</v>
      </c>
      <c r="F186">
        <f t="shared" si="92"/>
        <v>-64.724204386601173</v>
      </c>
      <c r="G186">
        <f t="shared" si="92"/>
        <v>-57.882043407420838</v>
      </c>
      <c r="H186">
        <f t="shared" si="92"/>
        <v>-56.742424273366794</v>
      </c>
      <c r="I186">
        <f t="shared" si="92"/>
        <v>-38.360332416975382</v>
      </c>
      <c r="J186">
        <f t="shared" si="92"/>
        <v>-33.192787132955345</v>
      </c>
      <c r="K186">
        <f t="shared" si="92"/>
        <v>-18.844733370647759</v>
      </c>
      <c r="L186">
        <f t="shared" si="92"/>
        <v>-15.358808130127272</v>
      </c>
      <c r="M186">
        <f t="shared" si="92"/>
        <v>-2.1986977148775395</v>
      </c>
      <c r="N186">
        <f>N185-N168</f>
        <v>2.1204989781334689</v>
      </c>
      <c r="O186">
        <f>SUM(O179:O181)-O168</f>
        <v>-12.529230225464957</v>
      </c>
    </row>
    <row r="187" spans="2:15">
      <c r="B187" s="2" t="s">
        <v>139</v>
      </c>
      <c r="C187" s="2"/>
      <c r="O187" s="462">
        <f>O186*37%</f>
        <v>-4.635815183422034</v>
      </c>
    </row>
    <row r="188" spans="2:15">
      <c r="B188" s="407" t="s">
        <v>186</v>
      </c>
      <c r="C188" s="407"/>
      <c r="E188">
        <f>E171</f>
        <v>114.30702787908531</v>
      </c>
      <c r="F188">
        <f t="shared" ref="F188:N188" si="93">F57</f>
        <v>129.1039399535625</v>
      </c>
      <c r="G188">
        <f t="shared" si="93"/>
        <v>132.97705815216935</v>
      </c>
      <c r="H188">
        <f t="shared" si="93"/>
        <v>136.96636989673445</v>
      </c>
      <c r="I188">
        <f t="shared" si="93"/>
        <v>141.07536099363648</v>
      </c>
      <c r="J188">
        <f t="shared" si="93"/>
        <v>145.30762182344554</v>
      </c>
      <c r="K188">
        <f t="shared" si="93"/>
        <v>149.66685047814897</v>
      </c>
      <c r="L188">
        <f t="shared" si="93"/>
        <v>154.1568559924934</v>
      </c>
      <c r="M188">
        <f t="shared" si="93"/>
        <v>158.7815616722682</v>
      </c>
      <c r="N188">
        <f t="shared" si="93"/>
        <v>163.54500852243623</v>
      </c>
    </row>
    <row r="189" spans="2:15">
      <c r="B189" s="407" t="s">
        <v>390</v>
      </c>
      <c r="C189" s="407"/>
      <c r="E189">
        <f>E172</f>
        <v>15.839986600622304</v>
      </c>
      <c r="F189">
        <f t="shared" ref="F189:N189" si="94">F80</f>
        <v>17.276486906912776</v>
      </c>
      <c r="G189">
        <f t="shared" si="94"/>
        <v>22.137380416162522</v>
      </c>
      <c r="H189">
        <f t="shared" si="94"/>
        <v>23.75687358709672</v>
      </c>
      <c r="I189">
        <f t="shared" si="94"/>
        <v>25.392382061393619</v>
      </c>
      <c r="J189">
        <f t="shared" si="94"/>
        <v>27.044386298154109</v>
      </c>
      <c r="K189">
        <f t="shared" si="94"/>
        <v>28.713381170252102</v>
      </c>
      <c r="L189">
        <f t="shared" si="94"/>
        <v>30.399876396747711</v>
      </c>
      <c r="M189">
        <f t="shared" si="94"/>
        <v>32.104396988272882</v>
      </c>
      <c r="N189">
        <f t="shared" si="94"/>
        <v>33.827483705778477</v>
      </c>
    </row>
    <row r="190" spans="2:15">
      <c r="B190" s="407" t="s">
        <v>297</v>
      </c>
      <c r="C190" s="407"/>
      <c r="E190" s="57">
        <f>E173</f>
        <v>17.896392360000004</v>
      </c>
      <c r="F190" s="57">
        <f>F173</f>
        <v>18.433284130800004</v>
      </c>
      <c r="G190" s="57">
        <f>G173</f>
        <v>18.986282654724</v>
      </c>
      <c r="H190">
        <f t="shared" ref="H190:N190" si="95">H109</f>
        <v>19.884599352501247</v>
      </c>
      <c r="I190">
        <f t="shared" si="95"/>
        <v>26.247671145301645</v>
      </c>
      <c r="J190">
        <f t="shared" si="95"/>
        <v>28.87243825983181</v>
      </c>
      <c r="K190">
        <f t="shared" si="95"/>
        <v>34.935650294396488</v>
      </c>
      <c r="L190">
        <f t="shared" si="95"/>
        <v>37.031789312060283</v>
      </c>
      <c r="M190">
        <f t="shared" si="95"/>
        <v>41.608918471030947</v>
      </c>
      <c r="N190">
        <f t="shared" si="95"/>
        <v>44.105453579292799</v>
      </c>
      <c r="O190" s="462">
        <f>SUM(N191:N193)-SUM(E191:E193)</f>
        <v>5.7660227497498298</v>
      </c>
    </row>
    <row r="191" spans="2:15">
      <c r="B191" s="407" t="s">
        <v>457</v>
      </c>
      <c r="C191" s="407"/>
      <c r="E191">
        <f t="shared" ref="E191:N191" si="96">SUM(E58,E81,E110)</f>
        <v>0</v>
      </c>
      <c r="F191">
        <f t="shared" si="96"/>
        <v>0</v>
      </c>
      <c r="G191">
        <f t="shared" si="96"/>
        <v>0.95358924554682445</v>
      </c>
      <c r="H191">
        <f t="shared" si="96"/>
        <v>1.3548369229132291</v>
      </c>
      <c r="I191">
        <f t="shared" si="96"/>
        <v>1.422906030600626</v>
      </c>
      <c r="J191">
        <f t="shared" si="96"/>
        <v>1.4956156115186452</v>
      </c>
      <c r="K191">
        <f t="shared" si="96"/>
        <v>1.5733647198642045</v>
      </c>
      <c r="L191">
        <f t="shared" si="96"/>
        <v>1.6368276774601309</v>
      </c>
      <c r="M191">
        <f t="shared" si="96"/>
        <v>1.7030838447439347</v>
      </c>
      <c r="N191">
        <f t="shared" si="96"/>
        <v>1.7722703772638524</v>
      </c>
    </row>
    <row r="192" spans="2:15">
      <c r="B192" s="468" t="s">
        <v>391</v>
      </c>
      <c r="C192" s="468"/>
      <c r="E192" s="462">
        <f>E157</f>
        <v>59.927141901176476</v>
      </c>
      <c r="F192">
        <f t="shared" ref="F192:N192" si="97">F157</f>
        <v>60.251573450525456</v>
      </c>
      <c r="G192">
        <f t="shared" si="97"/>
        <v>60.251573450525456</v>
      </c>
      <c r="H192">
        <f t="shared" si="97"/>
        <v>60.251573450525456</v>
      </c>
      <c r="I192">
        <f t="shared" si="97"/>
        <v>62.059120654041216</v>
      </c>
      <c r="J192">
        <f t="shared" si="97"/>
        <v>62.059120654041216</v>
      </c>
      <c r="K192">
        <f t="shared" si="97"/>
        <v>62.059120654041216</v>
      </c>
      <c r="L192">
        <f t="shared" si="97"/>
        <v>62.059120654041216</v>
      </c>
      <c r="M192">
        <f t="shared" si="97"/>
        <v>63.920894273662455</v>
      </c>
      <c r="N192">
        <f t="shared" si="97"/>
        <v>63.920894273662455</v>
      </c>
    </row>
    <row r="193" spans="2:15">
      <c r="B193" s="407" t="s">
        <v>299</v>
      </c>
      <c r="C193" s="407"/>
      <c r="E193">
        <f>E119*Output_FSL!$F$40</f>
        <v>0</v>
      </c>
      <c r="F193">
        <f>F119*Output_FSL!$F$40</f>
        <v>0</v>
      </c>
      <c r="G193">
        <f>G119*Output_FSL!$F$40</f>
        <v>0</v>
      </c>
      <c r="H193">
        <f>H119*Output_FSL!$F$40</f>
        <v>0</v>
      </c>
      <c r="I193">
        <f>I119*Output_FSL!$F$40</f>
        <v>0</v>
      </c>
      <c r="J193">
        <f>J119*Output_FSL!$F$40</f>
        <v>0</v>
      </c>
      <c r="K193">
        <f>K119*Output_FSL!$F$40</f>
        <v>0</v>
      </c>
      <c r="L193">
        <f>L119*Output_FSL!$F$40</f>
        <v>0</v>
      </c>
      <c r="M193">
        <f>M119*Output_FSL!$F$40</f>
        <v>0</v>
      </c>
      <c r="N193">
        <f>N119*Output_FSL!$F$40</f>
        <v>0</v>
      </c>
    </row>
    <row r="194" spans="2:15">
      <c r="B194" s="28" t="s">
        <v>455</v>
      </c>
      <c r="C194" s="28"/>
      <c r="D194" s="28"/>
      <c r="E194" s="473">
        <f>E175</f>
        <v>181.82132493853115</v>
      </c>
      <c r="F194" s="28">
        <f>SUM(F188:F193)</f>
        <v>225.06528444180074</v>
      </c>
      <c r="G194" s="28">
        <f t="shared" ref="G194:N194" si="98">SUM(G188:G193)</f>
        <v>235.30588391912815</v>
      </c>
      <c r="H194" s="28">
        <f t="shared" si="98"/>
        <v>242.2142532097711</v>
      </c>
      <c r="I194" s="28">
        <f t="shared" si="98"/>
        <v>256.19744088497356</v>
      </c>
      <c r="J194" s="28">
        <f t="shared" si="98"/>
        <v>264.77918264699133</v>
      </c>
      <c r="K194" s="28">
        <f t="shared" si="98"/>
        <v>276.94836731670296</v>
      </c>
      <c r="L194" s="28">
        <f t="shared" si="98"/>
        <v>285.28447003280274</v>
      </c>
      <c r="M194" s="28">
        <f t="shared" si="98"/>
        <v>298.11885524997842</v>
      </c>
      <c r="N194" s="459">
        <f t="shared" si="98"/>
        <v>307.17111045843382</v>
      </c>
      <c r="O194" s="302">
        <f>N194-E194</f>
        <v>125.34978551990267</v>
      </c>
    </row>
    <row r="195" spans="2:15">
      <c r="E195" s="31">
        <f t="shared" ref="E195:M195" si="99">E194/E185</f>
        <v>0.36373209490668684</v>
      </c>
      <c r="F195" s="31">
        <f t="shared" si="99"/>
        <v>0.50993460223542186</v>
      </c>
      <c r="G195" s="31">
        <f t="shared" si="99"/>
        <v>0.5108963063714228</v>
      </c>
      <c r="H195" s="31">
        <f t="shared" si="99"/>
        <v>0.51050853866919166</v>
      </c>
      <c r="I195" s="31">
        <f t="shared" si="99"/>
        <v>0.50635535056220482</v>
      </c>
      <c r="J195" s="31">
        <f t="shared" si="99"/>
        <v>0.50467790281028846</v>
      </c>
      <c r="K195" s="31">
        <f t="shared" si="99"/>
        <v>0.50088141760806593</v>
      </c>
      <c r="L195" s="31">
        <f t="shared" si="99"/>
        <v>0.4998415590160758</v>
      </c>
      <c r="M195" s="31">
        <f t="shared" si="99"/>
        <v>0.49795859347215327</v>
      </c>
      <c r="N195" s="31">
        <f>N194/N185</f>
        <v>0.49686658089497604</v>
      </c>
    </row>
    <row r="196" spans="2:15">
      <c r="E196" s="31"/>
      <c r="F196" s="31">
        <f>F194/F175-1</f>
        <v>0.20832229145000603</v>
      </c>
      <c r="G196" s="31">
        <f t="shared" ref="G196:N196" si="100">G194/G175-1</f>
        <v>0.2330191538334907</v>
      </c>
      <c r="H196" s="31">
        <f t="shared" si="100"/>
        <v>0.23863747802157897</v>
      </c>
      <c r="I196" s="31">
        <f t="shared" si="100"/>
        <v>0.27841709541090154</v>
      </c>
      <c r="J196" s="31">
        <f t="shared" si="100"/>
        <v>0.28908544021583671</v>
      </c>
      <c r="K196" s="31">
        <f t="shared" si="100"/>
        <v>0.31535996557773283</v>
      </c>
      <c r="L196" s="31">
        <f t="shared" si="100"/>
        <v>0.32166313315999795</v>
      </c>
      <c r="M196" s="31">
        <f t="shared" si="100"/>
        <v>0.34703486629279112</v>
      </c>
      <c r="N196" s="31">
        <f t="shared" si="100"/>
        <v>0.35352858337146897</v>
      </c>
    </row>
    <row r="197" spans="2:15">
      <c r="B197" s="407" t="s">
        <v>441</v>
      </c>
      <c r="C197" s="407"/>
      <c r="E197">
        <f>SUM(E188:E190)-SUM(E171:E173)</f>
        <v>0</v>
      </c>
      <c r="F197">
        <f>SUM(F188:F190)-SUM(F171:F173)</f>
        <v>12.329001946376422</v>
      </c>
      <c r="G197">
        <f t="shared" ref="G197:N197" si="101">SUM(G188:G190)-SUM(G171:G173)</f>
        <v>17.041470906810076</v>
      </c>
      <c r="H197">
        <f t="shared" si="101"/>
        <v>18.836815010599196</v>
      </c>
      <c r="I197">
        <f t="shared" si="101"/>
        <v>26.091255539826562</v>
      </c>
      <c r="J197">
        <f t="shared" si="101"/>
        <v>29.601562961111085</v>
      </c>
      <c r="K197">
        <f t="shared" si="101"/>
        <v>36.544312019867562</v>
      </c>
      <c r="L197">
        <f t="shared" si="101"/>
        <v>39.513804680683535</v>
      </c>
      <c r="M197">
        <f t="shared" si="101"/>
        <v>44.957918600335574</v>
      </c>
      <c r="N197">
        <f t="shared" si="101"/>
        <v>48.314878520333991</v>
      </c>
      <c r="O197">
        <f>N197-F197</f>
        <v>35.985876573957569</v>
      </c>
    </row>
    <row r="198" spans="2:15">
      <c r="O198" s="462">
        <f>O197-O187</f>
        <v>40.621691757379601</v>
      </c>
    </row>
    <row r="199" spans="2:15">
      <c r="B199" s="429" t="s">
        <v>458</v>
      </c>
      <c r="C199" s="429"/>
      <c r="D199" s="54"/>
      <c r="E199" s="434" t="s">
        <v>443</v>
      </c>
      <c r="F199" s="429" t="s">
        <v>444</v>
      </c>
    </row>
    <row r="200" spans="2:15">
      <c r="B200" s="429" t="s">
        <v>445</v>
      </c>
      <c r="C200" s="429"/>
      <c r="D200" s="54"/>
      <c r="E200" s="474">
        <f>E175</f>
        <v>181.82132493853115</v>
      </c>
      <c r="F200" s="474">
        <f>N194</f>
        <v>307.17111045843382</v>
      </c>
      <c r="G200">
        <f>F200-E200</f>
        <v>125.34978551990267</v>
      </c>
    </row>
    <row r="201" spans="2:15">
      <c r="B201" s="429" t="s">
        <v>408</v>
      </c>
      <c r="C201" s="429"/>
      <c r="D201" s="54"/>
      <c r="E201" s="474">
        <f>O175</f>
        <v>45.11966044746589</v>
      </c>
      <c r="F201" s="54"/>
    </row>
    <row r="202" spans="2:15">
      <c r="B202" s="429" t="s">
        <v>446</v>
      </c>
      <c r="C202" s="429"/>
      <c r="D202" s="54"/>
      <c r="E202" s="474">
        <f>O194-E201-O197</f>
        <v>44.244248498479209</v>
      </c>
      <c r="F202" s="54"/>
    </row>
    <row r="203" spans="2:15">
      <c r="B203" s="429" t="s">
        <v>441</v>
      </c>
      <c r="C203" s="429"/>
      <c r="D203" s="54"/>
      <c r="E203" s="474">
        <f>O197</f>
        <v>35.985876573957569</v>
      </c>
      <c r="F203" s="54">
        <f>SUM(E200:E203)</f>
        <v>307.17111045843382</v>
      </c>
      <c r="G203">
        <f>F203-F200</f>
        <v>0</v>
      </c>
    </row>
  </sheetData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2AD99-28DC-4AFE-903C-32FCA95387C4}">
  <sheetPr codeName="Sheet24">
    <tabColor theme="9" tint="0.39997558519241921"/>
  </sheetPr>
  <dimension ref="A1:V1341"/>
  <sheetViews>
    <sheetView showGridLines="0" zoomScale="74" workbookViewId="0">
      <pane xSplit="9" ySplit="14" topLeftCell="K598" activePane="bottomRight" state="frozen"/>
      <selection pane="topRight" activeCell="G206" sqref="G206"/>
      <selection pane="bottomLeft" activeCell="G206" sqref="G206"/>
      <selection pane="bottomRight" activeCell="J609" sqref="J609"/>
    </sheetView>
  </sheetViews>
  <sheetFormatPr defaultColWidth="0" defaultRowHeight="15"/>
  <cols>
    <col min="1" max="1" width="3" customWidth="1"/>
    <col min="2" max="4" width="9.140625" customWidth="1"/>
    <col min="5" max="5" width="15.28515625" customWidth="1"/>
    <col min="6" max="6" width="15.42578125" bestFit="1" customWidth="1"/>
    <col min="7" max="7" width="15.28515625" style="17" customWidth="1"/>
    <col min="8" max="8" width="35.42578125" customWidth="1"/>
    <col min="9" max="9" width="13.28515625" bestFit="1" customWidth="1"/>
    <col min="10" max="22" width="14.42578125" customWidth="1"/>
    <col min="23" max="23" width="10.5703125" customWidth="1"/>
  </cols>
  <sheetData>
    <row r="1" spans="2:22" s="3" customFormat="1" ht="23.25">
      <c r="B1" s="4" t="s">
        <v>459</v>
      </c>
    </row>
    <row r="2" spans="2:22" ht="15.75">
      <c r="B2" s="5" t="s">
        <v>460</v>
      </c>
      <c r="G2"/>
    </row>
    <row r="3" spans="2:22">
      <c r="G3"/>
    </row>
    <row r="4" spans="2:22">
      <c r="B4" t="s">
        <v>29</v>
      </c>
      <c r="D4" s="6">
        <v>1</v>
      </c>
      <c r="G4"/>
    </row>
    <row r="5" spans="2:22">
      <c r="G5"/>
    </row>
    <row r="6" spans="2:22">
      <c r="B6" t="s">
        <v>30</v>
      </c>
      <c r="G6"/>
      <c r="J6" s="7">
        <f>I7+1</f>
        <v>45292</v>
      </c>
      <c r="K6" s="7">
        <f t="shared" ref="K6:V6" si="0">J7+1</f>
        <v>45658</v>
      </c>
      <c r="L6" s="7">
        <f t="shared" si="0"/>
        <v>46023</v>
      </c>
      <c r="M6" s="7">
        <f t="shared" si="0"/>
        <v>46388</v>
      </c>
      <c r="N6" s="7">
        <f t="shared" si="0"/>
        <v>46753</v>
      </c>
      <c r="O6" s="7">
        <f t="shared" si="0"/>
        <v>47119</v>
      </c>
      <c r="P6" s="7">
        <f t="shared" si="0"/>
        <v>47484</v>
      </c>
      <c r="Q6" s="7">
        <f t="shared" si="0"/>
        <v>47849</v>
      </c>
      <c r="R6" s="7">
        <f t="shared" si="0"/>
        <v>48214</v>
      </c>
      <c r="S6" s="7">
        <f t="shared" si="0"/>
        <v>48580</v>
      </c>
      <c r="T6" s="7">
        <f t="shared" si="0"/>
        <v>48945</v>
      </c>
      <c r="U6" s="7">
        <f t="shared" si="0"/>
        <v>49310</v>
      </c>
      <c r="V6" s="7">
        <f t="shared" si="0"/>
        <v>49675</v>
      </c>
    </row>
    <row r="7" spans="2:22">
      <c r="B7" t="s">
        <v>31</v>
      </c>
      <c r="G7"/>
      <c r="I7" s="8">
        <v>45291</v>
      </c>
      <c r="J7" s="7">
        <f>EOMONTH(J6,12-1)</f>
        <v>45657</v>
      </c>
      <c r="K7" s="7">
        <f t="shared" ref="K7:V7" si="1">EOMONTH(K6,12-1)</f>
        <v>46022</v>
      </c>
      <c r="L7" s="7">
        <f t="shared" si="1"/>
        <v>46387</v>
      </c>
      <c r="M7" s="7">
        <f t="shared" si="1"/>
        <v>46752</v>
      </c>
      <c r="N7" s="7">
        <f t="shared" si="1"/>
        <v>47118</v>
      </c>
      <c r="O7" s="7">
        <f t="shared" si="1"/>
        <v>47483</v>
      </c>
      <c r="P7" s="7">
        <f t="shared" si="1"/>
        <v>47848</v>
      </c>
      <c r="Q7" s="7">
        <f t="shared" si="1"/>
        <v>48213</v>
      </c>
      <c r="R7" s="7">
        <f t="shared" si="1"/>
        <v>48579</v>
      </c>
      <c r="S7" s="7">
        <f t="shared" si="1"/>
        <v>48944</v>
      </c>
      <c r="T7" s="7">
        <f t="shared" si="1"/>
        <v>49309</v>
      </c>
      <c r="U7" s="7">
        <f t="shared" si="1"/>
        <v>49674</v>
      </c>
      <c r="V7" s="7">
        <f t="shared" si="1"/>
        <v>50040</v>
      </c>
    </row>
    <row r="8" spans="2:22">
      <c r="B8" t="s">
        <v>32</v>
      </c>
      <c r="G8"/>
      <c r="I8" s="9">
        <f>YEAR(I7)</f>
        <v>2023</v>
      </c>
      <c r="J8" s="9">
        <f>YEAR(J7)</f>
        <v>2024</v>
      </c>
      <c r="K8" s="9">
        <f t="shared" ref="K8:V8" si="2">YEAR(K7)</f>
        <v>2025</v>
      </c>
      <c r="L8" s="9">
        <f t="shared" si="2"/>
        <v>2026</v>
      </c>
      <c r="M8" s="9">
        <f t="shared" si="2"/>
        <v>2027</v>
      </c>
      <c r="N8" s="9">
        <f t="shared" si="2"/>
        <v>2028</v>
      </c>
      <c r="O8" s="9">
        <f t="shared" si="2"/>
        <v>2029</v>
      </c>
      <c r="P8" s="9">
        <f t="shared" si="2"/>
        <v>2030</v>
      </c>
      <c r="Q8" s="9">
        <f t="shared" si="2"/>
        <v>2031</v>
      </c>
      <c r="R8" s="9">
        <f t="shared" si="2"/>
        <v>2032</v>
      </c>
      <c r="S8" s="9">
        <f t="shared" si="2"/>
        <v>2033</v>
      </c>
      <c r="T8" s="9">
        <f t="shared" si="2"/>
        <v>2034</v>
      </c>
      <c r="U8" s="9">
        <f t="shared" si="2"/>
        <v>2035</v>
      </c>
      <c r="V8" s="9">
        <f t="shared" si="2"/>
        <v>2036</v>
      </c>
    </row>
    <row r="9" spans="2:22">
      <c r="B9" t="s">
        <v>33</v>
      </c>
      <c r="G9"/>
      <c r="J9" s="10">
        <f>J7-J6+1</f>
        <v>366</v>
      </c>
      <c r="K9" s="10">
        <f t="shared" ref="K9:V9" si="3">K7-K6+1</f>
        <v>365</v>
      </c>
      <c r="L9" s="10">
        <f t="shared" si="3"/>
        <v>365</v>
      </c>
      <c r="M9" s="10">
        <f t="shared" si="3"/>
        <v>365</v>
      </c>
      <c r="N9" s="10">
        <f t="shared" si="3"/>
        <v>366</v>
      </c>
      <c r="O9" s="10">
        <f t="shared" si="3"/>
        <v>365</v>
      </c>
      <c r="P9" s="10">
        <f t="shared" si="3"/>
        <v>365</v>
      </c>
      <c r="Q9" s="10">
        <f t="shared" si="3"/>
        <v>365</v>
      </c>
      <c r="R9" s="10">
        <f t="shared" si="3"/>
        <v>366</v>
      </c>
      <c r="S9" s="10">
        <f t="shared" si="3"/>
        <v>365</v>
      </c>
      <c r="T9" s="10">
        <f t="shared" si="3"/>
        <v>365</v>
      </c>
      <c r="U9" s="10">
        <f t="shared" si="3"/>
        <v>365</v>
      </c>
      <c r="V9" s="10">
        <f t="shared" si="3"/>
        <v>366</v>
      </c>
    </row>
    <row r="10" spans="2:22">
      <c r="E10" s="11" t="s">
        <v>34</v>
      </c>
      <c r="F10" s="11" t="s">
        <v>35</v>
      </c>
      <c r="G10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</row>
    <row r="11" spans="2:22">
      <c r="B11" s="407" t="s">
        <v>36</v>
      </c>
      <c r="E11" s="12">
        <f>I7</f>
        <v>45291</v>
      </c>
      <c r="F11" s="12">
        <f>E11</f>
        <v>45291</v>
      </c>
      <c r="G11"/>
      <c r="J11" s="13">
        <f t="shared" ref="J11:V11" si="4">IF(J7=$F$11,1,0)</f>
        <v>0</v>
      </c>
      <c r="K11" s="13">
        <f t="shared" si="4"/>
        <v>0</v>
      </c>
      <c r="L11" s="13">
        <f t="shared" si="4"/>
        <v>0</v>
      </c>
      <c r="M11" s="13">
        <f t="shared" si="4"/>
        <v>0</v>
      </c>
      <c r="N11" s="13">
        <f t="shared" si="4"/>
        <v>0</v>
      </c>
      <c r="O11" s="13">
        <f t="shared" si="4"/>
        <v>0</v>
      </c>
      <c r="P11" s="13">
        <f t="shared" si="4"/>
        <v>0</v>
      </c>
      <c r="Q11" s="13">
        <f t="shared" si="4"/>
        <v>0</v>
      </c>
      <c r="R11" s="13">
        <f t="shared" si="4"/>
        <v>0</v>
      </c>
      <c r="S11" s="13">
        <f t="shared" si="4"/>
        <v>0</v>
      </c>
      <c r="T11" s="13">
        <f t="shared" si="4"/>
        <v>0</v>
      </c>
      <c r="U11" s="13">
        <f t="shared" si="4"/>
        <v>0</v>
      </c>
      <c r="V11" s="13">
        <f t="shared" si="4"/>
        <v>0</v>
      </c>
    </row>
    <row r="12" spans="2:22">
      <c r="B12" t="s">
        <v>37</v>
      </c>
      <c r="E12" s="12">
        <f>J6</f>
        <v>45292</v>
      </c>
      <c r="F12" s="12">
        <f>EOMONTH(E12,12*13-1)</f>
        <v>50040</v>
      </c>
      <c r="G12"/>
      <c r="J12" s="71">
        <f>IF(J11=1,0,IF(J7&gt;$F$12,0,1))</f>
        <v>1</v>
      </c>
      <c r="K12" s="71">
        <f>IF(K11=1,0,IF(K7&gt;$F$12,0,1))</f>
        <v>1</v>
      </c>
      <c r="L12" s="71">
        <f t="shared" ref="L12:V12" si="5">IF(L11=1,0,IF(L7&gt;$F$12,0,1))</f>
        <v>1</v>
      </c>
      <c r="M12" s="71">
        <f t="shared" si="5"/>
        <v>1</v>
      </c>
      <c r="N12" s="71">
        <f t="shared" si="5"/>
        <v>1</v>
      </c>
      <c r="O12" s="71">
        <f t="shared" si="5"/>
        <v>1</v>
      </c>
      <c r="P12" s="71">
        <f t="shared" si="5"/>
        <v>1</v>
      </c>
      <c r="Q12" s="13">
        <f t="shared" si="5"/>
        <v>1</v>
      </c>
      <c r="R12" s="71">
        <f t="shared" si="5"/>
        <v>1</v>
      </c>
      <c r="S12" s="13">
        <f t="shared" si="5"/>
        <v>1</v>
      </c>
      <c r="T12" s="71">
        <f t="shared" si="5"/>
        <v>1</v>
      </c>
      <c r="U12" s="13">
        <f t="shared" si="5"/>
        <v>1</v>
      </c>
      <c r="V12" s="13">
        <f t="shared" si="5"/>
        <v>1</v>
      </c>
    </row>
    <row r="13" spans="2:22">
      <c r="F13" s="7"/>
      <c r="G13"/>
    </row>
    <row r="14" spans="2:22">
      <c r="B14" t="s">
        <v>38</v>
      </c>
      <c r="G14"/>
      <c r="J14">
        <f>SUM($J$12:J12)</f>
        <v>1</v>
      </c>
      <c r="K14">
        <f>SUM($J$12:K12)</f>
        <v>2</v>
      </c>
      <c r="L14">
        <f>SUM($J$12:L12)</f>
        <v>3</v>
      </c>
      <c r="M14">
        <f>SUM($J$12:M12)</f>
        <v>4</v>
      </c>
      <c r="N14">
        <f>SUM($J$12:N12)</f>
        <v>5</v>
      </c>
      <c r="O14">
        <f>SUM($J$12:O12)</f>
        <v>6</v>
      </c>
      <c r="P14">
        <f>SUM($J$12:P12)</f>
        <v>7</v>
      </c>
      <c r="Q14">
        <f>SUM($J$12:Q12)</f>
        <v>8</v>
      </c>
      <c r="R14">
        <f>SUM($J$12:R12)</f>
        <v>9</v>
      </c>
      <c r="S14">
        <f>SUM($J$12:S12)</f>
        <v>10</v>
      </c>
      <c r="T14">
        <f>SUM($J$12:T12)</f>
        <v>11</v>
      </c>
      <c r="U14">
        <f>SUM($J$12:U12)</f>
        <v>12</v>
      </c>
      <c r="V14">
        <f>SUM($J$12:V12)</f>
        <v>13</v>
      </c>
    </row>
    <row r="15" spans="2:22">
      <c r="G15"/>
    </row>
    <row r="16" spans="2:22">
      <c r="B16" t="s">
        <v>461</v>
      </c>
      <c r="F16" s="19">
        <v>16265</v>
      </c>
      <c r="G16"/>
    </row>
    <row r="17" spans="1:22" ht="24" thickBot="1">
      <c r="B17" s="14" t="s">
        <v>186</v>
      </c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</row>
    <row r="18" spans="1:22">
      <c r="G18"/>
    </row>
    <row r="19" spans="1:22" ht="15.75">
      <c r="B19" s="15" t="s">
        <v>462</v>
      </c>
      <c r="G19"/>
    </row>
    <row r="20" spans="1:22" ht="15.75">
      <c r="B20" s="41" t="s">
        <v>463</v>
      </c>
      <c r="G20"/>
      <c r="I20">
        <v>1</v>
      </c>
      <c r="J20" s="77">
        <f>I20*(1+Input!K36)*J12</f>
        <v>1</v>
      </c>
      <c r="K20" s="77">
        <f>J20*(1+Input!L36)*K12</f>
        <v>1.03</v>
      </c>
      <c r="L20" s="77">
        <f>K20*(1+Input!M36)*L12</f>
        <v>1.0609</v>
      </c>
      <c r="M20" s="77">
        <f>L20*(1+Input!N36)*M12</f>
        <v>1.092727</v>
      </c>
      <c r="N20" s="77">
        <f>M20*(1+Input!O36)*N12</f>
        <v>1.1255088100000001</v>
      </c>
      <c r="O20" s="77">
        <f>N20*(1+Input!P36)*O12</f>
        <v>1.1592740743000001</v>
      </c>
      <c r="P20" s="70">
        <f>O20*(1+Input!Q36)*P12</f>
        <v>1.1940522965290001</v>
      </c>
      <c r="Q20" s="70">
        <f>P20*(1+Input!R36)*Q12</f>
        <v>1.2298738654248702</v>
      </c>
      <c r="R20" s="70">
        <f>Q20*(1+Input!S36)*R12</f>
        <v>1.2667700813876164</v>
      </c>
      <c r="S20" s="77">
        <f>R20*(1+Input!T36)*S12</f>
        <v>1.3047731838292449</v>
      </c>
      <c r="T20" s="77">
        <f>S20*(1+Input!U36)*T12</f>
        <v>1.3439163793441222</v>
      </c>
      <c r="U20" s="70">
        <f>T20*(1+Input!V36)*U12</f>
        <v>1.3842338707244459</v>
      </c>
      <c r="V20" s="70">
        <f>U20*(1+Input!W36)*V12</f>
        <v>1.4257608868461793</v>
      </c>
    </row>
    <row r="21" spans="1:22">
      <c r="B21" s="407" t="s">
        <v>464</v>
      </c>
      <c r="F21" s="6">
        <f>Input!J41</f>
        <v>2063651.067</v>
      </c>
      <c r="G21" s="17" t="s">
        <v>315</v>
      </c>
      <c r="J21">
        <f>J20*$F21*J$12</f>
        <v>2063651.067</v>
      </c>
      <c r="K21">
        <f>K20*$F21*K$12</f>
        <v>2125560.59901</v>
      </c>
      <c r="L21">
        <f>L20*$F21*L$12</f>
        <v>2189327.4169803001</v>
      </c>
      <c r="M21">
        <f>M20*$F21*M$12</f>
        <v>2255007.239489709</v>
      </c>
      <c r="N21">
        <f t="shared" ref="N21:V21" si="6">N20*$F21*N$12</f>
        <v>2322657.4566744007</v>
      </c>
      <c r="O21">
        <f t="shared" si="6"/>
        <v>2392337.1803746326</v>
      </c>
      <c r="P21">
        <f t="shared" si="6"/>
        <v>2464107.2957858718</v>
      </c>
      <c r="Q21">
        <f t="shared" si="6"/>
        <v>2538030.5146594481</v>
      </c>
      <c r="R21">
        <f t="shared" si="6"/>
        <v>2614171.4300992312</v>
      </c>
      <c r="S21">
        <f t="shared" si="6"/>
        <v>2692596.5730022085</v>
      </c>
      <c r="T21">
        <f t="shared" si="6"/>
        <v>2773374.4701922745</v>
      </c>
      <c r="U21">
        <f t="shared" si="6"/>
        <v>2856575.7042980432</v>
      </c>
      <c r="V21">
        <f t="shared" si="6"/>
        <v>2942272.975426984</v>
      </c>
    </row>
    <row r="22" spans="1:22">
      <c r="B22" s="407" t="s">
        <v>465</v>
      </c>
      <c r="J22">
        <f>Input!K43</f>
        <v>42880</v>
      </c>
      <c r="K22">
        <f>Input!L43</f>
        <v>42880</v>
      </c>
      <c r="L22">
        <f>Input!M43</f>
        <v>42880</v>
      </c>
      <c r="M22">
        <f>Input!N43</f>
        <v>42880</v>
      </c>
      <c r="N22">
        <f>Input!O43</f>
        <v>42880</v>
      </c>
      <c r="O22">
        <f>Input!P43</f>
        <v>44166.400000000001</v>
      </c>
      <c r="P22">
        <f>Input!Q43</f>
        <v>44166.400000000001</v>
      </c>
      <c r="Q22">
        <f>Input!R43</f>
        <v>44166.400000000001</v>
      </c>
      <c r="R22">
        <f>Input!S43</f>
        <v>45491.392</v>
      </c>
      <c r="S22">
        <f>Input!T43</f>
        <v>45491.392</v>
      </c>
      <c r="T22">
        <f>Input!U43</f>
        <v>45491.392</v>
      </c>
      <c r="U22">
        <f>Input!V43</f>
        <v>45491.392</v>
      </c>
      <c r="V22">
        <f>Input!W43</f>
        <v>45491.392</v>
      </c>
    </row>
    <row r="23" spans="1:22">
      <c r="B23" s="28" t="s">
        <v>466</v>
      </c>
      <c r="C23" s="28"/>
      <c r="D23" s="28"/>
      <c r="E23" s="28"/>
      <c r="F23" s="28"/>
      <c r="G23" s="28"/>
      <c r="H23" s="28"/>
      <c r="I23" s="48">
        <f>SUM(J23:V23)</f>
        <v>1427.7639853911987</v>
      </c>
      <c r="J23" s="28">
        <f>J21*J22/Billion</f>
        <v>88.489357752960004</v>
      </c>
      <c r="K23" s="28">
        <f t="shared" ref="K23:V23" si="7">K21*K22/Billion</f>
        <v>91.144038485548791</v>
      </c>
      <c r="L23" s="28">
        <f t="shared" si="7"/>
        <v>93.878359640115264</v>
      </c>
      <c r="M23" s="28">
        <f t="shared" si="7"/>
        <v>96.694710429318732</v>
      </c>
      <c r="N23" s="28">
        <f t="shared" si="7"/>
        <v>99.59555174219831</v>
      </c>
      <c r="O23" s="28">
        <f t="shared" si="7"/>
        <v>105.66092084329817</v>
      </c>
      <c r="P23" s="28">
        <f t="shared" si="7"/>
        <v>108.83074846859714</v>
      </c>
      <c r="Q23" s="28">
        <f t="shared" si="7"/>
        <v>112.09567092265505</v>
      </c>
      <c r="R23" s="28">
        <f t="shared" si="7"/>
        <v>118.92229728184472</v>
      </c>
      <c r="S23" s="28">
        <f t="shared" si="7"/>
        <v>122.48996620030007</v>
      </c>
      <c r="T23" s="28">
        <f t="shared" si="7"/>
        <v>126.16466518630908</v>
      </c>
      <c r="U23" s="28">
        <f t="shared" si="7"/>
        <v>129.94960514189836</v>
      </c>
      <c r="V23" s="28">
        <f t="shared" si="7"/>
        <v>133.8480932961553</v>
      </c>
    </row>
    <row r="24" spans="1:22">
      <c r="G24"/>
      <c r="I24" s="21"/>
      <c r="K24" s="21"/>
      <c r="L24" s="21"/>
      <c r="M24" s="21"/>
      <c r="N24" s="21"/>
    </row>
    <row r="25" spans="1:22" ht="15.75">
      <c r="B25" s="41" t="s">
        <v>467</v>
      </c>
      <c r="G25"/>
      <c r="I25">
        <v>1</v>
      </c>
      <c r="J25" s="77">
        <f>I25*(1+Input!K50)*J$12</f>
        <v>1</v>
      </c>
      <c r="K25" s="70">
        <f>J25*(1+Input!L50)*K$12</f>
        <v>1.03</v>
      </c>
      <c r="L25" s="77">
        <f>K25*(1+Input!M50)*L$12</f>
        <v>1.0609</v>
      </c>
      <c r="M25" s="77">
        <f>L25*(1+Input!N50)*M$12</f>
        <v>1.092727</v>
      </c>
      <c r="N25" s="77">
        <f>M25*(1+Input!O50)*N$12</f>
        <v>1.1255088100000001</v>
      </c>
      <c r="O25" s="77">
        <f>N25*(1+Input!P50)*O$12</f>
        <v>1.1592740743000001</v>
      </c>
      <c r="P25" s="70">
        <f>O25*(1+Input!Q50)*P$12</f>
        <v>1.1940522965290001</v>
      </c>
      <c r="Q25" s="70">
        <f>P25*(1+Input!R50)*Q$12</f>
        <v>1.2298738654248702</v>
      </c>
      <c r="R25" s="70">
        <f>Q25*(1+Input!S50)*R$12</f>
        <v>1.2667700813876164</v>
      </c>
      <c r="S25" s="70">
        <f>R25*(1+Input!T50)*S$12</f>
        <v>1.3047731838292449</v>
      </c>
      <c r="T25" s="70">
        <f>S25*(1+Input!U50)*T$12</f>
        <v>1.3439163793441222</v>
      </c>
      <c r="U25" s="70">
        <f>T25*(1+Input!V50)*U$12</f>
        <v>1.3842338707244459</v>
      </c>
      <c r="V25" s="70">
        <f>U25*(1+Input!W50)*V$12</f>
        <v>1.4257608868461793</v>
      </c>
    </row>
    <row r="26" spans="1:22">
      <c r="B26" s="407" t="s">
        <v>468</v>
      </c>
      <c r="F26" s="6">
        <f>Input!J55</f>
        <v>1602574.2089999998</v>
      </c>
      <c r="G26" s="17" t="s">
        <v>315</v>
      </c>
      <c r="J26">
        <f t="shared" ref="J26:V26" si="8">J25*$F26*J$12</f>
        <v>1602574.2089999998</v>
      </c>
      <c r="K26">
        <f t="shared" si="8"/>
        <v>1650651.4352699998</v>
      </c>
      <c r="L26">
        <f t="shared" si="8"/>
        <v>1700170.9783280997</v>
      </c>
      <c r="M26">
        <f t="shared" si="8"/>
        <v>1751176.1076779428</v>
      </c>
      <c r="N26">
        <f t="shared" si="8"/>
        <v>1803711.3909082813</v>
      </c>
      <c r="O26">
        <f t="shared" si="8"/>
        <v>1857822.7326355297</v>
      </c>
      <c r="P26">
        <f t="shared" si="8"/>
        <v>1913557.4146145957</v>
      </c>
      <c r="Q26">
        <f t="shared" si="8"/>
        <v>1970964.1370530336</v>
      </c>
      <c r="R26">
        <f t="shared" si="8"/>
        <v>2030093.0611646248</v>
      </c>
      <c r="S26">
        <f t="shared" si="8"/>
        <v>2090995.8529995636</v>
      </c>
      <c r="T26">
        <f t="shared" si="8"/>
        <v>2153725.7285895501</v>
      </c>
      <c r="U26">
        <f t="shared" si="8"/>
        <v>2218337.5004472369</v>
      </c>
      <c r="V26">
        <f t="shared" si="8"/>
        <v>2284887.625460654</v>
      </c>
    </row>
    <row r="27" spans="1:22">
      <c r="B27" s="407" t="s">
        <v>465</v>
      </c>
      <c r="J27">
        <f>Input!K57</f>
        <v>42400</v>
      </c>
      <c r="K27">
        <f>Input!L57</f>
        <v>42400</v>
      </c>
      <c r="L27">
        <f>Input!M57</f>
        <v>42400</v>
      </c>
      <c r="M27">
        <f>Input!N57</f>
        <v>42400</v>
      </c>
      <c r="N27">
        <f>Input!O57</f>
        <v>42400</v>
      </c>
      <c r="O27">
        <f>Input!P57</f>
        <v>43672</v>
      </c>
      <c r="P27">
        <f>Input!Q57</f>
        <v>43672</v>
      </c>
      <c r="Q27">
        <f>Input!R57</f>
        <v>43672</v>
      </c>
      <c r="R27">
        <f>Input!S57</f>
        <v>44982.16</v>
      </c>
      <c r="S27">
        <f>Input!T57</f>
        <v>44982.16</v>
      </c>
      <c r="T27">
        <f>Input!U57</f>
        <v>44982.16</v>
      </c>
      <c r="U27">
        <f>Input!V57</f>
        <v>44982.16</v>
      </c>
      <c r="V27">
        <f>Input!W57</f>
        <v>44982.16</v>
      </c>
    </row>
    <row r="28" spans="1:22">
      <c r="B28" s="28" t="s">
        <v>469</v>
      </c>
      <c r="C28" s="28"/>
      <c r="D28" s="28"/>
      <c r="E28" s="28"/>
      <c r="F28" s="28"/>
      <c r="G28" s="28"/>
      <c r="H28" s="28"/>
      <c r="I28" s="48">
        <f>SUM(J28:V28)</f>
        <v>1096.3504156826034</v>
      </c>
      <c r="J28" s="28">
        <f t="shared" ref="J28:V28" si="9">J26*J27/Billion</f>
        <v>67.949146461599994</v>
      </c>
      <c r="K28" s="28">
        <f t="shared" si="9"/>
        <v>69.987620855448</v>
      </c>
      <c r="L28" s="28">
        <f t="shared" si="9"/>
        <v>72.087249481111428</v>
      </c>
      <c r="M28" s="28">
        <f t="shared" si="9"/>
        <v>74.249866965544769</v>
      </c>
      <c r="N28" s="28">
        <f t="shared" si="9"/>
        <v>76.477362974511124</v>
      </c>
      <c r="O28" s="28">
        <f t="shared" si="9"/>
        <v>81.134834379658855</v>
      </c>
      <c r="P28" s="28">
        <f t="shared" si="9"/>
        <v>83.568879411048627</v>
      </c>
      <c r="Q28" s="28">
        <f t="shared" si="9"/>
        <v>86.075945793380086</v>
      </c>
      <c r="R28" s="28">
        <f t="shared" si="9"/>
        <v>91.317970892196939</v>
      </c>
      <c r="S28" s="28">
        <f t="shared" si="9"/>
        <v>94.057510018962859</v>
      </c>
      <c r="T28" s="28">
        <f t="shared" si="9"/>
        <v>96.879235319531716</v>
      </c>
      <c r="U28" s="28">
        <f t="shared" si="9"/>
        <v>99.785612379117694</v>
      </c>
      <c r="V28" s="28">
        <f t="shared" si="9"/>
        <v>102.77918075049122</v>
      </c>
    </row>
    <row r="29" spans="1:22">
      <c r="G29"/>
      <c r="I29" s="21"/>
      <c r="K29" s="21"/>
      <c r="L29" s="21"/>
      <c r="M29" s="21"/>
      <c r="N29" s="21"/>
    </row>
    <row r="30" spans="1:22" ht="15.75">
      <c r="A30" s="277"/>
      <c r="B30" s="41" t="s">
        <v>470</v>
      </c>
      <c r="G30"/>
      <c r="I30">
        <v>1</v>
      </c>
      <c r="J30" s="77">
        <f>J922</f>
        <v>0</v>
      </c>
      <c r="K30" s="77">
        <f t="shared" ref="K30:V30" si="10">K922</f>
        <v>0</v>
      </c>
      <c r="L30" s="77">
        <f t="shared" si="10"/>
        <v>0</v>
      </c>
      <c r="M30" s="77">
        <f t="shared" si="10"/>
        <v>1</v>
      </c>
      <c r="N30" s="77">
        <f t="shared" si="10"/>
        <v>1</v>
      </c>
      <c r="O30" s="77">
        <f t="shared" si="10"/>
        <v>1</v>
      </c>
      <c r="P30" s="77">
        <f t="shared" si="10"/>
        <v>1</v>
      </c>
      <c r="Q30" s="77">
        <f t="shared" si="10"/>
        <v>1</v>
      </c>
      <c r="R30" s="77">
        <f t="shared" si="10"/>
        <v>1</v>
      </c>
      <c r="S30" s="77">
        <f t="shared" si="10"/>
        <v>1</v>
      </c>
      <c r="T30" s="77">
        <f t="shared" si="10"/>
        <v>1</v>
      </c>
      <c r="U30" s="77">
        <f t="shared" si="10"/>
        <v>1</v>
      </c>
      <c r="V30" s="77">
        <f t="shared" si="10"/>
        <v>1</v>
      </c>
    </row>
    <row r="31" spans="1:22">
      <c r="A31" s="277"/>
      <c r="B31" s="407" t="s">
        <v>468</v>
      </c>
      <c r="F31" s="6">
        <v>1286920.22</v>
      </c>
      <c r="G31" s="17" t="s">
        <v>315</v>
      </c>
      <c r="J31" s="19">
        <f>J945</f>
        <v>0</v>
      </c>
      <c r="K31" s="19">
        <f t="shared" ref="K31:V31" si="11">K945</f>
        <v>0</v>
      </c>
      <c r="L31" s="19">
        <f t="shared" si="11"/>
        <v>0</v>
      </c>
      <c r="M31" s="19">
        <f t="shared" si="11"/>
        <v>0</v>
      </c>
      <c r="N31" s="19">
        <f t="shared" si="11"/>
        <v>0</v>
      </c>
      <c r="O31" s="19">
        <f t="shared" si="11"/>
        <v>1000000</v>
      </c>
      <c r="P31" s="19">
        <f t="shared" si="11"/>
        <v>1500000</v>
      </c>
      <c r="Q31" s="19">
        <f t="shared" si="11"/>
        <v>2700000</v>
      </c>
      <c r="R31" s="19">
        <f t="shared" si="11"/>
        <v>2000000</v>
      </c>
      <c r="S31" s="19">
        <f t="shared" si="11"/>
        <v>3000000</v>
      </c>
      <c r="T31" s="19">
        <f t="shared" si="11"/>
        <v>3000000</v>
      </c>
      <c r="U31" s="19"/>
      <c r="V31" s="19">
        <f t="shared" si="11"/>
        <v>3000000</v>
      </c>
    </row>
    <row r="32" spans="1:22">
      <c r="A32" s="277"/>
      <c r="B32" s="407" t="s">
        <v>440</v>
      </c>
      <c r="F32" s="6"/>
      <c r="J32" s="19"/>
      <c r="K32" s="19"/>
      <c r="L32" s="19"/>
      <c r="M32" s="19"/>
      <c r="N32" s="19">
        <v>200000</v>
      </c>
      <c r="O32" s="19">
        <f t="shared" ref="O32:T32" si="12">N32*O20</f>
        <v>231854.81486000001</v>
      </c>
      <c r="P32" s="19">
        <f t="shared" si="12"/>
        <v>276846.77414488915</v>
      </c>
      <c r="Q32" s="19">
        <f t="shared" si="12"/>
        <v>340486.61224798084</v>
      </c>
      <c r="R32" s="19">
        <f t="shared" si="12"/>
        <v>431318.25350876845</v>
      </c>
      <c r="S32" s="19">
        <f t="shared" si="12"/>
        <v>562772.49087430513</v>
      </c>
      <c r="T32" s="19">
        <f t="shared" si="12"/>
        <v>756319.16833026917</v>
      </c>
      <c r="U32" s="19"/>
      <c r="V32" s="19"/>
    </row>
    <row r="33" spans="1:22">
      <c r="A33" s="277"/>
      <c r="B33" s="407" t="s">
        <v>465</v>
      </c>
      <c r="J33">
        <f>J27</f>
        <v>42400</v>
      </c>
      <c r="K33">
        <f t="shared" ref="K33:V33" si="13">K27</f>
        <v>42400</v>
      </c>
      <c r="L33">
        <f t="shared" si="13"/>
        <v>42400</v>
      </c>
      <c r="M33">
        <f t="shared" si="13"/>
        <v>42400</v>
      </c>
      <c r="N33">
        <f t="shared" si="13"/>
        <v>42400</v>
      </c>
      <c r="O33">
        <f t="shared" si="13"/>
        <v>43672</v>
      </c>
      <c r="P33">
        <f t="shared" si="13"/>
        <v>43672</v>
      </c>
      <c r="Q33">
        <f t="shared" si="13"/>
        <v>43672</v>
      </c>
      <c r="R33">
        <f t="shared" si="13"/>
        <v>44982.16</v>
      </c>
      <c r="S33">
        <f t="shared" si="13"/>
        <v>44982.16</v>
      </c>
      <c r="T33">
        <f t="shared" si="13"/>
        <v>44982.16</v>
      </c>
      <c r="U33">
        <f t="shared" si="13"/>
        <v>44982.16</v>
      </c>
      <c r="V33">
        <f t="shared" si="13"/>
        <v>44982.16</v>
      </c>
    </row>
    <row r="34" spans="1:22">
      <c r="A34" s="277"/>
      <c r="B34" s="28" t="s">
        <v>469</v>
      </c>
      <c r="C34" s="28"/>
      <c r="D34" s="28"/>
      <c r="E34" s="28"/>
      <c r="F34" s="28"/>
      <c r="G34" s="28"/>
      <c r="H34" s="28"/>
      <c r="I34" s="48">
        <f>SUM(J34:V34)</f>
        <v>721.89815999999996</v>
      </c>
      <c r="J34" s="28">
        <f t="shared" ref="J34:V34" si="14">J31*J33/Billion</f>
        <v>0</v>
      </c>
      <c r="K34" s="28">
        <f t="shared" si="14"/>
        <v>0</v>
      </c>
      <c r="L34" s="28">
        <f t="shared" si="14"/>
        <v>0</v>
      </c>
      <c r="M34" s="28">
        <f t="shared" si="14"/>
        <v>0</v>
      </c>
      <c r="N34" s="28">
        <f t="shared" si="14"/>
        <v>0</v>
      </c>
      <c r="O34" s="28">
        <f t="shared" si="14"/>
        <v>43.671999999999997</v>
      </c>
      <c r="P34" s="28">
        <f t="shared" si="14"/>
        <v>65.507999999999996</v>
      </c>
      <c r="Q34" s="28">
        <f t="shared" si="14"/>
        <v>117.9144</v>
      </c>
      <c r="R34" s="28">
        <f t="shared" si="14"/>
        <v>89.964320000000001</v>
      </c>
      <c r="S34" s="28">
        <f t="shared" si="14"/>
        <v>134.94648000000001</v>
      </c>
      <c r="T34" s="28">
        <f t="shared" si="14"/>
        <v>134.94648000000001</v>
      </c>
      <c r="U34" s="28">
        <f t="shared" si="14"/>
        <v>0</v>
      </c>
      <c r="V34" s="28">
        <f t="shared" si="14"/>
        <v>134.94648000000001</v>
      </c>
    </row>
    <row r="35" spans="1:22">
      <c r="G35"/>
      <c r="I35" s="21"/>
      <c r="K35" s="21"/>
      <c r="L35" s="21"/>
      <c r="M35" s="21"/>
      <c r="N35" s="21"/>
    </row>
    <row r="36" spans="1:22">
      <c r="G36"/>
      <c r="I36" s="21"/>
      <c r="K36" s="21"/>
      <c r="L36" s="21"/>
      <c r="M36" s="21"/>
      <c r="N36" s="21"/>
    </row>
    <row r="37" spans="1:22">
      <c r="B37" t="s">
        <v>471</v>
      </c>
      <c r="G37"/>
      <c r="I37" s="21"/>
      <c r="J37">
        <f>SUM(J21,J26,J31)</f>
        <v>3666225.2759999996</v>
      </c>
      <c r="K37">
        <f t="shared" ref="K37:V37" si="15">SUM(K21,K26,K31)</f>
        <v>3776212.0342799998</v>
      </c>
      <c r="L37">
        <f t="shared" si="15"/>
        <v>3889498.3953083996</v>
      </c>
      <c r="M37">
        <f t="shared" si="15"/>
        <v>4006183.3471676521</v>
      </c>
      <c r="N37">
        <f t="shared" si="15"/>
        <v>4126368.847582682</v>
      </c>
      <c r="O37">
        <f t="shared" si="15"/>
        <v>5250159.9130101623</v>
      </c>
      <c r="P37">
        <f t="shared" si="15"/>
        <v>5877664.7104004677</v>
      </c>
      <c r="Q37">
        <f t="shared" si="15"/>
        <v>7208994.6517124819</v>
      </c>
      <c r="R37">
        <f t="shared" si="15"/>
        <v>6644264.4912638562</v>
      </c>
      <c r="S37">
        <f t="shared" si="15"/>
        <v>7783592.4260017723</v>
      </c>
      <c r="T37">
        <f t="shared" si="15"/>
        <v>7927100.1987818247</v>
      </c>
      <c r="U37">
        <f t="shared" si="15"/>
        <v>5074913.2047452796</v>
      </c>
      <c r="V37">
        <f t="shared" si="15"/>
        <v>8227160.6008876376</v>
      </c>
    </row>
    <row r="38" spans="1:22">
      <c r="B38" t="s">
        <v>472</v>
      </c>
      <c r="G38"/>
      <c r="I38" s="21"/>
      <c r="J38">
        <f>SUM(J23,J28,J34)</f>
        <v>156.43850421456</v>
      </c>
      <c r="K38">
        <f t="shared" ref="K38:V38" si="16">SUM(K23,K28,K34)</f>
        <v>161.1316593409968</v>
      </c>
      <c r="L38">
        <f t="shared" si="16"/>
        <v>165.96560912122669</v>
      </c>
      <c r="M38">
        <f t="shared" si="16"/>
        <v>170.9445773948635</v>
      </c>
      <c r="N38">
        <f t="shared" si="16"/>
        <v>176.07291471670942</v>
      </c>
      <c r="O38">
        <f t="shared" si="16"/>
        <v>230.46775522295704</v>
      </c>
      <c r="P38">
        <f t="shared" si="16"/>
        <v>257.90762787964576</v>
      </c>
      <c r="Q38">
        <f t="shared" si="16"/>
        <v>316.08601671603515</v>
      </c>
      <c r="R38">
        <f t="shared" si="16"/>
        <v>300.20458817404165</v>
      </c>
      <c r="S38">
        <f t="shared" si="16"/>
        <v>351.49395621926294</v>
      </c>
      <c r="T38">
        <f t="shared" si="16"/>
        <v>357.99038050584079</v>
      </c>
      <c r="U38">
        <f t="shared" si="16"/>
        <v>229.73521752101607</v>
      </c>
      <c r="V38">
        <f t="shared" si="16"/>
        <v>371.57375404664651</v>
      </c>
    </row>
    <row r="39" spans="1:22" ht="15.75">
      <c r="B39" s="15" t="s">
        <v>473</v>
      </c>
      <c r="G39"/>
      <c r="I39" s="21"/>
      <c r="J39">
        <f>SUM(J48,J54,J60,J65,J71,J77,J83,J89,J95)</f>
        <v>28.049032629631235</v>
      </c>
      <c r="K39">
        <f t="shared" ref="K39:V39" si="17">SUM(K48,K54,K60,K65,K71,K77,K83,K89,K95)</f>
        <v>29.312686799710448</v>
      </c>
      <c r="L39">
        <f t="shared" si="17"/>
        <v>30.661244624547326</v>
      </c>
      <c r="M39">
        <f t="shared" si="17"/>
        <v>32.055528560357196</v>
      </c>
      <c r="N39">
        <f t="shared" si="17"/>
        <v>33.520462464290503</v>
      </c>
      <c r="O39">
        <f t="shared" si="17"/>
        <v>38.790197151935772</v>
      </c>
      <c r="P39">
        <f t="shared" si="17"/>
        <v>42.43441887580358</v>
      </c>
      <c r="Q39">
        <f t="shared" si="17"/>
        <v>49.042180569190343</v>
      </c>
      <c r="R39">
        <f t="shared" si="17"/>
        <v>48.335866324829119</v>
      </c>
      <c r="S39">
        <f t="shared" si="17"/>
        <v>54.655854655980846</v>
      </c>
      <c r="T39">
        <f t="shared" si="17"/>
        <v>57.021337974480907</v>
      </c>
      <c r="U39">
        <f t="shared" si="17"/>
        <v>46.14647360858897</v>
      </c>
      <c r="V39">
        <f t="shared" si="17"/>
        <v>62.101940536402765</v>
      </c>
    </row>
    <row r="40" spans="1:22">
      <c r="B40" s="2" t="s">
        <v>474</v>
      </c>
      <c r="G40"/>
      <c r="I40" s="21"/>
    </row>
    <row r="41" spans="1:22">
      <c r="B41" s="407" t="s">
        <v>475</v>
      </c>
      <c r="F41" s="30">
        <v>41.467075682422298</v>
      </c>
      <c r="G41" s="17" t="s">
        <v>315</v>
      </c>
      <c r="I41" s="48">
        <f>SUM(J41:V41)</f>
        <v>539.07198387148992</v>
      </c>
      <c r="J41" s="23">
        <f t="shared" ref="J41:V41" si="18">$F$41*J12</f>
        <v>41.467075682422298</v>
      </c>
      <c r="K41" s="23">
        <f t="shared" si="18"/>
        <v>41.467075682422298</v>
      </c>
      <c r="L41" s="23">
        <f t="shared" si="18"/>
        <v>41.467075682422298</v>
      </c>
      <c r="M41" s="23">
        <f t="shared" si="18"/>
        <v>41.467075682422298</v>
      </c>
      <c r="N41" s="23">
        <f t="shared" si="18"/>
        <v>41.467075682422298</v>
      </c>
      <c r="O41" s="23">
        <f t="shared" si="18"/>
        <v>41.467075682422298</v>
      </c>
      <c r="P41" s="23">
        <f t="shared" si="18"/>
        <v>41.467075682422298</v>
      </c>
      <c r="Q41" s="23">
        <f t="shared" si="18"/>
        <v>41.467075682422298</v>
      </c>
      <c r="R41" s="23">
        <f t="shared" si="18"/>
        <v>41.467075682422298</v>
      </c>
      <c r="S41" s="23">
        <f t="shared" si="18"/>
        <v>41.467075682422298</v>
      </c>
      <c r="T41" s="23">
        <f t="shared" si="18"/>
        <v>41.467075682422298</v>
      </c>
      <c r="U41" s="23">
        <f t="shared" si="18"/>
        <v>41.467075682422298</v>
      </c>
      <c r="V41" s="23">
        <f t="shared" si="18"/>
        <v>41.467075682422298</v>
      </c>
    </row>
    <row r="42" spans="1:22">
      <c r="B42" s="407" t="s">
        <v>58</v>
      </c>
      <c r="G42" s="17" t="s">
        <v>315</v>
      </c>
      <c r="I42" s="48">
        <f>SUM(J42:V42)</f>
        <v>24</v>
      </c>
      <c r="J42" s="23">
        <f>Input!K62</f>
        <v>0</v>
      </c>
      <c r="K42" s="23">
        <f>Input!L62</f>
        <v>0</v>
      </c>
      <c r="L42" s="23">
        <f>Input!M62</f>
        <v>1</v>
      </c>
      <c r="M42" s="23">
        <f>Input!N62</f>
        <v>1</v>
      </c>
      <c r="N42" s="23">
        <f>Input!O62</f>
        <v>1</v>
      </c>
      <c r="O42" s="23">
        <f>Input!P62</f>
        <v>2</v>
      </c>
      <c r="P42" s="23">
        <f>Input!Q62</f>
        <v>2</v>
      </c>
      <c r="Q42" s="23">
        <f>Input!R62</f>
        <v>2</v>
      </c>
      <c r="R42" s="23">
        <f>Input!S62</f>
        <v>3</v>
      </c>
      <c r="S42" s="23">
        <f>Input!T62</f>
        <v>3</v>
      </c>
      <c r="T42" s="23">
        <f>Input!U62</f>
        <v>3</v>
      </c>
      <c r="U42" s="23">
        <f>Input!V62</f>
        <v>3</v>
      </c>
      <c r="V42" s="23">
        <f>Input!W62</f>
        <v>3</v>
      </c>
    </row>
    <row r="43" spans="1:22">
      <c r="B43" s="28" t="s">
        <v>476</v>
      </c>
      <c r="C43" s="28"/>
      <c r="D43" s="28"/>
      <c r="E43" s="28"/>
      <c r="F43" s="28"/>
      <c r="G43" s="28"/>
      <c r="H43" s="28"/>
      <c r="I43" s="49">
        <f>SUM(J43:V43)</f>
        <v>563.07198387148992</v>
      </c>
      <c r="J43" s="47">
        <f>SUM(J41:J42)</f>
        <v>41.467075682422298</v>
      </c>
      <c r="K43" s="47">
        <f t="shared" ref="K43:V43" si="19">SUM(K41:K42)</f>
        <v>41.467075682422298</v>
      </c>
      <c r="L43" s="47">
        <f t="shared" si="19"/>
        <v>42.467075682422298</v>
      </c>
      <c r="M43" s="47">
        <f t="shared" si="19"/>
        <v>42.467075682422298</v>
      </c>
      <c r="N43" s="47">
        <f t="shared" si="19"/>
        <v>42.467075682422298</v>
      </c>
      <c r="O43" s="47">
        <f t="shared" si="19"/>
        <v>43.467075682422298</v>
      </c>
      <c r="P43" s="47">
        <f t="shared" si="19"/>
        <v>43.467075682422298</v>
      </c>
      <c r="Q43" s="47">
        <f t="shared" si="19"/>
        <v>43.467075682422298</v>
      </c>
      <c r="R43" s="47">
        <f t="shared" si="19"/>
        <v>44.467075682422298</v>
      </c>
      <c r="S43" s="47">
        <f t="shared" si="19"/>
        <v>44.467075682422298</v>
      </c>
      <c r="T43" s="47">
        <f t="shared" si="19"/>
        <v>44.467075682422298</v>
      </c>
      <c r="U43" s="47">
        <f t="shared" si="19"/>
        <v>44.467075682422298</v>
      </c>
      <c r="V43" s="47">
        <f t="shared" si="19"/>
        <v>44.467075682422298</v>
      </c>
    </row>
    <row r="44" spans="1:22">
      <c r="G44"/>
    </row>
    <row r="45" spans="1:22">
      <c r="B45" s="2" t="s">
        <v>477</v>
      </c>
      <c r="G45"/>
    </row>
    <row r="46" spans="1:22">
      <c r="B46" s="407" t="s">
        <v>478</v>
      </c>
      <c r="G46"/>
      <c r="I46" s="13">
        <v>1</v>
      </c>
      <c r="J46" s="13">
        <f>I46*(1+Input!K68)*J$12</f>
        <v>1.0349999999999999</v>
      </c>
      <c r="K46" s="13">
        <f>J46*(1+Input!L68)*K$12</f>
        <v>1.0712249999999999</v>
      </c>
      <c r="L46" s="13">
        <f>K46*(1+Input!M68)*L$12</f>
        <v>1.1087178749999997</v>
      </c>
      <c r="M46" s="13">
        <f>L46*(1+Input!N68)*M$12</f>
        <v>1.1475230006249997</v>
      </c>
      <c r="N46" s="13">
        <f>M46*(1+Input!O68)*N$12</f>
        <v>1.1876863056468745</v>
      </c>
      <c r="O46" s="13">
        <f>N46*(1+Input!P68)*O$12</f>
        <v>1.229255326344515</v>
      </c>
      <c r="P46" s="13">
        <f>O46*(1+Input!Q68)*P$12</f>
        <v>1.2722792627665729</v>
      </c>
      <c r="Q46" s="13">
        <f>P46*(1+Input!R68)*Q$12</f>
        <v>1.3168090369634029</v>
      </c>
      <c r="R46" s="13">
        <f>Q46*(1+Input!S68)*R$12</f>
        <v>1.3628973532571218</v>
      </c>
      <c r="S46" s="13">
        <f>R46*(1+Input!T68)*S$12</f>
        <v>1.410598760621121</v>
      </c>
      <c r="T46" s="13">
        <f>S46*(1+Input!U68)*T$12</f>
        <v>1.4599697172428601</v>
      </c>
      <c r="U46" s="13">
        <f>T46*(1+Input!V68)*U$12</f>
        <v>1.5110686573463601</v>
      </c>
      <c r="V46" s="13">
        <f>U46*(1+Input!W68)*V$12</f>
        <v>1.5639560603534826</v>
      </c>
    </row>
    <row r="47" spans="1:22">
      <c r="B47" t="s">
        <v>479</v>
      </c>
      <c r="F47" s="19">
        <v>12.869295671530001</v>
      </c>
      <c r="G47" s="17" t="s">
        <v>315</v>
      </c>
    </row>
    <row r="48" spans="1:22">
      <c r="B48" s="28" t="s">
        <v>480</v>
      </c>
      <c r="C48" s="28"/>
      <c r="D48" s="28"/>
      <c r="E48" s="28"/>
      <c r="F48" s="28"/>
      <c r="G48" s="28"/>
      <c r="H48" s="28"/>
      <c r="I48" s="28"/>
      <c r="J48" s="47">
        <f>$F$47*J46</f>
        <v>13.319721020033549</v>
      </c>
      <c r="K48" s="47">
        <f t="shared" ref="K48:V48" si="20">$F$47*K46</f>
        <v>13.785911255734723</v>
      </c>
      <c r="L48" s="47">
        <f t="shared" si="20"/>
        <v>14.268418149685438</v>
      </c>
      <c r="M48" s="47">
        <f t="shared" si="20"/>
        <v>14.767812784924427</v>
      </c>
      <c r="N48" s="47">
        <f t="shared" si="20"/>
        <v>15.28468623239678</v>
      </c>
      <c r="O48" s="47">
        <f t="shared" si="20"/>
        <v>15.819650250530664</v>
      </c>
      <c r="P48" s="47">
        <f t="shared" si="20"/>
        <v>16.373338009299236</v>
      </c>
      <c r="Q48" s="47">
        <f t="shared" si="20"/>
        <v>16.946404839624709</v>
      </c>
      <c r="R48" s="47">
        <f t="shared" si="20"/>
        <v>17.53952900901157</v>
      </c>
      <c r="S48" s="47">
        <f t="shared" si="20"/>
        <v>18.153412524326978</v>
      </c>
      <c r="T48" s="47">
        <f t="shared" si="20"/>
        <v>18.788781962678417</v>
      </c>
      <c r="U48" s="47">
        <f t="shared" si="20"/>
        <v>19.44638933137216</v>
      </c>
      <c r="V48" s="47">
        <f t="shared" si="20"/>
        <v>20.127012957970187</v>
      </c>
    </row>
    <row r="49" spans="2:22">
      <c r="G49"/>
    </row>
    <row r="50" spans="2:22">
      <c r="B50" s="2" t="s">
        <v>481</v>
      </c>
      <c r="G50"/>
    </row>
    <row r="51" spans="2:22">
      <c r="B51" s="407" t="s">
        <v>478</v>
      </c>
      <c r="E51" s="58" t="s">
        <v>482</v>
      </c>
      <c r="F51" s="58" t="s">
        <v>483</v>
      </c>
      <c r="G51"/>
      <c r="I51" s="13">
        <v>1</v>
      </c>
      <c r="J51" s="13">
        <f>I51*(1+Input!K75)*Calculation_SOEs!J12</f>
        <v>1.03</v>
      </c>
      <c r="K51" s="13">
        <f>J51*(1+Input!L75)*Calculation_SOEs!K12</f>
        <v>1.0609</v>
      </c>
      <c r="L51" s="13">
        <f>K51*(1+Input!M75)*Calculation_SOEs!L12</f>
        <v>1.092727</v>
      </c>
      <c r="M51" s="13">
        <f>L51*(1+Input!N75)*Calculation_SOEs!M12</f>
        <v>1.1255088100000001</v>
      </c>
      <c r="N51" s="13">
        <f>M51*(1+Input!O75)*Calculation_SOEs!N12</f>
        <v>1.1592740743000001</v>
      </c>
      <c r="O51" s="13">
        <f>N51*(1+Input!P75)*Calculation_SOEs!O12</f>
        <v>1.1940522965290001</v>
      </c>
      <c r="P51" s="13">
        <f>O51*(1+Input!Q75)*Calculation_SOEs!P12</f>
        <v>1.2298738654248702</v>
      </c>
      <c r="Q51" s="13">
        <f>P51*(1+Input!R75)*Calculation_SOEs!Q12</f>
        <v>1.2667700813876164</v>
      </c>
      <c r="R51" s="13">
        <f>Q51*(1+Input!S75)*Calculation_SOEs!R12</f>
        <v>1.3047731838292449</v>
      </c>
      <c r="S51" s="13">
        <f>R51*(1+Input!T75)*Calculation_SOEs!S12</f>
        <v>1.3439163793441222</v>
      </c>
      <c r="T51" s="13">
        <f>S51*(1+Input!U75)*Calculation_SOEs!T12</f>
        <v>1.3842338707244459</v>
      </c>
      <c r="U51" s="13">
        <f>T51*(1+Input!V75)*Calculation_SOEs!U12</f>
        <v>1.4257608868461793</v>
      </c>
      <c r="V51" s="13">
        <f>U51*(1+Input!W75)*Calculation_SOEs!V12</f>
        <v>1.4685337134515648</v>
      </c>
    </row>
    <row r="52" spans="2:22">
      <c r="B52" s="407" t="s">
        <v>484</v>
      </c>
      <c r="E52" s="19">
        <v>3579865.8499999996</v>
      </c>
      <c r="F52" s="19">
        <f>F53/E52*Billion</f>
        <v>1210.7065328849126</v>
      </c>
      <c r="G52" s="17" t="s">
        <v>485</v>
      </c>
      <c r="J52">
        <f>$F52*J51</f>
        <v>1247.0277288714599</v>
      </c>
      <c r="K52">
        <f t="shared" ref="K52:V52" si="21">$F52*K51</f>
        <v>1284.4385607376037</v>
      </c>
      <c r="L52">
        <f t="shared" si="21"/>
        <v>1322.9717175597318</v>
      </c>
      <c r="M52">
        <f t="shared" si="21"/>
        <v>1362.6608690865239</v>
      </c>
      <c r="N52">
        <f t="shared" si="21"/>
        <v>1403.5406951591197</v>
      </c>
      <c r="O52">
        <f t="shared" si="21"/>
        <v>1445.6469160138934</v>
      </c>
      <c r="P52">
        <f t="shared" si="21"/>
        <v>1489.0163234943102</v>
      </c>
      <c r="Q52">
        <f t="shared" si="21"/>
        <v>1533.6868131991396</v>
      </c>
      <c r="R52">
        <f t="shared" si="21"/>
        <v>1579.6974175951138</v>
      </c>
      <c r="S52">
        <f t="shared" si="21"/>
        <v>1627.0883401229671</v>
      </c>
      <c r="T52">
        <f t="shared" si="21"/>
        <v>1675.9009903266563</v>
      </c>
      <c r="U52">
        <f t="shared" si="21"/>
        <v>1726.1780200364558</v>
      </c>
      <c r="V52">
        <f t="shared" si="21"/>
        <v>1777.9633606375496</v>
      </c>
    </row>
    <row r="53" spans="2:22">
      <c r="B53" s="407" t="s">
        <v>486</v>
      </c>
      <c r="F53" s="19">
        <v>4.3341669714466002</v>
      </c>
      <c r="G53" s="17" t="s">
        <v>315</v>
      </c>
    </row>
    <row r="54" spans="2:22">
      <c r="B54" s="28" t="s">
        <v>480</v>
      </c>
      <c r="C54" s="28"/>
      <c r="D54" s="28"/>
      <c r="E54" s="28"/>
      <c r="F54" s="28"/>
      <c r="G54" s="28"/>
      <c r="H54" s="28"/>
      <c r="I54" s="28"/>
      <c r="J54" s="47">
        <f>J52*J$37/Billion</f>
        <v>4.5718845794614209</v>
      </c>
      <c r="K54" s="47">
        <f t="shared" ref="K54:V54" si="22">K52*K$37/Billion</f>
        <v>4.8503123503506211</v>
      </c>
      <c r="L54" s="47">
        <f t="shared" si="22"/>
        <v>5.1456963724869738</v>
      </c>
      <c r="M54" s="47">
        <f t="shared" si="22"/>
        <v>5.4590692815714323</v>
      </c>
      <c r="N54" s="47">
        <f t="shared" si="22"/>
        <v>5.7915266008191324</v>
      </c>
      <c r="O54" s="47">
        <f t="shared" si="22"/>
        <v>7.5898774868229122</v>
      </c>
      <c r="P54" s="47">
        <f t="shared" si="22"/>
        <v>8.7519386978127542</v>
      </c>
      <c r="Q54" s="47">
        <f t="shared" si="22"/>
        <v>11.056340033754557</v>
      </c>
      <c r="R54" s="47">
        <f t="shared" si="22"/>
        <v>10.495927458668426</v>
      </c>
      <c r="S54" s="47">
        <f t="shared" si="22"/>
        <v>12.664592480616923</v>
      </c>
      <c r="T54" s="47">
        <f t="shared" si="22"/>
        <v>13.285035073557095</v>
      </c>
      <c r="U54" s="47">
        <f t="shared" si="22"/>
        <v>8.7602036276240707</v>
      </c>
      <c r="V54" s="47">
        <f t="shared" si="22"/>
        <v>14.627590110459026</v>
      </c>
    </row>
    <row r="55" spans="2:22">
      <c r="G55"/>
    </row>
    <row r="56" spans="2:22">
      <c r="B56" s="2" t="s">
        <v>487</v>
      </c>
      <c r="G56"/>
    </row>
    <row r="57" spans="2:22">
      <c r="B57" s="407" t="s">
        <v>478</v>
      </c>
      <c r="E57" s="58" t="s">
        <v>482</v>
      </c>
      <c r="F57" s="58" t="s">
        <v>483</v>
      </c>
      <c r="G57"/>
      <c r="I57" s="13">
        <v>1</v>
      </c>
      <c r="J57" s="13">
        <f>I57*(1+Input!K80)*J$12</f>
        <v>1.03</v>
      </c>
      <c r="K57" s="13">
        <f>J57*(1+Input!L80)*K$12</f>
        <v>1.0609</v>
      </c>
      <c r="L57" s="13">
        <f>K57*(1+Input!M80)*L$12</f>
        <v>1.092727</v>
      </c>
      <c r="M57" s="13">
        <f>L57*(1+Input!N80)*M$12</f>
        <v>1.1255088100000001</v>
      </c>
      <c r="N57" s="13">
        <f>M57*(1+Input!O80)*N$12</f>
        <v>1.1592740743000001</v>
      </c>
      <c r="O57" s="13">
        <f>N57*(1+Input!P80)*O$12</f>
        <v>1.1940522965290001</v>
      </c>
      <c r="P57" s="13">
        <f>O57*(1+Input!Q80)*P$12</f>
        <v>1.2298738654248702</v>
      </c>
      <c r="Q57" s="13">
        <f>P57*(1+Input!R80)*Q$12</f>
        <v>1.2667700813876164</v>
      </c>
      <c r="R57" s="13">
        <f>Q57*(1+Input!S80)*R$12</f>
        <v>1.3047731838292449</v>
      </c>
      <c r="S57" s="13">
        <f>R57*(1+Input!T80)*S$12</f>
        <v>1.3439163793441222</v>
      </c>
      <c r="T57" s="13">
        <f>S57*(1+Input!U80)*T$12</f>
        <v>1.3842338707244459</v>
      </c>
      <c r="U57" s="13">
        <f>T57*(1+Input!V80)*U$12</f>
        <v>1.4257608868461793</v>
      </c>
      <c r="V57" s="13">
        <f>U57*(1+Input!W80)*V$12</f>
        <v>1.4685337134515648</v>
      </c>
    </row>
    <row r="58" spans="2:22">
      <c r="B58" s="407" t="s">
        <v>484</v>
      </c>
      <c r="E58" s="19">
        <v>3579865.8499999996</v>
      </c>
      <c r="F58" s="19">
        <f>F59/E58*Billion</f>
        <v>713.67003220025697</v>
      </c>
      <c r="G58" s="17" t="s">
        <v>485</v>
      </c>
      <c r="J58">
        <f t="shared" ref="J58:V58" si="23">$F58*J57</f>
        <v>735.08013316626466</v>
      </c>
      <c r="K58">
        <f t="shared" si="23"/>
        <v>757.13253716125257</v>
      </c>
      <c r="L58">
        <f t="shared" si="23"/>
        <v>779.84651327609015</v>
      </c>
      <c r="M58">
        <f t="shared" si="23"/>
        <v>803.24190867437301</v>
      </c>
      <c r="N58">
        <f t="shared" si="23"/>
        <v>827.33916593460413</v>
      </c>
      <c r="O58">
        <f t="shared" si="23"/>
        <v>852.15934091264228</v>
      </c>
      <c r="P58">
        <f t="shared" si="23"/>
        <v>877.72412114002168</v>
      </c>
      <c r="Q58">
        <f t="shared" si="23"/>
        <v>904.05584477422235</v>
      </c>
      <c r="R58">
        <f t="shared" si="23"/>
        <v>931.17752011744903</v>
      </c>
      <c r="S58">
        <f t="shared" si="23"/>
        <v>959.11284572097247</v>
      </c>
      <c r="T58">
        <f t="shared" si="23"/>
        <v>987.88623109260163</v>
      </c>
      <c r="U58">
        <f t="shared" si="23"/>
        <v>1017.5228180253797</v>
      </c>
      <c r="V58">
        <f t="shared" si="23"/>
        <v>1048.0485025661412</v>
      </c>
    </row>
    <row r="59" spans="2:22">
      <c r="B59" s="407" t="s">
        <v>486</v>
      </c>
      <c r="F59" s="19">
        <v>2.5548429764420999</v>
      </c>
      <c r="G59" s="17" t="s">
        <v>315</v>
      </c>
    </row>
    <row r="60" spans="2:22">
      <c r="B60" s="28" t="s">
        <v>480</v>
      </c>
      <c r="C60" s="28"/>
      <c r="D60" s="28"/>
      <c r="E60" s="28"/>
      <c r="F60" s="28"/>
      <c r="G60" s="28"/>
      <c r="H60" s="28"/>
      <c r="I60" s="28"/>
      <c r="J60" s="47">
        <f>J58*J$37/Billion</f>
        <v>2.6949693640996051</v>
      </c>
      <c r="K60" s="47">
        <f t="shared" ref="K60:V60" si="24">K58*K$37/Billion</f>
        <v>2.8590929983732711</v>
      </c>
      <c r="L60" s="47">
        <f t="shared" si="24"/>
        <v>3.0332117619742029</v>
      </c>
      <c r="M60" s="47">
        <f t="shared" si="24"/>
        <v>3.2179343582784332</v>
      </c>
      <c r="N60" s="47">
        <f t="shared" si="24"/>
        <v>3.41390656069759</v>
      </c>
      <c r="O60" s="47">
        <f t="shared" si="24"/>
        <v>4.473972811156715</v>
      </c>
      <c r="P60" s="47">
        <f t="shared" si="24"/>
        <v>5.1589680922919703</v>
      </c>
      <c r="Q60" s="47">
        <f t="shared" si="24"/>
        <v>6.5173337498267783</v>
      </c>
      <c r="R60" s="47">
        <f t="shared" si="24"/>
        <v>6.1869897319795015</v>
      </c>
      <c r="S60" s="47">
        <f t="shared" si="24"/>
        <v>7.4653434816347675</v>
      </c>
      <c r="T60" s="47">
        <f t="shared" si="24"/>
        <v>7.8310731388679899</v>
      </c>
      <c r="U60" s="47">
        <f t="shared" si="24"/>
        <v>5.1638399853266277</v>
      </c>
      <c r="V60" s="47">
        <f t="shared" si="24"/>
        <v>8.6224633481314434</v>
      </c>
    </row>
    <row r="61" spans="2:22">
      <c r="G61"/>
    </row>
    <row r="62" spans="2:22">
      <c r="B62" s="2" t="s">
        <v>488</v>
      </c>
      <c r="G62"/>
    </row>
    <row r="63" spans="2:22">
      <c r="B63" s="407" t="s">
        <v>478</v>
      </c>
      <c r="G63"/>
      <c r="I63" s="13">
        <v>1</v>
      </c>
      <c r="J63" s="13">
        <f>I63*(1+Input!K85)*J12</f>
        <v>1.0349999999999999</v>
      </c>
      <c r="K63" s="13">
        <f>J63*(1+Input!L85)*K12</f>
        <v>1.0712249999999999</v>
      </c>
      <c r="L63" s="13">
        <f>K63*(1+Input!M85)*L12</f>
        <v>1.1087178749999997</v>
      </c>
      <c r="M63" s="13">
        <f>L63*(1+Input!N85)*M12</f>
        <v>1.1475230006249997</v>
      </c>
      <c r="N63" s="13">
        <f>M63*(1+Input!O85)*N12</f>
        <v>1.1876863056468745</v>
      </c>
      <c r="O63" s="13">
        <f>N63*(1+Input!P85)*O12</f>
        <v>1.229255326344515</v>
      </c>
      <c r="P63" s="13">
        <f>O63*(1+Input!Q85)*P12</f>
        <v>1.2722792627665729</v>
      </c>
      <c r="Q63" s="13">
        <f>P63*(1+Input!R85)*Q12</f>
        <v>1.3168090369634029</v>
      </c>
      <c r="R63" s="13">
        <f>Q63*(1+Input!S85)*R12</f>
        <v>1.3628973532571218</v>
      </c>
      <c r="S63" s="13">
        <f>R63*(1+Input!T85)*S12</f>
        <v>1.410598760621121</v>
      </c>
      <c r="T63" s="13">
        <f>S63*(1+Input!U85)*T12</f>
        <v>1.4599697172428601</v>
      </c>
      <c r="U63" s="13">
        <f>T63*(1+Input!V85)*U12</f>
        <v>1.5110686573463601</v>
      </c>
      <c r="V63" s="13">
        <f>U63*(1+Input!W85)*V12</f>
        <v>1.5639560603534826</v>
      </c>
    </row>
    <row r="64" spans="2:22">
      <c r="B64" t="s">
        <v>479</v>
      </c>
      <c r="F64" s="19">
        <v>2.0920344480000002</v>
      </c>
      <c r="G64" s="17" t="s">
        <v>315</v>
      </c>
    </row>
    <row r="65" spans="2:22">
      <c r="B65" s="28" t="s">
        <v>480</v>
      </c>
      <c r="C65" s="28"/>
      <c r="D65" s="28"/>
      <c r="E65" s="28"/>
      <c r="F65" s="28"/>
      <c r="G65" s="28"/>
      <c r="H65" s="28"/>
      <c r="I65" s="28"/>
      <c r="J65" s="47">
        <f>$F64*J63</f>
        <v>2.1652556536800001</v>
      </c>
      <c r="K65" s="47">
        <f t="shared" ref="K65:V65" si="25">$F64*K63</f>
        <v>2.2410396015587999</v>
      </c>
      <c r="L65" s="47">
        <f t="shared" si="25"/>
        <v>2.3194759876133575</v>
      </c>
      <c r="M65" s="47">
        <f t="shared" si="25"/>
        <v>2.4006576471798251</v>
      </c>
      <c r="N65" s="47">
        <f t="shared" si="25"/>
        <v>2.4846806648311186</v>
      </c>
      <c r="O65" s="47">
        <f t="shared" si="25"/>
        <v>2.5716444881002074</v>
      </c>
      <c r="P65" s="47">
        <f t="shared" si="25"/>
        <v>2.6616520451837142</v>
      </c>
      <c r="Q65" s="47">
        <f t="shared" si="25"/>
        <v>2.7548098667651444</v>
      </c>
      <c r="R65" s="47">
        <f t="shared" si="25"/>
        <v>2.8512282121019239</v>
      </c>
      <c r="S65" s="47">
        <f t="shared" si="25"/>
        <v>2.9510211995254911</v>
      </c>
      <c r="T65" s="47">
        <f t="shared" si="25"/>
        <v>3.0543069415088833</v>
      </c>
      <c r="U65" s="47">
        <f t="shared" si="25"/>
        <v>3.1612076844616936</v>
      </c>
      <c r="V65" s="47">
        <f t="shared" si="25"/>
        <v>3.2718499534178527</v>
      </c>
    </row>
    <row r="66" spans="2:22">
      <c r="G66"/>
    </row>
    <row r="67" spans="2:22">
      <c r="B67" s="2" t="s">
        <v>489</v>
      </c>
      <c r="G67"/>
    </row>
    <row r="68" spans="2:22">
      <c r="B68" s="407" t="s">
        <v>478</v>
      </c>
      <c r="E68" s="58" t="s">
        <v>482</v>
      </c>
      <c r="F68" s="58" t="s">
        <v>483</v>
      </c>
      <c r="G68"/>
      <c r="I68" s="13">
        <v>1</v>
      </c>
      <c r="J68" s="13">
        <f>I68*(1+Input!K91)*J$12</f>
        <v>1.03</v>
      </c>
      <c r="K68" s="13">
        <f>J68*(1+Input!L91)*K$12</f>
        <v>1.0609</v>
      </c>
      <c r="L68" s="13">
        <f>K68*(1+Input!M91)*L$12</f>
        <v>1.092727</v>
      </c>
      <c r="M68" s="13">
        <f>L68*(1+Input!N91)*M$12</f>
        <v>1.1255088100000001</v>
      </c>
      <c r="N68" s="13">
        <f>M68*(1+Input!O91)*N$12</f>
        <v>1.1592740743000001</v>
      </c>
      <c r="O68" s="13">
        <f>N68*(1+Input!P91)*O$12</f>
        <v>1.1940522965290001</v>
      </c>
      <c r="P68" s="13">
        <f>O68*(1+Input!Q91)*P$12</f>
        <v>1.2298738654248702</v>
      </c>
      <c r="Q68" s="13">
        <f>P68*(1+Input!R91)*Q$12</f>
        <v>1.2667700813876164</v>
      </c>
      <c r="R68" s="13">
        <f>Q68*(1+Input!S91)*R$12</f>
        <v>1.3047731838292449</v>
      </c>
      <c r="S68" s="13">
        <f>R68*(1+Input!T91)*S$12</f>
        <v>1.3439163793441222</v>
      </c>
      <c r="T68" s="13">
        <f>S68*(1+Input!U91)*T$12</f>
        <v>1.3842338707244459</v>
      </c>
      <c r="U68" s="13">
        <f>T68*(1+Input!V91)*U$12</f>
        <v>1.4257608868461793</v>
      </c>
      <c r="V68" s="13">
        <f>U68*(1+Input!W91)*V$12</f>
        <v>1.4685337134515648</v>
      </c>
    </row>
    <row r="69" spans="2:22">
      <c r="B69" s="407" t="s">
        <v>484</v>
      </c>
      <c r="E69" s="19">
        <v>3579865.8499999996</v>
      </c>
      <c r="F69" s="19">
        <f>F70/E69*Billion</f>
        <v>571.20979910655035</v>
      </c>
      <c r="G69" s="17" t="s">
        <v>485</v>
      </c>
      <c r="J69">
        <f t="shared" ref="J69:V69" si="26">$F69*J68</f>
        <v>588.34609307974688</v>
      </c>
      <c r="K69">
        <f t="shared" si="26"/>
        <v>605.99647587213929</v>
      </c>
      <c r="L69">
        <f t="shared" si="26"/>
        <v>624.17637014830348</v>
      </c>
      <c r="M69">
        <f t="shared" si="26"/>
        <v>642.90166125275266</v>
      </c>
      <c r="N69">
        <f t="shared" si="26"/>
        <v>662.18871109033512</v>
      </c>
      <c r="O69">
        <f t="shared" si="26"/>
        <v>682.05437242304527</v>
      </c>
      <c r="P69">
        <f t="shared" si="26"/>
        <v>702.51600359573661</v>
      </c>
      <c r="Q69">
        <f t="shared" si="26"/>
        <v>723.59148370360879</v>
      </c>
      <c r="R69">
        <f t="shared" si="26"/>
        <v>745.29922821471712</v>
      </c>
      <c r="S69">
        <f t="shared" si="26"/>
        <v>767.65820506115858</v>
      </c>
      <c r="T69">
        <f t="shared" si="26"/>
        <v>790.68795121299331</v>
      </c>
      <c r="U69">
        <f t="shared" si="26"/>
        <v>814.40858974938317</v>
      </c>
      <c r="V69">
        <f t="shared" si="26"/>
        <v>838.84084744186475</v>
      </c>
    </row>
    <row r="70" spans="2:22">
      <c r="B70" s="407" t="s">
        <v>486</v>
      </c>
      <c r="F70" s="19">
        <v>2.0448544530068999</v>
      </c>
      <c r="G70" s="17" t="s">
        <v>315</v>
      </c>
    </row>
    <row r="71" spans="2:22">
      <c r="B71" s="28" t="s">
        <v>480</v>
      </c>
      <c r="C71" s="28"/>
      <c r="D71" s="28"/>
      <c r="E71" s="28"/>
      <c r="F71" s="28"/>
      <c r="G71" s="28"/>
      <c r="H71" s="28"/>
      <c r="I71" s="28"/>
      <c r="J71" s="47">
        <f>J69*J$37/Billion</f>
        <v>2.1570093174848166</v>
      </c>
      <c r="K71" s="47">
        <f t="shared" ref="K71:V71" si="27">K69*K$37/Billion</f>
        <v>2.288371184919642</v>
      </c>
      <c r="L71" s="47">
        <f t="shared" si="27"/>
        <v>2.4277329900812479</v>
      </c>
      <c r="M71" s="47">
        <f t="shared" si="27"/>
        <v>2.5755819291771966</v>
      </c>
      <c r="N71" s="47">
        <f t="shared" si="27"/>
        <v>2.7324348686640878</v>
      </c>
      <c r="O71" s="47">
        <f t="shared" si="27"/>
        <v>3.5808945245887762</v>
      </c>
      <c r="P71" s="47">
        <f t="shared" si="27"/>
        <v>4.1291535228262291</v>
      </c>
      <c r="Q71" s="47">
        <f t="shared" si="27"/>
        <v>5.2163671360440151</v>
      </c>
      <c r="R71" s="47">
        <f t="shared" si="27"/>
        <v>4.9519651973934025</v>
      </c>
      <c r="S71" s="47">
        <f t="shared" si="27"/>
        <v>5.9751385906721497</v>
      </c>
      <c r="T71" s="47">
        <f t="shared" si="27"/>
        <v>6.2678626152349128</v>
      </c>
      <c r="U71" s="47">
        <f t="shared" si="27"/>
        <v>4.1330529061771255</v>
      </c>
      <c r="V71" s="47">
        <f t="shared" si="27"/>
        <v>6.9012783704889067</v>
      </c>
    </row>
    <row r="72" spans="2:22">
      <c r="G72"/>
    </row>
    <row r="73" spans="2:22">
      <c r="B73" s="2" t="s">
        <v>490</v>
      </c>
      <c r="G73"/>
    </row>
    <row r="74" spans="2:22">
      <c r="B74" s="407" t="s">
        <v>478</v>
      </c>
      <c r="E74" s="58" t="s">
        <v>482</v>
      </c>
      <c r="F74" s="58" t="s">
        <v>483</v>
      </c>
      <c r="G74"/>
      <c r="I74" s="13">
        <v>1</v>
      </c>
      <c r="J74" s="13">
        <f>I74*(1+Input!K95)*J12</f>
        <v>1.0349999999999999</v>
      </c>
      <c r="K74" s="13">
        <f>J74*(1+Input!L95)*K12</f>
        <v>1.0712249999999999</v>
      </c>
      <c r="L74" s="13">
        <f>K74*(1+Input!M95)*L12</f>
        <v>1.1087178749999997</v>
      </c>
      <c r="M74" s="13">
        <f>L74*(1+Input!N95)*M12</f>
        <v>1.1475230006249997</v>
      </c>
      <c r="N74" s="13">
        <f>M74*(1+Input!O95)*N12</f>
        <v>1.1876863056468745</v>
      </c>
      <c r="O74" s="13">
        <f>N74*(1+Input!P95)*O12</f>
        <v>1.229255326344515</v>
      </c>
      <c r="P74" s="13">
        <f>O74*(1+Input!Q95)*P12</f>
        <v>1.2722792627665729</v>
      </c>
      <c r="Q74" s="13">
        <f>P74*(1+Input!R95)*Q12</f>
        <v>1.3168090369634029</v>
      </c>
      <c r="R74" s="13">
        <f>Q74*(1+Input!S95)*R12</f>
        <v>1.3628973532571218</v>
      </c>
      <c r="S74" s="13">
        <f>R74*(1+Input!T95)*S12</f>
        <v>1.410598760621121</v>
      </c>
      <c r="T74" s="13">
        <f>S74*(1+Input!U95)*T12</f>
        <v>1.4599697172428601</v>
      </c>
      <c r="U74" s="13">
        <f>T74*(1+Input!V95)*U12</f>
        <v>1.5110686573463601</v>
      </c>
      <c r="V74" s="13">
        <f>U74*(1+Input!W95)*V12</f>
        <v>1.5639560603534826</v>
      </c>
    </row>
    <row r="75" spans="2:22">
      <c r="B75" s="407" t="s">
        <v>484</v>
      </c>
      <c r="E75" s="19">
        <v>3579865.8499999996</v>
      </c>
      <c r="F75" s="19">
        <f>F76/E75*Billion</f>
        <v>348.14268193876597</v>
      </c>
      <c r="G75" s="17" t="s">
        <v>485</v>
      </c>
      <c r="J75">
        <f t="shared" ref="J75:V75" si="28">$F75*J74</f>
        <v>360.32767580662278</v>
      </c>
      <c r="K75">
        <f t="shared" si="28"/>
        <v>372.93914445985456</v>
      </c>
      <c r="L75">
        <f t="shared" si="28"/>
        <v>385.99201451594939</v>
      </c>
      <c r="M75">
        <f t="shared" si="28"/>
        <v>399.50173502400759</v>
      </c>
      <c r="N75">
        <f t="shared" si="28"/>
        <v>413.48429574984783</v>
      </c>
      <c r="O75">
        <f t="shared" si="28"/>
        <v>427.95624610109246</v>
      </c>
      <c r="P75">
        <f t="shared" si="28"/>
        <v>442.93471471463062</v>
      </c>
      <c r="Q75">
        <f t="shared" si="28"/>
        <v>458.4374297296427</v>
      </c>
      <c r="R75">
        <f t="shared" si="28"/>
        <v>474.4827397701801</v>
      </c>
      <c r="S75">
        <f t="shared" si="28"/>
        <v>491.0896356621364</v>
      </c>
      <c r="T75">
        <f t="shared" si="28"/>
        <v>508.27777291031111</v>
      </c>
      <c r="U75">
        <f t="shared" si="28"/>
        <v>526.06749496217196</v>
      </c>
      <c r="V75">
        <f t="shared" si="28"/>
        <v>544.47985728584797</v>
      </c>
    </row>
    <row r="76" spans="2:22">
      <c r="B76" s="407" t="s">
        <v>486</v>
      </c>
      <c r="F76" s="19">
        <v>1.246304098</v>
      </c>
      <c r="G76" s="17" t="s">
        <v>315</v>
      </c>
    </row>
    <row r="77" spans="2:22">
      <c r="B77" s="28" t="s">
        <v>480</v>
      </c>
      <c r="C77" s="28"/>
      <c r="D77" s="28"/>
      <c r="E77" s="28"/>
      <c r="F77" s="28"/>
      <c r="G77" s="28"/>
      <c r="H77" s="28"/>
      <c r="I77" s="28"/>
      <c r="J77" s="47">
        <f>J75*J$37/Billion</f>
        <v>1.321042432684574</v>
      </c>
      <c r="K77" s="47">
        <f t="shared" ref="K77:V77" si="29">K75*K$37/Billion</f>
        <v>1.4082972853633902</v>
      </c>
      <c r="L77" s="47">
        <f t="shared" si="29"/>
        <v>1.5013153210616417</v>
      </c>
      <c r="M77" s="47">
        <f t="shared" si="29"/>
        <v>1.6004771980177632</v>
      </c>
      <c r="N77" s="47">
        <f t="shared" si="29"/>
        <v>1.7061887169468364</v>
      </c>
      <c r="O77" s="47">
        <f t="shared" si="29"/>
        <v>2.2468387278022672</v>
      </c>
      <c r="P77" s="47">
        <f t="shared" si="29"/>
        <v>2.6034217416894831</v>
      </c>
      <c r="Q77" s="47">
        <f t="shared" si="29"/>
        <v>3.3048729790658111</v>
      </c>
      <c r="R77" s="47">
        <f t="shared" si="29"/>
        <v>3.1525888195725966</v>
      </c>
      <c r="S77" s="47">
        <f t="shared" si="29"/>
        <v>3.8224415686277746</v>
      </c>
      <c r="T77" s="47">
        <f t="shared" si="29"/>
        <v>4.02916883467371</v>
      </c>
      <c r="U77" s="47">
        <f t="shared" si="29"/>
        <v>2.6697468767707973</v>
      </c>
      <c r="V77" s="47">
        <f t="shared" si="29"/>
        <v>4.4795232298390522</v>
      </c>
    </row>
    <row r="78" spans="2:22">
      <c r="G78"/>
    </row>
    <row r="79" spans="2:22">
      <c r="B79" s="2" t="s">
        <v>491</v>
      </c>
      <c r="G79"/>
    </row>
    <row r="80" spans="2:22">
      <c r="B80" s="407" t="s">
        <v>478</v>
      </c>
      <c r="G80"/>
      <c r="J80" s="25">
        <f>Input!K100</f>
        <v>2.1302304373178781E-2</v>
      </c>
      <c r="K80" s="25">
        <f>Input!L100</f>
        <v>2.1302304373178781E-2</v>
      </c>
      <c r="L80" s="25">
        <f>Input!M100</f>
        <v>2.1302304373178781E-2</v>
      </c>
      <c r="M80" s="25">
        <f>Input!N100</f>
        <v>2.1302304373178781E-2</v>
      </c>
      <c r="N80" s="25">
        <f>Input!O100</f>
        <v>2.1302304373178781E-2</v>
      </c>
      <c r="O80" s="25">
        <f>Input!P100</f>
        <v>2.1302304373178781E-2</v>
      </c>
      <c r="P80" s="25">
        <f>Input!Q100</f>
        <v>2.1302304373178781E-2</v>
      </c>
      <c r="Q80" s="25">
        <f>Input!R100</f>
        <v>2.1302304373178781E-2</v>
      </c>
      <c r="R80" s="25">
        <f>Input!S100</f>
        <v>2.1302304373178781E-2</v>
      </c>
      <c r="S80" s="25">
        <f>Input!T100</f>
        <v>2.1302304373178781E-2</v>
      </c>
      <c r="T80" s="25">
        <f>Input!U100</f>
        <v>2.1302304373178781E-2</v>
      </c>
      <c r="U80" s="25">
        <f>Input!V100</f>
        <v>2.1302304373178781E-2</v>
      </c>
      <c r="V80" s="25">
        <f>Input!W100</f>
        <v>2.1302304373178781E-2</v>
      </c>
    </row>
    <row r="81" spans="2:22">
      <c r="B81" s="407" t="s">
        <v>492</v>
      </c>
      <c r="G81"/>
      <c r="J81" s="20">
        <f>J43</f>
        <v>41.467075682422298</v>
      </c>
      <c r="K81" s="20">
        <f t="shared" ref="K81:V81" si="30">K43</f>
        <v>41.467075682422298</v>
      </c>
      <c r="L81" s="20">
        <f t="shared" si="30"/>
        <v>42.467075682422298</v>
      </c>
      <c r="M81" s="20">
        <f t="shared" si="30"/>
        <v>42.467075682422298</v>
      </c>
      <c r="N81" s="20">
        <f t="shared" si="30"/>
        <v>42.467075682422298</v>
      </c>
      <c r="O81" s="20">
        <f t="shared" si="30"/>
        <v>43.467075682422298</v>
      </c>
      <c r="P81" s="20">
        <f t="shared" si="30"/>
        <v>43.467075682422298</v>
      </c>
      <c r="Q81" s="20">
        <f t="shared" si="30"/>
        <v>43.467075682422298</v>
      </c>
      <c r="R81" s="20">
        <f t="shared" si="30"/>
        <v>44.467075682422298</v>
      </c>
      <c r="S81" s="20">
        <f t="shared" si="30"/>
        <v>44.467075682422298</v>
      </c>
      <c r="T81" s="20">
        <f t="shared" si="30"/>
        <v>44.467075682422298</v>
      </c>
      <c r="U81" s="20">
        <f t="shared" si="30"/>
        <v>44.467075682422298</v>
      </c>
      <c r="V81" s="20">
        <f t="shared" si="30"/>
        <v>44.467075682422298</v>
      </c>
    </row>
    <row r="82" spans="2:22">
      <c r="B82" t="s">
        <v>479</v>
      </c>
      <c r="G82" s="17" t="s">
        <v>315</v>
      </c>
    </row>
    <row r="83" spans="2:22">
      <c r="B83" s="28" t="s">
        <v>480</v>
      </c>
      <c r="C83" s="28"/>
      <c r="D83" s="28"/>
      <c r="E83" s="28"/>
      <c r="F83" s="28"/>
      <c r="G83" s="28"/>
      <c r="H83" s="28"/>
      <c r="I83" s="28"/>
      <c r="J83" s="47">
        <f>J80*J81</f>
        <v>0.88334426765259999</v>
      </c>
      <c r="K83" s="47">
        <f t="shared" ref="K83:V83" si="31">K80*K81</f>
        <v>0.88334426765259999</v>
      </c>
      <c r="L83" s="47">
        <f t="shared" si="31"/>
        <v>0.90464657202577881</v>
      </c>
      <c r="M83" s="47">
        <f t="shared" si="31"/>
        <v>0.90464657202577881</v>
      </c>
      <c r="N83" s="47">
        <f t="shared" si="31"/>
        <v>0.90464657202577881</v>
      </c>
      <c r="O83" s="47">
        <f t="shared" si="31"/>
        <v>0.92594887639895751</v>
      </c>
      <c r="P83" s="47">
        <f t="shared" si="31"/>
        <v>0.92594887639895751</v>
      </c>
      <c r="Q83" s="47">
        <f t="shared" si="31"/>
        <v>0.92594887639895751</v>
      </c>
      <c r="R83" s="47">
        <f t="shared" si="31"/>
        <v>0.94725118077213633</v>
      </c>
      <c r="S83" s="47">
        <f t="shared" si="31"/>
        <v>0.94725118077213633</v>
      </c>
      <c r="T83" s="47">
        <f t="shared" si="31"/>
        <v>0.94725118077213633</v>
      </c>
      <c r="U83" s="47">
        <f t="shared" si="31"/>
        <v>0.94725118077213633</v>
      </c>
      <c r="V83" s="47">
        <f t="shared" si="31"/>
        <v>0.94725118077213633</v>
      </c>
    </row>
    <row r="84" spans="2:22">
      <c r="G84"/>
    </row>
    <row r="85" spans="2:22">
      <c r="B85" s="2" t="s">
        <v>493</v>
      </c>
      <c r="G85"/>
    </row>
    <row r="86" spans="2:22">
      <c r="B86" s="407" t="s">
        <v>478</v>
      </c>
      <c r="E86" s="58" t="s">
        <v>482</v>
      </c>
      <c r="F86" s="58" t="s">
        <v>483</v>
      </c>
      <c r="G86"/>
      <c r="I86" s="13">
        <v>1</v>
      </c>
      <c r="J86" s="13">
        <f>I86*(1+Input!K105)*J12</f>
        <v>1.0349999999999999</v>
      </c>
      <c r="K86" s="13">
        <f>J86*(1+Input!L105)*K12</f>
        <v>1.0712249999999999</v>
      </c>
      <c r="L86" s="13">
        <f>K86*(1+Input!M105)*L12</f>
        <v>1.1087178749999997</v>
      </c>
      <c r="M86" s="13">
        <f>L86*(1+Input!N105)*M12</f>
        <v>1.1475230006249997</v>
      </c>
      <c r="N86" s="13">
        <f>M86*(1+Input!O105)*N12</f>
        <v>1.1876863056468745</v>
      </c>
      <c r="O86" s="13">
        <f>N86*(1+Input!P105)*O12</f>
        <v>1.229255326344515</v>
      </c>
      <c r="P86" s="13">
        <f>O86*(1+Input!Q105)*P12</f>
        <v>1.2722792627665729</v>
      </c>
      <c r="Q86" s="13">
        <f>P86*(1+Input!R105)*Q12</f>
        <v>1.3168090369634029</v>
      </c>
      <c r="R86" s="13">
        <f>Q86*(1+Input!S105)*R12</f>
        <v>1.3628973532571218</v>
      </c>
      <c r="S86" s="13">
        <f>R86*(1+Input!T105)*S12</f>
        <v>1.410598760621121</v>
      </c>
      <c r="T86" s="13">
        <f>S86*(1+Input!U105)*T12</f>
        <v>1.4599697172428601</v>
      </c>
      <c r="U86" s="13">
        <f>T86*(1+Input!V105)*U12</f>
        <v>1.5110686573463601</v>
      </c>
      <c r="V86" s="13">
        <f>U86*(1+Input!W105)*V12</f>
        <v>1.5639560603534826</v>
      </c>
    </row>
    <row r="87" spans="2:22">
      <c r="B87" s="407" t="s">
        <v>484</v>
      </c>
      <c r="E87" s="19">
        <v>3579865.8499999996</v>
      </c>
      <c r="F87" s="19">
        <f>F88/E87*Billion</f>
        <v>180.19110967524105</v>
      </c>
      <c r="G87" s="17" t="s">
        <v>485</v>
      </c>
      <c r="J87">
        <f t="shared" ref="J87:V87" si="32">$F87*J86</f>
        <v>186.49779851387447</v>
      </c>
      <c r="K87">
        <f t="shared" si="32"/>
        <v>193.02522146186007</v>
      </c>
      <c r="L87">
        <f t="shared" si="32"/>
        <v>199.78110421302515</v>
      </c>
      <c r="M87">
        <f t="shared" si="32"/>
        <v>206.77344286048103</v>
      </c>
      <c r="N87">
        <f t="shared" si="32"/>
        <v>214.01051336059783</v>
      </c>
      <c r="O87">
        <f t="shared" si="32"/>
        <v>221.50088132821872</v>
      </c>
      <c r="P87">
        <f t="shared" si="32"/>
        <v>229.25341217470637</v>
      </c>
      <c r="Q87">
        <f t="shared" si="32"/>
        <v>237.27728160082108</v>
      </c>
      <c r="R87">
        <f t="shared" si="32"/>
        <v>245.58198645684979</v>
      </c>
      <c r="S87">
        <f t="shared" si="32"/>
        <v>254.17735598283952</v>
      </c>
      <c r="T87">
        <f t="shared" si="32"/>
        <v>263.07356344223888</v>
      </c>
      <c r="U87">
        <f t="shared" si="32"/>
        <v>272.28113816271718</v>
      </c>
      <c r="V87">
        <f t="shared" si="32"/>
        <v>281.81097799841228</v>
      </c>
    </row>
    <row r="88" spans="2:22">
      <c r="B88" s="407" t="s">
        <v>486</v>
      </c>
      <c r="F88" s="19">
        <v>0.64505999999999997</v>
      </c>
      <c r="G88" s="17" t="s">
        <v>315</v>
      </c>
    </row>
    <row r="89" spans="2:22">
      <c r="B89" s="28" t="s">
        <v>480</v>
      </c>
      <c r="C89" s="28"/>
      <c r="D89" s="28"/>
      <c r="E89" s="28"/>
      <c r="F89" s="28"/>
      <c r="G89" s="28"/>
      <c r="H89" s="28"/>
      <c r="I89" s="28"/>
      <c r="J89" s="47">
        <f>J87*J$37/Billion</f>
        <v>0.68374294282992176</v>
      </c>
      <c r="K89" s="47">
        <f t="shared" ref="K89:V89" si="33">K87*K$37/Billion</f>
        <v>0.72890416420383808</v>
      </c>
      <c r="L89" s="47">
        <f t="shared" si="33"/>
        <v>0.77704828424950145</v>
      </c>
      <c r="M89" s="47">
        <f t="shared" si="33"/>
        <v>0.8283723234241811</v>
      </c>
      <c r="N89" s="47">
        <f t="shared" si="33"/>
        <v>0.8830863153863483</v>
      </c>
      <c r="O89" s="47">
        <f t="shared" si="33"/>
        <v>1.1629150478458352</v>
      </c>
      <c r="P89" s="47">
        <f t="shared" si="33"/>
        <v>1.3474746904781647</v>
      </c>
      <c r="Q89" s="47">
        <f t="shared" si="33"/>
        <v>1.7105306540331957</v>
      </c>
      <c r="R89" s="47">
        <f t="shared" si="33"/>
        <v>1.6317116723092882</v>
      </c>
      <c r="S89" s="47">
        <f t="shared" si="33"/>
        <v>1.9784129428891859</v>
      </c>
      <c r="T89" s="47">
        <f t="shared" si="33"/>
        <v>2.0854104970572149</v>
      </c>
      <c r="U89" s="47">
        <f t="shared" si="33"/>
        <v>1.3818031434650473</v>
      </c>
      <c r="V89" s="47">
        <f t="shared" si="33"/>
        <v>2.3185041750861508</v>
      </c>
    </row>
    <row r="90" spans="2:22">
      <c r="G90"/>
    </row>
    <row r="91" spans="2:22">
      <c r="B91" s="2" t="s">
        <v>494</v>
      </c>
      <c r="G91"/>
    </row>
    <row r="92" spans="2:22">
      <c r="B92" s="407" t="s">
        <v>478</v>
      </c>
      <c r="E92" s="58" t="s">
        <v>482</v>
      </c>
      <c r="F92" s="58" t="s">
        <v>483</v>
      </c>
      <c r="G92"/>
      <c r="I92" s="13">
        <v>1</v>
      </c>
      <c r="J92" s="13">
        <f>I92*(1+Input!K110)*J12</f>
        <v>1.03</v>
      </c>
      <c r="K92" s="13">
        <f>J92*(1+Input!L110)*K12</f>
        <v>1.0609</v>
      </c>
      <c r="L92" s="13">
        <f>K92*(1+Input!M110)*L12</f>
        <v>1.092727</v>
      </c>
      <c r="M92" s="13">
        <f>L92*(1+Input!N110)*M12</f>
        <v>1.1255088100000001</v>
      </c>
      <c r="N92" s="13">
        <f>M92*(1+Input!O110)*N12</f>
        <v>1.1592740743000001</v>
      </c>
      <c r="O92" s="13">
        <f>N92*(1+Input!P110)*O12</f>
        <v>1.1940522965290001</v>
      </c>
      <c r="P92" s="13">
        <f>O92*(1+Input!Q110)*P12</f>
        <v>1.2298738654248702</v>
      </c>
      <c r="Q92" s="13">
        <f>P92*(1+Input!R110)*Q12</f>
        <v>1.2667700813876164</v>
      </c>
      <c r="R92" s="13">
        <f>Q92*(1+Input!S110)*R12</f>
        <v>1.3047731838292449</v>
      </c>
      <c r="S92" s="13">
        <f>R92*(1+Input!T110)*S12</f>
        <v>1.3439163793441222</v>
      </c>
      <c r="T92" s="13">
        <f>S92*(1+Input!U110)*T12</f>
        <v>1.3842338707244459</v>
      </c>
      <c r="U92" s="13">
        <f>T92*(1+Input!V110)*U12</f>
        <v>1.4257608868461793</v>
      </c>
      <c r="V92" s="13">
        <f>U92*(1+Input!W110)*V12</f>
        <v>1.4685337134515648</v>
      </c>
    </row>
    <row r="93" spans="2:22">
      <c r="B93" s="407" t="s">
        <v>484</v>
      </c>
      <c r="E93" s="19">
        <v>3579865.8499999996</v>
      </c>
      <c r="F93" s="19">
        <f>F94/E93*Billion</f>
        <v>66.750237914753157</v>
      </c>
      <c r="G93" s="17" t="s">
        <v>485</v>
      </c>
      <c r="J93">
        <f t="shared" ref="J93:V93" si="34">$F93*J92</f>
        <v>68.752745052195749</v>
      </c>
      <c r="K93">
        <f t="shared" si="34"/>
        <v>70.815327403761614</v>
      </c>
      <c r="L93">
        <f t="shared" si="34"/>
        <v>72.939787225874468</v>
      </c>
      <c r="M93">
        <f t="shared" si="34"/>
        <v>75.127980842650715</v>
      </c>
      <c r="N93">
        <f t="shared" si="34"/>
        <v>77.381820267930237</v>
      </c>
      <c r="O93">
        <f t="shared" si="34"/>
        <v>79.703274875968148</v>
      </c>
      <c r="P93">
        <f t="shared" si="34"/>
        <v>82.094373122247191</v>
      </c>
      <c r="Q93">
        <f t="shared" si="34"/>
        <v>84.557204315914618</v>
      </c>
      <c r="R93">
        <f t="shared" si="34"/>
        <v>87.093920445392058</v>
      </c>
      <c r="S93">
        <f t="shared" si="34"/>
        <v>89.706738058753814</v>
      </c>
      <c r="T93">
        <f t="shared" si="34"/>
        <v>92.39794020051643</v>
      </c>
      <c r="U93">
        <f t="shared" si="34"/>
        <v>95.169878406531922</v>
      </c>
      <c r="V93">
        <f t="shared" si="34"/>
        <v>98.024974758727893</v>
      </c>
    </row>
    <row r="94" spans="2:22">
      <c r="B94" s="407" t="s">
        <v>486</v>
      </c>
      <c r="F94" s="19">
        <v>0.2389568971904</v>
      </c>
      <c r="G94" s="17" t="s">
        <v>315</v>
      </c>
    </row>
    <row r="95" spans="2:22">
      <c r="B95" s="28" t="s">
        <v>480</v>
      </c>
      <c r="C95" s="28"/>
      <c r="D95" s="28"/>
      <c r="E95" s="28"/>
      <c r="F95" s="28"/>
      <c r="G95" s="28"/>
      <c r="H95" s="28"/>
      <c r="I95" s="28"/>
      <c r="J95" s="47">
        <f>J93*J$37/Billion</f>
        <v>0.25206305170474397</v>
      </c>
      <c r="K95" s="47">
        <f t="shared" ref="K95:V95" si="35">K93*K$37/Billion</f>
        <v>0.26741369155356287</v>
      </c>
      <c r="L95" s="47">
        <f t="shared" si="35"/>
        <v>0.28369918536917482</v>
      </c>
      <c r="M95" s="47">
        <f t="shared" si="35"/>
        <v>0.30097646575815767</v>
      </c>
      <c r="N95" s="47">
        <f t="shared" si="35"/>
        <v>0.31930593252282952</v>
      </c>
      <c r="O95" s="47">
        <f t="shared" si="35"/>
        <v>0.41845493868943801</v>
      </c>
      <c r="P95" s="47">
        <f t="shared" si="35"/>
        <v>0.48252319982308095</v>
      </c>
      <c r="Q95" s="47">
        <f t="shared" si="35"/>
        <v>0.60957243367718805</v>
      </c>
      <c r="R95" s="47">
        <f t="shared" si="35"/>
        <v>0.57867504302027761</v>
      </c>
      <c r="S95" s="47">
        <f t="shared" si="35"/>
        <v>0.69824068691544117</v>
      </c>
      <c r="T95" s="47">
        <f t="shared" si="35"/>
        <v>0.73244773013054487</v>
      </c>
      <c r="U95" s="47">
        <f t="shared" si="35"/>
        <v>0.48297887261931149</v>
      </c>
      <c r="V95" s="47">
        <f t="shared" si="35"/>
        <v>0.80646721023801127</v>
      </c>
    </row>
    <row r="96" spans="2:22">
      <c r="G96"/>
    </row>
    <row r="97" spans="2:22" ht="15.75">
      <c r="B97" s="15" t="s">
        <v>495</v>
      </c>
      <c r="G97"/>
    </row>
    <row r="98" spans="2:22">
      <c r="B98" t="s">
        <v>496</v>
      </c>
      <c r="G98"/>
      <c r="I98" s="23">
        <v>1</v>
      </c>
      <c r="J98" s="23">
        <f>I98*(1+Input!K134)*J$12</f>
        <v>1.03</v>
      </c>
      <c r="K98" s="1">
        <f>J98*(1+Input!L134)*K$12</f>
        <v>1.0609</v>
      </c>
      <c r="L98" s="1">
        <f>K98*(1+Input!M134)*L$12</f>
        <v>1.092727</v>
      </c>
      <c r="M98" s="1">
        <f>L98*(1+Input!N134)*M$12</f>
        <v>1.1255088100000001</v>
      </c>
      <c r="N98" s="1">
        <f>M98*(1+Input!O134)*N$12</f>
        <v>1.1592740743000001</v>
      </c>
      <c r="O98" s="1">
        <f>N98*(1+Input!P134)*O$12</f>
        <v>1.1940522965290001</v>
      </c>
      <c r="P98" s="1">
        <f>O98*(1+Input!Q134)*P$12</f>
        <v>1.2298738654248702</v>
      </c>
      <c r="Q98" s="1">
        <f>P98*(1+Input!R134)*Q$12</f>
        <v>1.2667700813876164</v>
      </c>
      <c r="R98" s="1">
        <f>Q98*(1+Input!S134)*R$12</f>
        <v>1.3047731838292449</v>
      </c>
      <c r="S98" s="1">
        <f>R98*(1+Input!T134)*S$12</f>
        <v>1.3439163793441222</v>
      </c>
      <c r="T98" s="1">
        <f>S98*(1+Input!U134)*T$12</f>
        <v>1.3842338707244459</v>
      </c>
      <c r="U98" s="1">
        <f>T98*(1+Input!V134)*U$12</f>
        <v>1.4257608868461793</v>
      </c>
      <c r="V98" s="1">
        <f>U98*(1+Input!W134)*V$12</f>
        <v>1.4685337134515648</v>
      </c>
    </row>
    <row r="99" spans="2:22">
      <c r="B99" t="s">
        <v>497</v>
      </c>
      <c r="G99"/>
      <c r="I99" s="23">
        <v>1</v>
      </c>
      <c r="J99" s="23">
        <f>I99*(1+Input!K135)*J$12</f>
        <v>1.03</v>
      </c>
      <c r="K99" s="1">
        <f>J99*(1+Input!L135)*K$12</f>
        <v>1.0609</v>
      </c>
      <c r="L99" s="1">
        <f>K99*(1+Input!M135)*L$12</f>
        <v>1.092727</v>
      </c>
      <c r="M99" s="1">
        <f>L99*(1+Input!N135)*M$12</f>
        <v>1.1255088100000001</v>
      </c>
      <c r="N99" s="1">
        <f>M99*(1+Input!O135)*N$12</f>
        <v>1.1592740743000001</v>
      </c>
      <c r="O99" s="1">
        <f>N99*(1+Input!P135)*O$12</f>
        <v>1.1940522965290001</v>
      </c>
      <c r="P99" s="1">
        <f>O99*(1+Input!Q135)*P$12</f>
        <v>1.2298738654248702</v>
      </c>
      <c r="Q99" s="1">
        <f>P99*(1+Input!R135)*Q$12</f>
        <v>1.2667700813876164</v>
      </c>
      <c r="R99" s="1">
        <f>Q99*(1+Input!S135)*R$12</f>
        <v>1.3047731838292449</v>
      </c>
      <c r="S99" s="1">
        <f>R99*(1+Input!T135)*S$12</f>
        <v>1.3439163793441222</v>
      </c>
      <c r="T99" s="1">
        <f>S99*(1+Input!U135)*T$12</f>
        <v>1.3842338707244459</v>
      </c>
      <c r="U99" s="1">
        <f>T99*(1+Input!V135)*U$12</f>
        <v>1.4257608868461793</v>
      </c>
      <c r="V99" s="1">
        <f>U99*(1+Input!W135)*V$12</f>
        <v>1.4685337134515648</v>
      </c>
    </row>
    <row r="100" spans="2:22">
      <c r="B100" t="s">
        <v>498</v>
      </c>
      <c r="G100"/>
      <c r="I100" s="23">
        <v>1</v>
      </c>
      <c r="J100" s="23">
        <f>I100*(1+Input!K144)*J$12</f>
        <v>1.03</v>
      </c>
      <c r="K100" s="1">
        <f>J100*(1+Input!L144)*K$12</f>
        <v>1.0609</v>
      </c>
      <c r="L100" s="1">
        <f>K100*(1+Input!M144)*L$12</f>
        <v>1.092727</v>
      </c>
      <c r="M100" s="1">
        <f>L100*(1+Input!N144)*M$12</f>
        <v>1.1255088100000001</v>
      </c>
      <c r="N100" s="1">
        <f>M100*(1+Input!O144)*N$12</f>
        <v>1.1592740743000001</v>
      </c>
      <c r="O100" s="1">
        <f>N100*(1+Input!P144)*O$12</f>
        <v>1.1940522965290001</v>
      </c>
      <c r="P100" s="1">
        <f>O100*(1+Input!Q144)*P$12</f>
        <v>1.2298738654248702</v>
      </c>
      <c r="Q100" s="1">
        <f>P100*(1+Input!R144)*Q$12</f>
        <v>1.2667700813876164</v>
      </c>
      <c r="R100" s="1">
        <f>Q100*(1+Input!S144)*R$12</f>
        <v>1.3047731838292449</v>
      </c>
      <c r="S100" s="1">
        <f>R100*(1+Input!T144)*S$12</f>
        <v>1.3439163793441222</v>
      </c>
      <c r="T100" s="1">
        <f>S100*(1+Input!U144)*T$12</f>
        <v>1.3842338707244459</v>
      </c>
      <c r="U100" s="1">
        <f>T100*(1+Input!V144)*U$12</f>
        <v>1.4257608868461793</v>
      </c>
      <c r="V100" s="1">
        <f>U100*(1+Input!W144)*V$12</f>
        <v>1.4685337134515648</v>
      </c>
    </row>
    <row r="101" spans="2:22">
      <c r="B101" t="s">
        <v>499</v>
      </c>
      <c r="G101"/>
      <c r="I101" s="23">
        <v>1</v>
      </c>
      <c r="J101" s="23">
        <f>I101*(1+Input!K150)*J$12</f>
        <v>1.03</v>
      </c>
      <c r="K101" s="1">
        <f>J101*(1+Input!L150)*K$12</f>
        <v>1.0609</v>
      </c>
      <c r="L101" s="1">
        <f>K101*(1+Input!M150)*L$12</f>
        <v>1.092727</v>
      </c>
      <c r="M101" s="1">
        <f>L101*(1+Input!N150)*M$12</f>
        <v>1.1255088100000001</v>
      </c>
      <c r="N101" s="1">
        <f>M101*(1+Input!O150)*N$12</f>
        <v>1.1592740743000001</v>
      </c>
      <c r="O101" s="1">
        <f>N101*(1+Input!P150)*O$12</f>
        <v>1.1940522965290001</v>
      </c>
      <c r="P101" s="1">
        <f>O101*(1+Input!Q150)*P$12</f>
        <v>1.2298738654248702</v>
      </c>
      <c r="Q101" s="1">
        <f>P101*(1+Input!R150)*Q$12</f>
        <v>1.2667700813876164</v>
      </c>
      <c r="R101" s="1">
        <f>Q101*(1+Input!S150)*R$12</f>
        <v>1.3047731838292449</v>
      </c>
      <c r="S101" s="1">
        <f>R101*(1+Input!T150)*S$12</f>
        <v>1.3439163793441222</v>
      </c>
      <c r="T101" s="1">
        <f>S101*(1+Input!U150)*T$12</f>
        <v>1.3842338707244459</v>
      </c>
      <c r="U101" s="1">
        <f>T101*(1+Input!V150)*U$12</f>
        <v>1.4257608868461793</v>
      </c>
      <c r="V101" s="1">
        <f>U101*(1+Input!W150)*V$12</f>
        <v>1.4685337134515648</v>
      </c>
    </row>
    <row r="102" spans="2:22">
      <c r="B102" t="s">
        <v>500</v>
      </c>
      <c r="G102"/>
      <c r="I102" s="23">
        <v>1</v>
      </c>
      <c r="J102" s="23">
        <f>I102*(1+Input!K155)*J$12</f>
        <v>1.02</v>
      </c>
      <c r="K102" s="1">
        <f>J102*(1+Input!L155)*K$12</f>
        <v>1.0404</v>
      </c>
      <c r="L102" s="1">
        <f>K102*(1+Input!M155)*L$12</f>
        <v>1.0612079999999999</v>
      </c>
      <c r="M102" s="1">
        <f>L102*(1+Input!N155)*M$12</f>
        <v>1.08243216</v>
      </c>
      <c r="N102" s="1">
        <f>M102*(1+Input!O155)*N$12</f>
        <v>1.1040808032</v>
      </c>
      <c r="O102" s="1">
        <f>N102*(1+Input!P155)*O$12</f>
        <v>1.1261624192640001</v>
      </c>
      <c r="P102" s="1">
        <f>O102*(1+Input!Q155)*P$12</f>
        <v>1.14868566764928</v>
      </c>
      <c r="Q102" s="1">
        <f>P102*(1+Input!R155)*Q$12</f>
        <v>1.1716593810022657</v>
      </c>
      <c r="R102" s="1">
        <f>Q102*(1+Input!S155)*R$12</f>
        <v>1.1950925686223111</v>
      </c>
      <c r="S102" s="1">
        <f>R102*(1+Input!T155)*S$12</f>
        <v>1.2189944199947573</v>
      </c>
      <c r="T102" s="1">
        <f>S102*(1+Input!U155)*T$12</f>
        <v>1.2433743083946525</v>
      </c>
      <c r="U102" s="1">
        <f>T102*(1+Input!V155)*U$12</f>
        <v>1.2682417945625455</v>
      </c>
      <c r="V102" s="1">
        <f>U102*(1+Input!W155)*V$12</f>
        <v>1.2936066304537963</v>
      </c>
    </row>
    <row r="103" spans="2:22">
      <c r="B103" t="s">
        <v>501</v>
      </c>
      <c r="G103"/>
      <c r="I103" s="23">
        <v>1</v>
      </c>
      <c r="J103" s="23">
        <f>I103*(1+Input!K160)*J$12</f>
        <v>1.03</v>
      </c>
      <c r="K103" s="1">
        <f>J103*(1+Input!L160)*K$12</f>
        <v>1.0609</v>
      </c>
      <c r="L103" s="1">
        <f>K103*(1+Input!M160)*L$12</f>
        <v>1.092727</v>
      </c>
      <c r="M103" s="1">
        <f>L103*(1+Input!N160)*M$12</f>
        <v>1.1255088100000001</v>
      </c>
      <c r="N103" s="1">
        <f>M103*(1+Input!O160)*N$12</f>
        <v>1.1592740743000001</v>
      </c>
      <c r="O103" s="1">
        <f>N103*(1+Input!P160)*O$12</f>
        <v>1.1940522965290001</v>
      </c>
      <c r="P103" s="1">
        <f>O103*(1+Input!Q160)*P$12</f>
        <v>1.2298738654248702</v>
      </c>
      <c r="Q103" s="1">
        <f>P103*(1+Input!R160)*Q$12</f>
        <v>1.2667700813876164</v>
      </c>
      <c r="R103" s="1">
        <f>Q103*(1+Input!S160)*R$12</f>
        <v>1.3047731838292449</v>
      </c>
      <c r="S103" s="1">
        <f>R103*(1+Input!T160)*S$12</f>
        <v>1.3439163793441222</v>
      </c>
      <c r="T103" s="1">
        <f>S103*(1+Input!U160)*T$12</f>
        <v>1.3842338707244459</v>
      </c>
      <c r="U103" s="1">
        <f>T103*(1+Input!V160)*U$12</f>
        <v>1.4257608868461793</v>
      </c>
      <c r="V103" s="1">
        <f>U103*(1+Input!W160)*V$12</f>
        <v>1.4685337134515648</v>
      </c>
    </row>
    <row r="104" spans="2:22">
      <c r="B104" t="s">
        <v>502</v>
      </c>
      <c r="G104"/>
      <c r="I104" s="23">
        <v>1</v>
      </c>
      <c r="J104" s="23">
        <f>I104*(1+Input!K165)*J$12</f>
        <v>1.02</v>
      </c>
      <c r="K104" s="1">
        <f>J104*(1+Input!L165)*K$12</f>
        <v>1.0404</v>
      </c>
      <c r="L104" s="1">
        <f>K104*(1+Input!M165)*L$12</f>
        <v>1.0612079999999999</v>
      </c>
      <c r="M104" s="1">
        <f>L104*(1+Input!N165)*M$12</f>
        <v>1.08243216</v>
      </c>
      <c r="N104" s="1">
        <f>M104*(1+Input!O165)*N$12</f>
        <v>1.1040808032</v>
      </c>
      <c r="O104" s="1">
        <f>N104*(1+Input!P165)*O$12</f>
        <v>1.1261624192640001</v>
      </c>
      <c r="P104" s="1">
        <f>O104*(1+Input!Q165)*P$12</f>
        <v>1.14868566764928</v>
      </c>
      <c r="Q104" s="1">
        <f>P104*(1+Input!R165)*Q$12</f>
        <v>1.1716593810022657</v>
      </c>
      <c r="R104" s="1">
        <f>Q104*(1+Input!S165)*R$12</f>
        <v>1.1950925686223111</v>
      </c>
      <c r="S104" s="1">
        <f>R104*(1+Input!T165)*S$12</f>
        <v>1.2189944199947573</v>
      </c>
      <c r="T104" s="1">
        <f>S104*(1+Input!U165)*T$12</f>
        <v>1.2433743083946525</v>
      </c>
      <c r="U104" s="1">
        <f>T104*(1+Input!V165)*U$12</f>
        <v>1.2682417945625455</v>
      </c>
      <c r="V104" s="1">
        <f>U104*(1+Input!W165)*V$12</f>
        <v>1.2936066304537963</v>
      </c>
    </row>
    <row r="105" spans="2:22">
      <c r="B105" t="s">
        <v>503</v>
      </c>
      <c r="G105"/>
      <c r="I105" s="23">
        <v>1</v>
      </c>
      <c r="J105" s="23">
        <f>I105*(1+Input!K170)*J$12</f>
        <v>1.02</v>
      </c>
      <c r="K105" s="1">
        <f>J105*(1+Input!L170)*K$12</f>
        <v>1.0404</v>
      </c>
      <c r="L105" s="1">
        <f>K105*(1+Input!M170)*L$12</f>
        <v>1.0612079999999999</v>
      </c>
      <c r="M105" s="1">
        <f>L105*(1+Input!N170)*M$12</f>
        <v>1.08243216</v>
      </c>
      <c r="N105" s="1">
        <f>M105*(1+Input!O170)*N$12</f>
        <v>1.1040808032</v>
      </c>
      <c r="O105" s="1">
        <f>N105*(1+Input!P170)*O$12</f>
        <v>1.1261624192640001</v>
      </c>
      <c r="P105" s="1">
        <f>O105*(1+Input!Q170)*P$12</f>
        <v>1.14868566764928</v>
      </c>
      <c r="Q105" s="1">
        <f>P105*(1+Input!R170)*Q$12</f>
        <v>1.1716593810022657</v>
      </c>
      <c r="R105" s="1">
        <f>Q105*(1+Input!S170)*R$12</f>
        <v>1.1950925686223111</v>
      </c>
      <c r="S105" s="1">
        <f>R105*(1+Input!T170)*S$12</f>
        <v>1.2189944199947573</v>
      </c>
      <c r="T105" s="1">
        <f>S105*(1+Input!U170)*T$12</f>
        <v>1.2433743083946525</v>
      </c>
      <c r="U105" s="1">
        <f>T105*(1+Input!V170)*U$12</f>
        <v>1.2682417945625455</v>
      </c>
      <c r="V105" s="1">
        <f>U105*(1+Input!W170)*V$12</f>
        <v>1.2936066304537963</v>
      </c>
    </row>
    <row r="106" spans="2:22">
      <c r="B106" t="s">
        <v>504</v>
      </c>
      <c r="G106"/>
      <c r="I106" s="23">
        <v>1</v>
      </c>
      <c r="J106" s="23">
        <f>I106*(1+Input!K175)*J$12</f>
        <v>1.02</v>
      </c>
      <c r="K106" s="1">
        <f>J106*(1+Input!L175)*K$12</f>
        <v>1.0404</v>
      </c>
      <c r="L106" s="1">
        <f>K106*(1+Input!M175)*L$12</f>
        <v>1.0612079999999999</v>
      </c>
      <c r="M106" s="1">
        <f>L106*(1+Input!N175)*M$12</f>
        <v>1.08243216</v>
      </c>
      <c r="N106" s="1">
        <f>M106*(1+Input!O175)*N$12</f>
        <v>1.1040808032</v>
      </c>
      <c r="O106" s="1">
        <f>N106*(1+Input!P175)*O$12</f>
        <v>1.1261624192640001</v>
      </c>
      <c r="P106" s="1">
        <f>O106*(1+Input!Q175)*P$12</f>
        <v>1.14868566764928</v>
      </c>
      <c r="Q106" s="1">
        <f>P106*(1+Input!R175)*Q$12</f>
        <v>1.1716593810022657</v>
      </c>
      <c r="R106" s="1">
        <f>Q106*(1+Input!S175)*R$12</f>
        <v>1.1950925686223111</v>
      </c>
      <c r="S106" s="1">
        <f>R106*(1+Input!T175)*S$12</f>
        <v>1.2189944199947573</v>
      </c>
      <c r="T106" s="1">
        <f>S106*(1+Input!U175)*T$12</f>
        <v>1.2433743083946525</v>
      </c>
      <c r="U106" s="1">
        <f>T106*(1+Input!V175)*U$12</f>
        <v>1.2682417945625455</v>
      </c>
      <c r="V106" s="1">
        <f>U106*(1+Input!W175)*V$12</f>
        <v>1.2936066304537963</v>
      </c>
    </row>
    <row r="107" spans="2:22">
      <c r="B107" t="s">
        <v>505</v>
      </c>
      <c r="G107"/>
      <c r="I107" s="23">
        <v>1</v>
      </c>
      <c r="J107" s="23">
        <f>I107*(1+Input!K180)*J$12</f>
        <v>1.03</v>
      </c>
      <c r="K107" s="1">
        <f>J107*(1+Input!L180)*K$12</f>
        <v>1.0609</v>
      </c>
      <c r="L107" s="1">
        <f>K107*(1+Input!M180)*L$12</f>
        <v>1.092727</v>
      </c>
      <c r="M107" s="1">
        <f>L107*(1+Input!N180)*M$12</f>
        <v>1.1255088100000001</v>
      </c>
      <c r="N107" s="1">
        <f>M107*(1+Input!O180)*N$12</f>
        <v>1.1592740743000001</v>
      </c>
      <c r="O107" s="1">
        <f>N107*(1+Input!P180)*O$12</f>
        <v>1.1940522965290001</v>
      </c>
      <c r="P107" s="1">
        <f>O107*(1+Input!Q180)*P$12</f>
        <v>1.2298738654248702</v>
      </c>
      <c r="Q107" s="1">
        <f>P107*(1+Input!R180)*Q$12</f>
        <v>1.2667700813876164</v>
      </c>
      <c r="R107" s="1">
        <f>Q107*(1+Input!S180)*R$12</f>
        <v>1.3047731838292449</v>
      </c>
      <c r="S107" s="1">
        <f>R107*(1+Input!T180)*S$12</f>
        <v>1.3439163793441222</v>
      </c>
      <c r="T107" s="1">
        <f>S107*(1+Input!U180)*T$12</f>
        <v>1.3842338707244459</v>
      </c>
      <c r="U107" s="1">
        <f>T107*(1+Input!V180)*U$12</f>
        <v>1.4257608868461793</v>
      </c>
      <c r="V107" s="1">
        <f>U107*(1+Input!W180)*V$12</f>
        <v>1.4685337134515648</v>
      </c>
    </row>
    <row r="108" spans="2:22">
      <c r="B108" t="s">
        <v>506</v>
      </c>
      <c r="G108"/>
      <c r="I108" s="23">
        <v>1</v>
      </c>
      <c r="J108" s="23">
        <f>I108*(1+Input!K185)*J$12</f>
        <v>1.03</v>
      </c>
      <c r="K108" s="1">
        <f>J108*(1+Input!L185)*K$12</f>
        <v>1.0609</v>
      </c>
      <c r="L108" s="1">
        <f>K108*(1+Input!M185)*L$12</f>
        <v>1.092727</v>
      </c>
      <c r="M108" s="1">
        <f>L108*(1+Input!N185)*M$12</f>
        <v>1.1255088100000001</v>
      </c>
      <c r="N108" s="1">
        <f>M108*(1+Input!O185)*N$12</f>
        <v>1.1592740743000001</v>
      </c>
      <c r="O108" s="1">
        <f>N108*(1+Input!P185)*O$12</f>
        <v>1.1940522965290001</v>
      </c>
      <c r="P108" s="1">
        <f>O108*(1+Input!Q185)*P$12</f>
        <v>1.2298738654248702</v>
      </c>
      <c r="Q108" s="1">
        <f>P108*(1+Input!R185)*Q$12</f>
        <v>1.2667700813876164</v>
      </c>
      <c r="R108" s="1">
        <f>Q108*(1+Input!S185)*R$12</f>
        <v>1.3047731838292449</v>
      </c>
      <c r="S108" s="1">
        <f>R108*(1+Input!T185)*S$12</f>
        <v>1.3439163793441222</v>
      </c>
      <c r="T108" s="1">
        <f>S108*(1+Input!U185)*T$12</f>
        <v>1.3842338707244459</v>
      </c>
      <c r="U108" s="1">
        <f>T108*(1+Input!V185)*U$12</f>
        <v>1.4257608868461793</v>
      </c>
      <c r="V108" s="1">
        <f>U108*(1+Input!W185)*V$12</f>
        <v>1.4685337134515648</v>
      </c>
    </row>
    <row r="109" spans="2:22">
      <c r="B109" t="s">
        <v>507</v>
      </c>
      <c r="G109"/>
      <c r="I109" s="23">
        <v>1</v>
      </c>
      <c r="J109" s="23">
        <f>I109*(1+Input!K190)*J$12</f>
        <v>1.02</v>
      </c>
      <c r="K109" s="1">
        <f>J109*(1+Input!L190)*K$12</f>
        <v>1.0404</v>
      </c>
      <c r="L109" s="1">
        <f>K109*(1+Input!M190)*L$12</f>
        <v>1.0612079999999999</v>
      </c>
      <c r="M109" s="1">
        <f>L109*(1+Input!N190)*M$12</f>
        <v>1.08243216</v>
      </c>
      <c r="N109" s="1">
        <f>M109*(1+Input!O190)*N$12</f>
        <v>1.1040808032</v>
      </c>
      <c r="O109" s="1">
        <f>N109*(1+Input!P190)*O$12</f>
        <v>1.1261624192640001</v>
      </c>
      <c r="P109" s="1">
        <f>O109*(1+Input!Q190)*P$12</f>
        <v>1.14868566764928</v>
      </c>
      <c r="Q109" s="1">
        <f>P109*(1+Input!R190)*Q$12</f>
        <v>1.1716593810022657</v>
      </c>
      <c r="R109" s="1">
        <f>Q109*(1+Input!S190)*R$12</f>
        <v>1.1950925686223111</v>
      </c>
      <c r="S109" s="1">
        <f>R109*(1+Input!T190)*S$12</f>
        <v>1.2189944199947573</v>
      </c>
      <c r="T109" s="1">
        <f>S109*(1+Input!U190)*T$12</f>
        <v>1.2433743083946525</v>
      </c>
      <c r="U109" s="1">
        <f>T109*(1+Input!V190)*U$12</f>
        <v>1.2682417945625455</v>
      </c>
      <c r="V109" s="1">
        <f>U109*(1+Input!W190)*V$12</f>
        <v>1.2936066304537963</v>
      </c>
    </row>
    <row r="110" spans="2:22">
      <c r="G110"/>
    </row>
    <row r="111" spans="2:22" ht="15.75">
      <c r="B111" s="15" t="s">
        <v>508</v>
      </c>
      <c r="G111"/>
      <c r="J111" s="2">
        <f>SUM(J112:J123,-J119)</f>
        <v>13.993896484164592</v>
      </c>
      <c r="K111" s="2">
        <f t="shared" ref="K111:V111" si="36">SUM(K112:K123,-K119)</f>
        <v>14.400581615140439</v>
      </c>
      <c r="L111" s="2">
        <f t="shared" si="36"/>
        <v>14.819204664774587</v>
      </c>
      <c r="M111" s="2">
        <f t="shared" si="36"/>
        <v>15.250118517921356</v>
      </c>
      <c r="N111" s="2">
        <f t="shared" si="36"/>
        <v>15.693686540926596</v>
      </c>
      <c r="O111" s="2">
        <f t="shared" si="36"/>
        <v>16.150282893971351</v>
      </c>
      <c r="P111" s="2">
        <f t="shared" si="36"/>
        <v>16.620292852743781</v>
      </c>
      <c r="Q111" s="2">
        <f t="shared" si="36"/>
        <v>17.104113139718446</v>
      </c>
      <c r="R111" s="2">
        <f t="shared" si="36"/>
        <v>17.602152265330208</v>
      </c>
      <c r="S111" s="2">
        <f t="shared" si="36"/>
        <v>18.114830879338729</v>
      </c>
      <c r="T111" s="2">
        <f t="shared" si="36"/>
        <v>18.642582132688467</v>
      </c>
      <c r="U111" s="2">
        <f t="shared" si="36"/>
        <v>19.185852050178095</v>
      </c>
      <c r="V111" s="2">
        <f t="shared" si="36"/>
        <v>19.7450999142626</v>
      </c>
    </row>
    <row r="112" spans="2:22">
      <c r="B112" t="s">
        <v>496</v>
      </c>
      <c r="F112" s="291">
        <f>Input!J119</f>
        <v>6.6470018864449507</v>
      </c>
      <c r="G112"/>
      <c r="J112" s="88">
        <f>$F112*J98</f>
        <v>6.8464119430382997</v>
      </c>
      <c r="K112" s="22">
        <f t="shared" ref="K112:V112" si="37">$F112*K98</f>
        <v>7.0518043013294482</v>
      </c>
      <c r="L112" s="22">
        <f t="shared" si="37"/>
        <v>7.2633584303693315</v>
      </c>
      <c r="M112" s="22">
        <f t="shared" si="37"/>
        <v>7.4812591832804127</v>
      </c>
      <c r="N112" s="22">
        <f t="shared" si="37"/>
        <v>7.705696958778824</v>
      </c>
      <c r="O112" s="22">
        <f t="shared" si="37"/>
        <v>7.9368678675421895</v>
      </c>
      <c r="P112" s="22">
        <f t="shared" si="37"/>
        <v>8.1749739035684552</v>
      </c>
      <c r="Q112" s="22">
        <f t="shared" si="37"/>
        <v>8.4202231206755105</v>
      </c>
      <c r="R112" s="22">
        <f t="shared" si="37"/>
        <v>8.6728298142957758</v>
      </c>
      <c r="S112" s="22">
        <f t="shared" si="37"/>
        <v>8.9330147087246488</v>
      </c>
      <c r="T112" s="22">
        <f t="shared" si="37"/>
        <v>9.2010051499863881</v>
      </c>
      <c r="U112" s="22">
        <f t="shared" si="37"/>
        <v>9.4770353044859803</v>
      </c>
      <c r="V112" s="22">
        <f t="shared" si="37"/>
        <v>9.7613463636205591</v>
      </c>
    </row>
    <row r="113" spans="2:22">
      <c r="B113" t="s">
        <v>497</v>
      </c>
      <c r="F113" s="72">
        <f>Input!J120</f>
        <v>2.5572850199250001</v>
      </c>
      <c r="G113"/>
      <c r="J113" s="22">
        <f t="shared" ref="J113:V123" si="38">$F113*J99</f>
        <v>2.6340035705227502</v>
      </c>
      <c r="K113" s="22">
        <f t="shared" si="38"/>
        <v>2.7130236776384327</v>
      </c>
      <c r="L113" s="22">
        <f t="shared" si="38"/>
        <v>2.7944143879675858</v>
      </c>
      <c r="M113" s="22">
        <f t="shared" si="38"/>
        <v>2.8782468196066135</v>
      </c>
      <c r="N113" s="22">
        <f t="shared" si="38"/>
        <v>2.9645942241948116</v>
      </c>
      <c r="O113" s="22">
        <f t="shared" si="38"/>
        <v>3.0535320509206563</v>
      </c>
      <c r="P113" s="22">
        <f t="shared" si="38"/>
        <v>3.145138012448276</v>
      </c>
      <c r="Q113" s="22">
        <f t="shared" si="38"/>
        <v>3.2394921528217244</v>
      </c>
      <c r="R113" s="22">
        <f t="shared" si="38"/>
        <v>3.3366769174063764</v>
      </c>
      <c r="S113" s="22">
        <f t="shared" si="38"/>
        <v>3.4367772249285675</v>
      </c>
      <c r="T113" s="22">
        <f t="shared" si="38"/>
        <v>3.5398805416764247</v>
      </c>
      <c r="U113" s="22">
        <f t="shared" si="38"/>
        <v>3.6460769579267174</v>
      </c>
      <c r="V113" s="22">
        <f t="shared" si="38"/>
        <v>3.7554592666645195</v>
      </c>
    </row>
    <row r="114" spans="2:22">
      <c r="B114" t="s">
        <v>498</v>
      </c>
      <c r="F114" s="72">
        <f>Input!J121</f>
        <v>1.04910024</v>
      </c>
      <c r="G114"/>
      <c r="J114" s="22">
        <f t="shared" si="38"/>
        <v>1.0805732472</v>
      </c>
      <c r="K114" s="22">
        <f t="shared" si="38"/>
        <v>1.1129904446159999</v>
      </c>
      <c r="L114" s="22">
        <f t="shared" si="38"/>
        <v>1.1463801579544801</v>
      </c>
      <c r="M114" s="22">
        <f t="shared" si="38"/>
        <v>1.1807715626931146</v>
      </c>
      <c r="N114" s="22">
        <f t="shared" si="38"/>
        <v>1.2161947095739079</v>
      </c>
      <c r="O114" s="22">
        <f t="shared" si="38"/>
        <v>1.2526805508611252</v>
      </c>
      <c r="P114" s="22">
        <f t="shared" si="38"/>
        <v>1.2902609673869589</v>
      </c>
      <c r="Q114" s="22">
        <f t="shared" si="38"/>
        <v>1.3289687964085679</v>
      </c>
      <c r="R114" s="22">
        <f t="shared" si="38"/>
        <v>1.3688378603008249</v>
      </c>
      <c r="S114" s="22">
        <f t="shared" si="38"/>
        <v>1.4099029961098497</v>
      </c>
      <c r="T114" s="22">
        <f t="shared" si="38"/>
        <v>1.4522000859931452</v>
      </c>
      <c r="U114" s="22">
        <f t="shared" si="38"/>
        <v>1.4957660885729396</v>
      </c>
      <c r="V114" s="22">
        <f t="shared" si="38"/>
        <v>1.5406390712301279</v>
      </c>
    </row>
    <row r="115" spans="2:22">
      <c r="B115" t="s">
        <v>499</v>
      </c>
      <c r="F115" s="72">
        <f>Input!J122</f>
        <v>0.99449180420549999</v>
      </c>
      <c r="G115"/>
      <c r="J115" s="22">
        <f t="shared" si="38"/>
        <v>1.024326558331665</v>
      </c>
      <c r="K115" s="22">
        <f t="shared" si="38"/>
        <v>1.055056355081615</v>
      </c>
      <c r="L115" s="22">
        <f t="shared" si="38"/>
        <v>1.0867080457340634</v>
      </c>
      <c r="M115" s="22">
        <f t="shared" si="38"/>
        <v>1.1193092871060855</v>
      </c>
      <c r="N115" s="22">
        <f t="shared" si="38"/>
        <v>1.152888565719268</v>
      </c>
      <c r="O115" s="22">
        <f t="shared" si="38"/>
        <v>1.187475222690846</v>
      </c>
      <c r="P115" s="22">
        <f t="shared" si="38"/>
        <v>1.2230994793715715</v>
      </c>
      <c r="Q115" s="22">
        <f t="shared" si="38"/>
        <v>1.2597924637527187</v>
      </c>
      <c r="R115" s="22">
        <f t="shared" si="38"/>
        <v>1.2975862376653002</v>
      </c>
      <c r="S115" s="22">
        <f t="shared" si="38"/>
        <v>1.3365138247952593</v>
      </c>
      <c r="T115" s="22">
        <f t="shared" si="38"/>
        <v>1.376609239539117</v>
      </c>
      <c r="U115" s="22">
        <f t="shared" si="38"/>
        <v>1.4179075167252906</v>
      </c>
      <c r="V115" s="22">
        <f t="shared" si="38"/>
        <v>1.4604447422270495</v>
      </c>
    </row>
    <row r="116" spans="2:22">
      <c r="B116" t="s">
        <v>500</v>
      </c>
      <c r="F116" s="72">
        <f>Input!J123</f>
        <v>0.78596337652004999</v>
      </c>
      <c r="G116"/>
      <c r="J116" s="22">
        <f t="shared" si="38"/>
        <v>0.80168264405045098</v>
      </c>
      <c r="K116" s="22">
        <f t="shared" si="38"/>
        <v>0.81771629693145997</v>
      </c>
      <c r="L116" s="22">
        <f t="shared" si="38"/>
        <v>0.83407062287008915</v>
      </c>
      <c r="M116" s="22">
        <f t="shared" si="38"/>
        <v>0.850752035327491</v>
      </c>
      <c r="N116" s="22">
        <f t="shared" si="38"/>
        <v>0.8677670760340408</v>
      </c>
      <c r="O116" s="22">
        <f t="shared" si="38"/>
        <v>0.88512241755472165</v>
      </c>
      <c r="P116" s="22">
        <f t="shared" si="38"/>
        <v>0.90282486590581612</v>
      </c>
      <c r="Q116" s="22">
        <f t="shared" si="38"/>
        <v>0.92088136322393255</v>
      </c>
      <c r="R116" s="22">
        <f t="shared" si="38"/>
        <v>0.93929899048841115</v>
      </c>
      <c r="S116" s="22">
        <f t="shared" si="38"/>
        <v>0.95808497029817941</v>
      </c>
      <c r="T116" s="22">
        <f t="shared" si="38"/>
        <v>0.97724666970414298</v>
      </c>
      <c r="U116" s="22">
        <f t="shared" si="38"/>
        <v>0.99679160309822579</v>
      </c>
      <c r="V116" s="22">
        <f t="shared" si="38"/>
        <v>1.0167274351601903</v>
      </c>
    </row>
    <row r="117" spans="2:22">
      <c r="B117" t="s">
        <v>501</v>
      </c>
      <c r="F117" s="72">
        <f>Input!J124</f>
        <v>0.65834446157745008</v>
      </c>
      <c r="G117"/>
      <c r="J117" s="22">
        <f t="shared" si="38"/>
        <v>0.67809479542477358</v>
      </c>
      <c r="K117" s="22">
        <f t="shared" si="38"/>
        <v>0.69843763928751679</v>
      </c>
      <c r="L117" s="22">
        <f t="shared" si="38"/>
        <v>0.71939076846614225</v>
      </c>
      <c r="M117" s="22">
        <f t="shared" si="38"/>
        <v>0.74097249152012667</v>
      </c>
      <c r="N117" s="22">
        <f t="shared" si="38"/>
        <v>0.76320166626573038</v>
      </c>
      <c r="O117" s="22">
        <f t="shared" si="38"/>
        <v>0.78609771625370239</v>
      </c>
      <c r="P117" s="22">
        <f t="shared" si="38"/>
        <v>0.80968064774131343</v>
      </c>
      <c r="Q117" s="22">
        <f t="shared" si="38"/>
        <v>0.83397106717355296</v>
      </c>
      <c r="R117" s="22">
        <f t="shared" si="38"/>
        <v>0.85899019918875952</v>
      </c>
      <c r="S117" s="22">
        <f t="shared" si="38"/>
        <v>0.88475990516442227</v>
      </c>
      <c r="T117" s="22">
        <f t="shared" si="38"/>
        <v>0.91130270231935495</v>
      </c>
      <c r="U117" s="22">
        <f t="shared" si="38"/>
        <v>0.93864178338893567</v>
      </c>
      <c r="V117" s="22">
        <f t="shared" si="38"/>
        <v>0.96680103689060382</v>
      </c>
    </row>
    <row r="118" spans="2:22">
      <c r="B118" t="s">
        <v>502</v>
      </c>
      <c r="F118" s="72">
        <f>Input!J125</f>
        <v>0.27408378898499997</v>
      </c>
      <c r="G118"/>
      <c r="J118" s="22">
        <f t="shared" si="38"/>
        <v>0.27956546476469996</v>
      </c>
      <c r="K118" s="22">
        <f t="shared" si="38"/>
        <v>0.28515677405999396</v>
      </c>
      <c r="L118" s="22">
        <f t="shared" si="38"/>
        <v>0.29085990954119384</v>
      </c>
      <c r="M118" s="22">
        <f t="shared" si="38"/>
        <v>0.29667710773201772</v>
      </c>
      <c r="N118" s="22">
        <f t="shared" si="38"/>
        <v>0.30261064988665809</v>
      </c>
      <c r="O118" s="22">
        <f t="shared" si="38"/>
        <v>0.30866286288439126</v>
      </c>
      <c r="P118" s="22">
        <f t="shared" si="38"/>
        <v>0.31483612014207907</v>
      </c>
      <c r="Q118" s="22">
        <f t="shared" si="38"/>
        <v>0.32113284254492069</v>
      </c>
      <c r="R118" s="22">
        <f t="shared" si="38"/>
        <v>0.32755549939581907</v>
      </c>
      <c r="S118" s="22">
        <f t="shared" si="38"/>
        <v>0.33410660938373549</v>
      </c>
      <c r="T118" s="22">
        <f t="shared" si="38"/>
        <v>0.3407887415714102</v>
      </c>
      <c r="U118" s="22">
        <f t="shared" si="38"/>
        <v>0.3476045164028384</v>
      </c>
      <c r="V118" s="22">
        <f t="shared" si="38"/>
        <v>0.35455660673089512</v>
      </c>
    </row>
    <row r="119" spans="2:22">
      <c r="B119" t="s">
        <v>503</v>
      </c>
      <c r="F119" s="72">
        <f>Input!J126</f>
        <v>0.26833969950000003</v>
      </c>
      <c r="G119"/>
      <c r="J119" s="88">
        <f t="shared" si="38"/>
        <v>0.27370649349000004</v>
      </c>
      <c r="K119" s="22">
        <f t="shared" si="38"/>
        <v>0.27918062335980004</v>
      </c>
      <c r="L119" s="88">
        <f t="shared" si="38"/>
        <v>0.284764235826996</v>
      </c>
      <c r="M119" s="22">
        <f t="shared" si="38"/>
        <v>0.29045952054353597</v>
      </c>
      <c r="N119" s="22">
        <f t="shared" si="38"/>
        <v>0.29626871095440666</v>
      </c>
      <c r="O119" s="22">
        <f t="shared" si="38"/>
        <v>0.30219408517349483</v>
      </c>
      <c r="P119" s="22">
        <f t="shared" si="38"/>
        <v>0.3082379668769647</v>
      </c>
      <c r="Q119" s="22">
        <f t="shared" si="38"/>
        <v>0.31440272621450405</v>
      </c>
      <c r="R119" s="88">
        <f t="shared" si="38"/>
        <v>0.32069078073879409</v>
      </c>
      <c r="S119" s="22">
        <f t="shared" si="38"/>
        <v>0.32710459635357003</v>
      </c>
      <c r="T119" s="22">
        <f t="shared" si="38"/>
        <v>0.33364668828064142</v>
      </c>
      <c r="U119" s="22">
        <f t="shared" si="38"/>
        <v>0.34031962204625421</v>
      </c>
      <c r="V119" s="22">
        <f t="shared" si="38"/>
        <v>0.34712601448717928</v>
      </c>
    </row>
    <row r="120" spans="2:22">
      <c r="B120" t="s">
        <v>504</v>
      </c>
      <c r="F120" s="72">
        <f>Input!J127</f>
        <v>0.225279425925</v>
      </c>
      <c r="G120"/>
      <c r="J120" s="22">
        <f t="shared" si="38"/>
        <v>0.2297850144435</v>
      </c>
      <c r="K120" s="22">
        <f t="shared" si="38"/>
        <v>0.23438071473236999</v>
      </c>
      <c r="L120" s="22">
        <f t="shared" si="38"/>
        <v>0.23906832902701738</v>
      </c>
      <c r="M120" s="22">
        <f t="shared" si="38"/>
        <v>0.24384969560755773</v>
      </c>
      <c r="N120" s="22">
        <f t="shared" si="38"/>
        <v>0.24872668951970892</v>
      </c>
      <c r="O120" s="22">
        <f t="shared" si="38"/>
        <v>0.25370122331010309</v>
      </c>
      <c r="P120" s="22">
        <f t="shared" si="38"/>
        <v>0.25877524777630517</v>
      </c>
      <c r="Q120" s="22">
        <f t="shared" si="38"/>
        <v>0.26395075273183127</v>
      </c>
      <c r="R120" s="22">
        <f t="shared" si="38"/>
        <v>0.2692297677864679</v>
      </c>
      <c r="S120" s="22">
        <f t="shared" si="38"/>
        <v>0.27461436314219728</v>
      </c>
      <c r="T120" s="22">
        <f t="shared" si="38"/>
        <v>0.28010665040504124</v>
      </c>
      <c r="U120" s="22">
        <f t="shared" si="38"/>
        <v>0.28570878341314204</v>
      </c>
      <c r="V120" s="22">
        <f t="shared" si="38"/>
        <v>0.29142295908140486</v>
      </c>
    </row>
    <row r="121" spans="2:22">
      <c r="B121" t="s">
        <v>505</v>
      </c>
      <c r="F121" s="72">
        <f>Input!J128</f>
        <v>0.21282385461000003</v>
      </c>
      <c r="G121"/>
      <c r="J121" s="22">
        <f t="shared" si="38"/>
        <v>0.21920857024830004</v>
      </c>
      <c r="K121" s="22">
        <f t="shared" si="38"/>
        <v>0.22578482735574903</v>
      </c>
      <c r="L121" s="22">
        <f t="shared" si="38"/>
        <v>0.2325583721764215</v>
      </c>
      <c r="M121" s="22">
        <f t="shared" si="38"/>
        <v>0.23953512334171417</v>
      </c>
      <c r="N121" s="22">
        <f t="shared" si="38"/>
        <v>0.24672117704196558</v>
      </c>
      <c r="O121" s="22">
        <f t="shared" si="38"/>
        <v>0.25412281235322459</v>
      </c>
      <c r="P121" s="22">
        <f t="shared" si="38"/>
        <v>0.26174649672382133</v>
      </c>
      <c r="Q121" s="22">
        <f t="shared" si="38"/>
        <v>0.26959889162553596</v>
      </c>
      <c r="R121" s="22">
        <f t="shared" si="38"/>
        <v>0.27768685837430207</v>
      </c>
      <c r="S121" s="22">
        <f t="shared" si="38"/>
        <v>0.28601746412553114</v>
      </c>
      <c r="T121" s="22">
        <f t="shared" si="38"/>
        <v>0.29459798804929704</v>
      </c>
      <c r="U121" s="22">
        <f t="shared" si="38"/>
        <v>0.30343592769077599</v>
      </c>
      <c r="V121" s="22">
        <f t="shared" si="38"/>
        <v>0.31253900552149927</v>
      </c>
    </row>
    <row r="122" spans="2:22">
      <c r="B122" t="s">
        <v>506</v>
      </c>
      <c r="F122" s="72">
        <f>Input!J129</f>
        <v>0.192331499505</v>
      </c>
      <c r="G122"/>
      <c r="J122" s="22">
        <f t="shared" si="38"/>
        <v>0.19810144449015002</v>
      </c>
      <c r="K122" s="22">
        <f t="shared" si="38"/>
        <v>0.20404448782485449</v>
      </c>
      <c r="L122" s="22">
        <f t="shared" si="38"/>
        <v>0.21016582245960014</v>
      </c>
      <c r="M122" s="22">
        <f t="shared" si="38"/>
        <v>0.21647079713338818</v>
      </c>
      <c r="N122" s="22">
        <f t="shared" si="38"/>
        <v>0.2229649210473898</v>
      </c>
      <c r="O122" s="22">
        <f t="shared" si="38"/>
        <v>0.22965386867881152</v>
      </c>
      <c r="P122" s="22">
        <f t="shared" si="38"/>
        <v>0.23654348473917586</v>
      </c>
      <c r="Q122" s="22">
        <f t="shared" si="38"/>
        <v>0.24363978928135116</v>
      </c>
      <c r="R122" s="22">
        <f t="shared" si="38"/>
        <v>0.25094898295979168</v>
      </c>
      <c r="S122" s="22">
        <f t="shared" si="38"/>
        <v>0.25847745244858544</v>
      </c>
      <c r="T122" s="22">
        <f t="shared" si="38"/>
        <v>0.26623177602204301</v>
      </c>
      <c r="U122" s="22">
        <f t="shared" si="38"/>
        <v>0.2742187293027043</v>
      </c>
      <c r="V122" s="22">
        <f t="shared" si="38"/>
        <v>0.28244529118178546</v>
      </c>
    </row>
    <row r="123" spans="2:22">
      <c r="B123" t="s">
        <v>507</v>
      </c>
      <c r="F123" s="72">
        <f>Input!J130</f>
        <v>2.1012075000000001E-3</v>
      </c>
      <c r="G123"/>
      <c r="J123" s="22">
        <f t="shared" si="38"/>
        <v>2.1432316500000002E-3</v>
      </c>
      <c r="K123" s="22">
        <f t="shared" si="38"/>
        <v>2.186096283E-3</v>
      </c>
      <c r="L123" s="22">
        <f t="shared" si="38"/>
        <v>2.22981820866E-3</v>
      </c>
      <c r="M123" s="22">
        <f t="shared" si="38"/>
        <v>2.2744145728331999E-3</v>
      </c>
      <c r="N123" s="22">
        <f t="shared" si="38"/>
        <v>2.3199028642898641E-3</v>
      </c>
      <c r="O123" s="22">
        <f t="shared" si="38"/>
        <v>2.3663009215756617E-3</v>
      </c>
      <c r="P123" s="22">
        <f t="shared" si="38"/>
        <v>2.4136269400071748E-3</v>
      </c>
      <c r="Q123" s="22">
        <f t="shared" si="38"/>
        <v>2.4618994788073185E-3</v>
      </c>
      <c r="R123" s="22">
        <f t="shared" si="38"/>
        <v>2.5111374683834649E-3</v>
      </c>
      <c r="S123" s="22">
        <f t="shared" si="38"/>
        <v>2.5613602177511343E-3</v>
      </c>
      <c r="T123" s="22">
        <f t="shared" si="38"/>
        <v>2.6125874221061569E-3</v>
      </c>
      <c r="U123" s="22">
        <f t="shared" si="38"/>
        <v>2.6648391705482799E-3</v>
      </c>
      <c r="V123" s="22">
        <f t="shared" si="38"/>
        <v>2.7181359539592454E-3</v>
      </c>
    </row>
    <row r="124" spans="2:22">
      <c r="G124"/>
    </row>
    <row r="125" spans="2:22">
      <c r="B125" t="s">
        <v>492</v>
      </c>
      <c r="G125"/>
      <c r="J125" s="88">
        <f>SUM(J119,J43)</f>
        <v>41.740782175912301</v>
      </c>
      <c r="K125" s="22">
        <f t="shared" ref="K125:V125" si="39">SUM(K119,K43)</f>
        <v>41.746256305782097</v>
      </c>
      <c r="L125" s="88">
        <f t="shared" si="39"/>
        <v>42.751839918249296</v>
      </c>
      <c r="M125" s="22">
        <f t="shared" si="39"/>
        <v>42.757535202965833</v>
      </c>
      <c r="N125" s="22">
        <f t="shared" si="39"/>
        <v>42.763344393376705</v>
      </c>
      <c r="O125" s="22">
        <f t="shared" si="39"/>
        <v>43.769269767595794</v>
      </c>
      <c r="P125" s="22">
        <f t="shared" si="39"/>
        <v>43.775313649299264</v>
      </c>
      <c r="Q125" s="22">
        <f t="shared" si="39"/>
        <v>43.781478408636801</v>
      </c>
      <c r="R125" s="88">
        <f t="shared" si="39"/>
        <v>44.787766463161091</v>
      </c>
      <c r="S125" s="22">
        <f t="shared" si="39"/>
        <v>44.794180278775869</v>
      </c>
      <c r="T125" s="22">
        <f t="shared" si="39"/>
        <v>44.800722370702942</v>
      </c>
      <c r="U125" s="22">
        <f t="shared" si="39"/>
        <v>44.80739530446855</v>
      </c>
      <c r="V125" s="22">
        <f t="shared" si="39"/>
        <v>44.814201696909478</v>
      </c>
    </row>
    <row r="126" spans="2:22">
      <c r="G126"/>
      <c r="J126" s="22"/>
      <c r="K126" s="22"/>
      <c r="L126" s="88"/>
      <c r="M126" s="22"/>
      <c r="N126" s="22"/>
      <c r="O126" s="22"/>
      <c r="P126" s="22"/>
      <c r="Q126" s="22"/>
      <c r="R126" s="88"/>
      <c r="S126" s="22"/>
      <c r="T126" s="22"/>
      <c r="U126" s="22"/>
      <c r="V126" s="22"/>
    </row>
    <row r="127" spans="2:22" ht="24" thickBot="1">
      <c r="B127" s="14" t="s">
        <v>509</v>
      </c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</row>
    <row r="128" spans="2:22">
      <c r="G128"/>
    </row>
    <row r="129" spans="2:22">
      <c r="B129" t="s">
        <v>37</v>
      </c>
      <c r="F129" s="19">
        <v>2026</v>
      </c>
      <c r="G129"/>
      <c r="J129" s="13">
        <f>IF(J$8&lt;$F129,0,1)*J$12</f>
        <v>0</v>
      </c>
      <c r="K129" s="13">
        <f t="shared" ref="K129:V129" si="40">IF(K$8&lt;$F129,0,1)*K$12</f>
        <v>0</v>
      </c>
      <c r="L129" s="13">
        <f t="shared" si="40"/>
        <v>1</v>
      </c>
      <c r="M129" s="13">
        <f t="shared" si="40"/>
        <v>1</v>
      </c>
      <c r="N129" s="13">
        <f t="shared" si="40"/>
        <v>1</v>
      </c>
      <c r="O129" s="13">
        <f t="shared" si="40"/>
        <v>1</v>
      </c>
      <c r="P129" s="13">
        <f t="shared" si="40"/>
        <v>1</v>
      </c>
      <c r="Q129" s="13">
        <f t="shared" si="40"/>
        <v>1</v>
      </c>
      <c r="R129" s="13">
        <f t="shared" si="40"/>
        <v>1</v>
      </c>
      <c r="S129" s="13">
        <f t="shared" si="40"/>
        <v>1</v>
      </c>
      <c r="T129" s="13">
        <f t="shared" si="40"/>
        <v>1</v>
      </c>
      <c r="U129" s="13">
        <f t="shared" si="40"/>
        <v>1</v>
      </c>
      <c r="V129" s="13">
        <f t="shared" si="40"/>
        <v>1</v>
      </c>
    </row>
    <row r="130" spans="2:22">
      <c r="G130"/>
    </row>
    <row r="131" spans="2:22" ht="15.75">
      <c r="B131" s="15" t="s">
        <v>510</v>
      </c>
      <c r="G131"/>
    </row>
    <row r="132" spans="2:22" ht="15.75">
      <c r="B132" s="41" t="s">
        <v>511</v>
      </c>
      <c r="F132" s="19"/>
      <c r="G132"/>
      <c r="J132" s="70"/>
      <c r="K132" s="70"/>
      <c r="L132" s="70"/>
      <c r="M132" s="70"/>
      <c r="N132" s="70"/>
      <c r="O132" s="70"/>
      <c r="P132" s="70"/>
      <c r="Q132" s="70"/>
      <c r="R132" s="70"/>
      <c r="S132" s="70"/>
      <c r="T132" s="70"/>
      <c r="U132" s="70"/>
      <c r="V132" s="70"/>
    </row>
    <row r="133" spans="2:22">
      <c r="B133" s="407" t="s">
        <v>407</v>
      </c>
      <c r="F133" s="16">
        <f>Input!J267</f>
        <v>0</v>
      </c>
      <c r="G133" s="17" t="s">
        <v>315</v>
      </c>
      <c r="J133" s="19"/>
      <c r="K133" s="19"/>
      <c r="L133" s="19">
        <v>300000</v>
      </c>
      <c r="M133" s="19">
        <f t="shared" ref="M133:V133" si="41">L133*(1+0.5%)</f>
        <v>301499.99999999994</v>
      </c>
      <c r="N133" s="19">
        <f t="shared" si="41"/>
        <v>303007.49999999988</v>
      </c>
      <c r="O133" s="19">
        <f t="shared" si="41"/>
        <v>304522.53749999986</v>
      </c>
      <c r="P133" s="19">
        <f t="shared" si="41"/>
        <v>306045.15018749982</v>
      </c>
      <c r="Q133" s="19">
        <f t="shared" si="41"/>
        <v>307575.3759384373</v>
      </c>
      <c r="R133" s="19">
        <f t="shared" si="41"/>
        <v>309113.25281812943</v>
      </c>
      <c r="S133" s="19">
        <f t="shared" si="41"/>
        <v>310658.81908222003</v>
      </c>
      <c r="T133" s="19">
        <f t="shared" si="41"/>
        <v>312212.11317763111</v>
      </c>
      <c r="U133" s="19">
        <f t="shared" si="41"/>
        <v>313773.17374351923</v>
      </c>
      <c r="V133" s="19">
        <f t="shared" si="41"/>
        <v>315342.03961223678</v>
      </c>
    </row>
    <row r="134" spans="2:22">
      <c r="B134" s="407" t="s">
        <v>465</v>
      </c>
      <c r="J134">
        <f>Input!K261</f>
        <v>0</v>
      </c>
      <c r="K134">
        <f>Input!L261</f>
        <v>0</v>
      </c>
      <c r="L134" s="19">
        <v>37000</v>
      </c>
      <c r="M134" s="19">
        <f>L134</f>
        <v>37000</v>
      </c>
      <c r="N134" s="19">
        <f t="shared" ref="N134:V134" si="42">M134</f>
        <v>37000</v>
      </c>
      <c r="O134" s="19">
        <f t="shared" si="42"/>
        <v>37000</v>
      </c>
      <c r="P134" s="19">
        <f t="shared" si="42"/>
        <v>37000</v>
      </c>
      <c r="Q134" s="19">
        <f t="shared" si="42"/>
        <v>37000</v>
      </c>
      <c r="R134" s="19">
        <f t="shared" si="42"/>
        <v>37000</v>
      </c>
      <c r="S134" s="19">
        <f t="shared" si="42"/>
        <v>37000</v>
      </c>
      <c r="T134" s="19">
        <f t="shared" si="42"/>
        <v>37000</v>
      </c>
      <c r="U134" s="19">
        <f t="shared" si="42"/>
        <v>37000</v>
      </c>
      <c r="V134" s="19">
        <f t="shared" si="42"/>
        <v>37000</v>
      </c>
    </row>
    <row r="135" spans="2:22">
      <c r="B135" s="28" t="s">
        <v>9</v>
      </c>
      <c r="C135" s="28"/>
      <c r="D135" s="28"/>
      <c r="E135" s="28"/>
      <c r="F135" s="28"/>
      <c r="G135" s="28"/>
      <c r="H135" s="28"/>
      <c r="I135" s="48">
        <f>SUM(J135:V135)</f>
        <v>125.19874859620791</v>
      </c>
      <c r="J135" s="28">
        <f>J133*J134/Billion*J$12</f>
        <v>0</v>
      </c>
      <c r="K135" s="28">
        <f t="shared" ref="K135:V135" si="43">K133*K134/Billion*K$12</f>
        <v>0</v>
      </c>
      <c r="L135" s="28">
        <f t="shared" si="43"/>
        <v>11.1</v>
      </c>
      <c r="M135" s="28">
        <f t="shared" si="43"/>
        <v>11.155499999999998</v>
      </c>
      <c r="N135" s="28">
        <f t="shared" si="43"/>
        <v>11.211277499999996</v>
      </c>
      <c r="O135" s="28">
        <f t="shared" si="43"/>
        <v>11.267333887499994</v>
      </c>
      <c r="P135" s="28">
        <f t="shared" si="43"/>
        <v>11.323670556937495</v>
      </c>
      <c r="Q135" s="28">
        <f t="shared" si="43"/>
        <v>11.380288909722179</v>
      </c>
      <c r="R135" s="28">
        <f t="shared" si="43"/>
        <v>11.437190354270788</v>
      </c>
      <c r="S135" s="28">
        <f t="shared" si="43"/>
        <v>11.494376306042142</v>
      </c>
      <c r="T135" s="28">
        <f t="shared" si="43"/>
        <v>11.551848187572352</v>
      </c>
      <c r="U135" s="28">
        <f t="shared" si="43"/>
        <v>11.609607428510213</v>
      </c>
      <c r="V135" s="28">
        <f t="shared" si="43"/>
        <v>11.667655465652761</v>
      </c>
    </row>
    <row r="136" spans="2:22">
      <c r="G136"/>
      <c r="I136" s="21"/>
      <c r="K136" s="21"/>
      <c r="L136" s="21"/>
      <c r="M136" s="21"/>
      <c r="N136" s="21"/>
    </row>
    <row r="137" spans="2:22">
      <c r="B137" t="s">
        <v>471</v>
      </c>
      <c r="G137"/>
      <c r="I137" s="21"/>
      <c r="J137">
        <f>SUM(J133)</f>
        <v>0</v>
      </c>
      <c r="K137">
        <f t="shared" ref="K137:V137" si="44">SUM(K133)</f>
        <v>0</v>
      </c>
      <c r="L137">
        <f t="shared" si="44"/>
        <v>300000</v>
      </c>
      <c r="M137">
        <f t="shared" si="44"/>
        <v>301499.99999999994</v>
      </c>
      <c r="N137">
        <f t="shared" si="44"/>
        <v>303007.49999999988</v>
      </c>
      <c r="O137">
        <f t="shared" si="44"/>
        <v>304522.53749999986</v>
      </c>
      <c r="P137">
        <f t="shared" si="44"/>
        <v>306045.15018749982</v>
      </c>
      <c r="Q137">
        <f t="shared" si="44"/>
        <v>307575.3759384373</v>
      </c>
      <c r="R137">
        <f t="shared" si="44"/>
        <v>309113.25281812943</v>
      </c>
      <c r="S137">
        <f t="shared" si="44"/>
        <v>310658.81908222003</v>
      </c>
      <c r="T137">
        <f t="shared" si="44"/>
        <v>312212.11317763111</v>
      </c>
      <c r="U137">
        <f t="shared" si="44"/>
        <v>313773.17374351923</v>
      </c>
      <c r="V137">
        <f t="shared" si="44"/>
        <v>315342.03961223678</v>
      </c>
    </row>
    <row r="138" spans="2:22">
      <c r="G138"/>
      <c r="I138" s="21"/>
    </row>
    <row r="139" spans="2:22" ht="15.75">
      <c r="B139" s="15" t="s">
        <v>512</v>
      </c>
      <c r="G139"/>
    </row>
    <row r="140" spans="2:22" ht="15.75">
      <c r="B140" s="41" t="s">
        <v>511</v>
      </c>
      <c r="F140" s="19"/>
      <c r="G140"/>
      <c r="J140" s="70"/>
      <c r="K140" s="70"/>
      <c r="L140" s="70"/>
      <c r="M140" s="70"/>
      <c r="N140" s="70"/>
      <c r="O140" s="70"/>
      <c r="P140" s="70"/>
      <c r="Q140" s="70"/>
      <c r="R140" s="70"/>
      <c r="S140" s="70"/>
      <c r="T140" s="70"/>
      <c r="U140" s="70"/>
      <c r="V140" s="70"/>
    </row>
    <row r="141" spans="2:22">
      <c r="B141" s="407" t="s">
        <v>407</v>
      </c>
      <c r="F141" s="16">
        <f>Input!J274</f>
        <v>0</v>
      </c>
      <c r="G141" s="17" t="s">
        <v>315</v>
      </c>
      <c r="J141" s="19"/>
      <c r="K141" s="19"/>
      <c r="L141" s="19">
        <v>200000</v>
      </c>
      <c r="M141" s="19">
        <f t="shared" ref="M141:V141" si="45">L141*(1+0.5%)</f>
        <v>200999.99999999997</v>
      </c>
      <c r="N141" s="19">
        <f t="shared" si="45"/>
        <v>202004.99999999994</v>
      </c>
      <c r="O141" s="19">
        <f t="shared" si="45"/>
        <v>203015.02499999991</v>
      </c>
      <c r="P141" s="19">
        <f t="shared" si="45"/>
        <v>204030.10012499988</v>
      </c>
      <c r="Q141" s="19">
        <f t="shared" si="45"/>
        <v>205050.25062562485</v>
      </c>
      <c r="R141" s="19">
        <f t="shared" si="45"/>
        <v>206075.50187875296</v>
      </c>
      <c r="S141" s="19">
        <f t="shared" si="45"/>
        <v>207105.87938814668</v>
      </c>
      <c r="T141" s="19">
        <f t="shared" si="45"/>
        <v>208141.40878508741</v>
      </c>
      <c r="U141" s="19">
        <f t="shared" si="45"/>
        <v>209182.11582901282</v>
      </c>
      <c r="V141" s="19">
        <f t="shared" si="45"/>
        <v>210228.02640815786</v>
      </c>
    </row>
    <row r="142" spans="2:22">
      <c r="B142" s="407" t="s">
        <v>465</v>
      </c>
      <c r="J142">
        <f>Input!K268</f>
        <v>0</v>
      </c>
      <c r="K142">
        <f>Input!L268</f>
        <v>0</v>
      </c>
      <c r="L142" s="19">
        <v>37000</v>
      </c>
      <c r="M142" s="19">
        <f>L142</f>
        <v>37000</v>
      </c>
      <c r="N142" s="19">
        <f t="shared" ref="N142:V142" si="46">M142</f>
        <v>37000</v>
      </c>
      <c r="O142" s="19">
        <f t="shared" si="46"/>
        <v>37000</v>
      </c>
      <c r="P142" s="19">
        <f t="shared" si="46"/>
        <v>37000</v>
      </c>
      <c r="Q142" s="19">
        <f t="shared" si="46"/>
        <v>37000</v>
      </c>
      <c r="R142" s="19">
        <f t="shared" si="46"/>
        <v>37000</v>
      </c>
      <c r="S142" s="19">
        <f t="shared" si="46"/>
        <v>37000</v>
      </c>
      <c r="T142" s="19">
        <f t="shared" si="46"/>
        <v>37000</v>
      </c>
      <c r="U142" s="19">
        <f t="shared" si="46"/>
        <v>37000</v>
      </c>
      <c r="V142" s="19">
        <f t="shared" si="46"/>
        <v>37000</v>
      </c>
    </row>
    <row r="143" spans="2:22">
      <c r="B143" s="28" t="s">
        <v>9</v>
      </c>
      <c r="C143" s="28"/>
      <c r="D143" s="28"/>
      <c r="E143" s="28"/>
      <c r="F143" s="28"/>
      <c r="G143" s="28"/>
      <c r="H143" s="28"/>
      <c r="I143" s="48">
        <f>SUM(J143:V143)</f>
        <v>83.465832397471956</v>
      </c>
      <c r="J143" s="28">
        <f t="shared" ref="J143:V143" si="47">J141*J142/Billion*J$12</f>
        <v>0</v>
      </c>
      <c r="K143" s="28">
        <f t="shared" si="47"/>
        <v>0</v>
      </c>
      <c r="L143" s="28">
        <f t="shared" si="47"/>
        <v>7.4</v>
      </c>
      <c r="M143" s="28">
        <f t="shared" si="47"/>
        <v>7.4369999999999994</v>
      </c>
      <c r="N143" s="28">
        <f t="shared" si="47"/>
        <v>7.4741849999999985</v>
      </c>
      <c r="O143" s="28">
        <f t="shared" si="47"/>
        <v>7.5115559249999961</v>
      </c>
      <c r="P143" s="28">
        <f t="shared" si="47"/>
        <v>7.549113704624995</v>
      </c>
      <c r="Q143" s="28">
        <f t="shared" si="47"/>
        <v>7.5868592731481188</v>
      </c>
      <c r="R143" s="28">
        <f t="shared" si="47"/>
        <v>7.6247935695138596</v>
      </c>
      <c r="S143" s="28">
        <f t="shared" si="47"/>
        <v>7.6629175373614276</v>
      </c>
      <c r="T143" s="28">
        <f t="shared" si="47"/>
        <v>7.7012321250482341</v>
      </c>
      <c r="U143" s="28">
        <f t="shared" si="47"/>
        <v>7.7397382856734742</v>
      </c>
      <c r="V143" s="28">
        <f t="shared" si="47"/>
        <v>7.7784369771018413</v>
      </c>
    </row>
    <row r="144" spans="2:22">
      <c r="G144"/>
      <c r="I144" s="21"/>
      <c r="K144" s="21"/>
      <c r="L144" s="21"/>
      <c r="M144" s="21"/>
      <c r="N144" s="21"/>
    </row>
    <row r="145" spans="2:22">
      <c r="B145" t="s">
        <v>471</v>
      </c>
      <c r="G145"/>
      <c r="I145" s="21"/>
      <c r="J145">
        <f>SUM(J141)</f>
        <v>0</v>
      </c>
      <c r="K145">
        <f t="shared" ref="K145:V145" si="48">SUM(K141)</f>
        <v>0</v>
      </c>
      <c r="L145">
        <f t="shared" si="48"/>
        <v>200000</v>
      </c>
      <c r="M145">
        <f t="shared" si="48"/>
        <v>200999.99999999997</v>
      </c>
      <c r="N145">
        <f t="shared" si="48"/>
        <v>202004.99999999994</v>
      </c>
      <c r="O145">
        <f t="shared" si="48"/>
        <v>203015.02499999991</v>
      </c>
      <c r="P145">
        <f t="shared" si="48"/>
        <v>204030.10012499988</v>
      </c>
      <c r="Q145">
        <f t="shared" si="48"/>
        <v>205050.25062562485</v>
      </c>
      <c r="R145">
        <f t="shared" si="48"/>
        <v>206075.50187875296</v>
      </c>
      <c r="S145">
        <f t="shared" si="48"/>
        <v>207105.87938814668</v>
      </c>
      <c r="T145">
        <f t="shared" si="48"/>
        <v>208141.40878508741</v>
      </c>
      <c r="U145">
        <f t="shared" si="48"/>
        <v>209182.11582901282</v>
      </c>
      <c r="V145">
        <f t="shared" si="48"/>
        <v>210228.02640815786</v>
      </c>
    </row>
    <row r="146" spans="2:22">
      <c r="G146"/>
      <c r="I146" s="21"/>
      <c r="K146" s="21"/>
      <c r="L146" s="21"/>
      <c r="M146" s="21"/>
      <c r="N146" s="21"/>
    </row>
    <row r="147" spans="2:22" ht="15.75">
      <c r="B147" s="15" t="s">
        <v>473</v>
      </c>
      <c r="F147" s="39">
        <v>0.2</v>
      </c>
      <c r="G147"/>
      <c r="I147" s="21"/>
      <c r="J147">
        <f>SUM(J143,J135)*$F$147</f>
        <v>0</v>
      </c>
      <c r="K147">
        <f t="shared" ref="K147:V147" si="49">SUM(K143,K135)*$F$147</f>
        <v>0</v>
      </c>
      <c r="L147">
        <f t="shared" si="49"/>
        <v>3.7</v>
      </c>
      <c r="M147">
        <f t="shared" si="49"/>
        <v>3.7184999999999997</v>
      </c>
      <c r="N147">
        <f t="shared" si="49"/>
        <v>3.7370924999999988</v>
      </c>
      <c r="O147">
        <f t="shared" si="49"/>
        <v>3.7557779624999981</v>
      </c>
      <c r="P147">
        <f t="shared" si="49"/>
        <v>3.7745568523124984</v>
      </c>
      <c r="Q147">
        <f t="shared" si="49"/>
        <v>3.7934296365740594</v>
      </c>
      <c r="R147">
        <f t="shared" si="49"/>
        <v>3.8123967847569298</v>
      </c>
      <c r="S147">
        <f t="shared" si="49"/>
        <v>3.8314587686807138</v>
      </c>
      <c r="T147">
        <f t="shared" si="49"/>
        <v>3.8506160625241175</v>
      </c>
      <c r="U147">
        <f t="shared" si="49"/>
        <v>3.8698691428367376</v>
      </c>
      <c r="V147">
        <f t="shared" si="49"/>
        <v>3.8892184885509202</v>
      </c>
    </row>
    <row r="148" spans="2:22">
      <c r="G148"/>
      <c r="I148" s="21"/>
      <c r="K148" s="21"/>
      <c r="L148" s="21"/>
      <c r="M148" s="21"/>
      <c r="N148" s="21"/>
    </row>
    <row r="149" spans="2:22">
      <c r="G149"/>
      <c r="I149" s="21"/>
      <c r="J149" s="1">
        <f>SUM(J164,J169,J175)</f>
        <v>0</v>
      </c>
      <c r="K149" s="1">
        <f>SUM(K164,K169,K175)</f>
        <v>0</v>
      </c>
      <c r="L149" s="1">
        <f>SUM(L164,L169,L175)</f>
        <v>0</v>
      </c>
      <c r="M149" s="1">
        <f t="shared" ref="M149:V149" si="50">SUM(M164,M169,M175)</f>
        <v>0</v>
      </c>
      <c r="N149" s="1">
        <f t="shared" si="50"/>
        <v>0</v>
      </c>
      <c r="O149" s="1">
        <f t="shared" si="50"/>
        <v>0</v>
      </c>
      <c r="P149" s="1">
        <f t="shared" si="50"/>
        <v>0</v>
      </c>
      <c r="Q149" s="1">
        <f t="shared" si="50"/>
        <v>0</v>
      </c>
      <c r="R149" s="1">
        <f t="shared" si="50"/>
        <v>0</v>
      </c>
      <c r="S149" s="1">
        <f t="shared" si="50"/>
        <v>0</v>
      </c>
      <c r="T149" s="1">
        <f t="shared" si="50"/>
        <v>0</v>
      </c>
      <c r="U149" s="1">
        <f t="shared" si="50"/>
        <v>0</v>
      </c>
      <c r="V149" s="1">
        <f t="shared" si="50"/>
        <v>0</v>
      </c>
    </row>
    <row r="150" spans="2:22">
      <c r="B150" s="2" t="s">
        <v>513</v>
      </c>
      <c r="E150" s="58" t="s">
        <v>514</v>
      </c>
      <c r="F150" s="58" t="s">
        <v>515</v>
      </c>
      <c r="G150"/>
      <c r="I150" s="22"/>
      <c r="J150">
        <f>SUM(J153,J158)</f>
        <v>0</v>
      </c>
      <c r="K150">
        <f t="shared" ref="K150:V150" si="51">SUM(K153,K158)</f>
        <v>7.1991988095238106</v>
      </c>
      <c r="L150">
        <f t="shared" si="51"/>
        <v>7.1991988095238106</v>
      </c>
      <c r="M150">
        <f t="shared" si="51"/>
        <v>7.1991988095238106</v>
      </c>
      <c r="N150">
        <f t="shared" si="51"/>
        <v>7.1991988095238106</v>
      </c>
      <c r="O150">
        <f t="shared" si="51"/>
        <v>7.1991988095238106</v>
      </c>
      <c r="P150">
        <f t="shared" si="51"/>
        <v>7.1991988095238106</v>
      </c>
      <c r="Q150">
        <f t="shared" si="51"/>
        <v>7.1991988095238106</v>
      </c>
      <c r="R150">
        <f t="shared" si="51"/>
        <v>7.1991988095238106</v>
      </c>
      <c r="S150">
        <f t="shared" si="51"/>
        <v>7.1991988095238106</v>
      </c>
      <c r="T150">
        <f t="shared" si="51"/>
        <v>7.1991988095238106</v>
      </c>
      <c r="U150">
        <f t="shared" si="51"/>
        <v>7.1991988095238106</v>
      </c>
      <c r="V150">
        <f t="shared" si="51"/>
        <v>7.1991988095238106</v>
      </c>
    </row>
    <row r="151" spans="2:22">
      <c r="B151" s="407" t="s">
        <v>516</v>
      </c>
      <c r="E151" s="6">
        <v>20</v>
      </c>
      <c r="F151" s="30">
        <f>Input!J1258</f>
        <v>6.8095238095238102</v>
      </c>
      <c r="G151" s="17" t="s">
        <v>315</v>
      </c>
      <c r="J151" s="21">
        <f>IFERROR(J150/SUM(J143,J135),0)</f>
        <v>0</v>
      </c>
      <c r="K151" s="21">
        <f t="shared" ref="K151:V151" si="52">IFERROR(K150/SUM(K143,K135),0)</f>
        <v>0</v>
      </c>
      <c r="L151" s="21">
        <f t="shared" si="52"/>
        <v>0.38914588159588165</v>
      </c>
      <c r="M151" s="21">
        <f t="shared" si="52"/>
        <v>0.38720983243371315</v>
      </c>
      <c r="N151" s="21">
        <f t="shared" si="52"/>
        <v>0.38528341535692862</v>
      </c>
      <c r="O151" s="21">
        <f t="shared" si="52"/>
        <v>0.38336658244470512</v>
      </c>
      <c r="P151" s="21">
        <f t="shared" si="52"/>
        <v>0.38145928601463197</v>
      </c>
      <c r="Q151" s="21">
        <f t="shared" si="52"/>
        <v>0.37956147862152445</v>
      </c>
      <c r="R151" s="21">
        <f t="shared" si="52"/>
        <v>0.37767311305624324</v>
      </c>
      <c r="S151" s="21">
        <f t="shared" si="52"/>
        <v>0.37579414234452069</v>
      </c>
      <c r="T151" s="21">
        <f t="shared" si="52"/>
        <v>0.37392451974579177</v>
      </c>
      <c r="U151" s="21">
        <f t="shared" si="52"/>
        <v>0.37206419875203162</v>
      </c>
      <c r="V151" s="21">
        <f t="shared" si="52"/>
        <v>0.3702131330865987</v>
      </c>
    </row>
    <row r="152" spans="2:22">
      <c r="B152" s="407" t="s">
        <v>517</v>
      </c>
      <c r="F152" s="74">
        <v>0.7</v>
      </c>
      <c r="G152" s="17" t="s">
        <v>315</v>
      </c>
    </row>
    <row r="153" spans="2:22">
      <c r="B153" s="28" t="s">
        <v>476</v>
      </c>
      <c r="C153" s="28"/>
      <c r="D153" s="28"/>
      <c r="E153" s="28"/>
      <c r="F153" s="28"/>
      <c r="G153" s="28"/>
      <c r="H153" s="28"/>
      <c r="I153" s="49">
        <f>SUM(J153:V153)</f>
        <v>46.517900000000004</v>
      </c>
      <c r="J153" s="47">
        <f t="shared" ref="J153:V153" si="53">($F151*$F152*Million)/$E151*USD_IDR/Billion*J$325</f>
        <v>0</v>
      </c>
      <c r="K153" s="47">
        <f t="shared" si="53"/>
        <v>3.8764916666666669</v>
      </c>
      <c r="L153" s="47">
        <f t="shared" si="53"/>
        <v>3.8764916666666669</v>
      </c>
      <c r="M153" s="47">
        <f t="shared" si="53"/>
        <v>3.8764916666666669</v>
      </c>
      <c r="N153" s="47">
        <f t="shared" si="53"/>
        <v>3.8764916666666669</v>
      </c>
      <c r="O153" s="47">
        <f t="shared" si="53"/>
        <v>3.8764916666666669</v>
      </c>
      <c r="P153" s="47">
        <f t="shared" si="53"/>
        <v>3.8764916666666669</v>
      </c>
      <c r="Q153" s="47">
        <f t="shared" si="53"/>
        <v>3.8764916666666669</v>
      </c>
      <c r="R153" s="47">
        <f t="shared" si="53"/>
        <v>3.8764916666666669</v>
      </c>
      <c r="S153" s="47">
        <f t="shared" si="53"/>
        <v>3.8764916666666669</v>
      </c>
      <c r="T153" s="47">
        <f t="shared" si="53"/>
        <v>3.8764916666666669</v>
      </c>
      <c r="U153" s="47">
        <f t="shared" si="53"/>
        <v>3.8764916666666669</v>
      </c>
      <c r="V153" s="47">
        <f t="shared" si="53"/>
        <v>3.8764916666666669</v>
      </c>
    </row>
    <row r="154" spans="2:22">
      <c r="G154"/>
    </row>
    <row r="155" spans="2:22">
      <c r="B155" s="2" t="s">
        <v>518</v>
      </c>
      <c r="E155" s="58" t="s">
        <v>514</v>
      </c>
      <c r="F155" s="58" t="s">
        <v>515</v>
      </c>
      <c r="G155"/>
      <c r="I155" s="22"/>
      <c r="L155" s="22"/>
    </row>
    <row r="156" spans="2:22">
      <c r="B156" s="407" t="s">
        <v>516</v>
      </c>
      <c r="E156" s="16">
        <v>10</v>
      </c>
      <c r="F156" s="30">
        <f>Input!J1258</f>
        <v>6.8095238095238102</v>
      </c>
      <c r="G156" s="17" t="s">
        <v>315</v>
      </c>
    </row>
    <row r="157" spans="2:22">
      <c r="B157" s="407" t="s">
        <v>517</v>
      </c>
      <c r="F157" s="21">
        <f>100%-F152</f>
        <v>0.30000000000000004</v>
      </c>
      <c r="G157" s="17" t="s">
        <v>315</v>
      </c>
    </row>
    <row r="158" spans="2:22">
      <c r="B158" s="28" t="s">
        <v>476</v>
      </c>
      <c r="C158" s="28"/>
      <c r="D158" s="28"/>
      <c r="E158" s="28"/>
      <c r="F158" s="28"/>
      <c r="G158" s="28"/>
      <c r="H158" s="28"/>
      <c r="I158" s="49">
        <f>SUM(J158:V158)</f>
        <v>39.872485714285716</v>
      </c>
      <c r="J158" s="47">
        <f t="shared" ref="J158:V158" si="54">($F156*$F157*Million)/$E156*USD_IDR/Billion*J$325</f>
        <v>0</v>
      </c>
      <c r="K158" s="47">
        <f t="shared" si="54"/>
        <v>3.3227071428571433</v>
      </c>
      <c r="L158" s="47">
        <f t="shared" si="54"/>
        <v>3.3227071428571433</v>
      </c>
      <c r="M158" s="47">
        <f t="shared" si="54"/>
        <v>3.3227071428571433</v>
      </c>
      <c r="N158" s="47">
        <f t="shared" si="54"/>
        <v>3.3227071428571433</v>
      </c>
      <c r="O158" s="47">
        <f t="shared" si="54"/>
        <v>3.3227071428571433</v>
      </c>
      <c r="P158" s="47">
        <f t="shared" si="54"/>
        <v>3.3227071428571433</v>
      </c>
      <c r="Q158" s="47">
        <f t="shared" si="54"/>
        <v>3.3227071428571433</v>
      </c>
      <c r="R158" s="47">
        <f t="shared" si="54"/>
        <v>3.3227071428571433</v>
      </c>
      <c r="S158" s="47">
        <f t="shared" si="54"/>
        <v>3.3227071428571433</v>
      </c>
      <c r="T158" s="47">
        <f t="shared" si="54"/>
        <v>3.3227071428571433</v>
      </c>
      <c r="U158" s="47">
        <f t="shared" si="54"/>
        <v>3.3227071428571433</v>
      </c>
      <c r="V158" s="47">
        <f t="shared" si="54"/>
        <v>3.3227071428571433</v>
      </c>
    </row>
    <row r="159" spans="2:22">
      <c r="G159"/>
    </row>
    <row r="160" spans="2:22">
      <c r="B160" s="2" t="s">
        <v>481</v>
      </c>
      <c r="G160"/>
    </row>
    <row r="161" spans="2:22">
      <c r="B161" s="407" t="s">
        <v>483</v>
      </c>
      <c r="G161" s="17" t="s">
        <v>485</v>
      </c>
      <c r="J161">
        <f>J$304</f>
        <v>2017.4871277524769</v>
      </c>
      <c r="K161">
        <f t="shared" ref="K161:V161" si="55">K$304</f>
        <v>2078.0117415850514</v>
      </c>
      <c r="L161">
        <f t="shared" si="55"/>
        <v>2140.3520938326028</v>
      </c>
      <c r="M161">
        <f t="shared" si="55"/>
        <v>2204.5626566475812</v>
      </c>
      <c r="N161">
        <f t="shared" si="55"/>
        <v>2270.6995363470082</v>
      </c>
      <c r="O161">
        <f t="shared" si="55"/>
        <v>2338.8205224374187</v>
      </c>
      <c r="P161">
        <f t="shared" si="55"/>
        <v>2408.9851381105414</v>
      </c>
      <c r="Q161">
        <f t="shared" si="55"/>
        <v>2481.2546922538577</v>
      </c>
      <c r="R161">
        <f t="shared" si="55"/>
        <v>2555.6923330214736</v>
      </c>
      <c r="S161">
        <f t="shared" si="55"/>
        <v>2632.3631030121178</v>
      </c>
      <c r="T161">
        <f t="shared" si="55"/>
        <v>2711.3339961024817</v>
      </c>
      <c r="U161">
        <f t="shared" si="55"/>
        <v>2792.6740159855558</v>
      </c>
      <c r="V161">
        <f t="shared" si="55"/>
        <v>2876.4542364651229</v>
      </c>
    </row>
    <row r="162" spans="2:22">
      <c r="B162" s="407" t="s">
        <v>519</v>
      </c>
      <c r="J162" s="74">
        <f>Input!K280</f>
        <v>0</v>
      </c>
      <c r="K162" s="74">
        <f>Input!L280</f>
        <v>0</v>
      </c>
      <c r="L162" s="74">
        <f>Input!M280</f>
        <v>0</v>
      </c>
      <c r="M162" s="74">
        <f>Input!N280</f>
        <v>0</v>
      </c>
      <c r="N162" s="74">
        <f>Input!O280</f>
        <v>0</v>
      </c>
      <c r="O162" s="74">
        <f>Input!P280</f>
        <v>0</v>
      </c>
      <c r="P162" s="74">
        <f>Input!Q280</f>
        <v>0</v>
      </c>
      <c r="Q162" s="74">
        <f>Input!R280</f>
        <v>0</v>
      </c>
      <c r="R162" s="74">
        <f>Input!S280</f>
        <v>0</v>
      </c>
      <c r="S162" s="74">
        <f>Input!T280</f>
        <v>0</v>
      </c>
      <c r="T162" s="74">
        <f>Input!U280</f>
        <v>0</v>
      </c>
      <c r="U162" s="74">
        <f>Input!V280</f>
        <v>0</v>
      </c>
      <c r="V162" s="74">
        <f>Input!W280</f>
        <v>0</v>
      </c>
    </row>
    <row r="163" spans="2:22">
      <c r="B163" s="407" t="s">
        <v>486</v>
      </c>
      <c r="G163" s="17" t="s">
        <v>315</v>
      </c>
    </row>
    <row r="164" spans="2:22">
      <c r="B164" s="28" t="s">
        <v>480</v>
      </c>
      <c r="C164" s="28"/>
      <c r="D164" s="28"/>
      <c r="E164" s="28"/>
      <c r="F164" s="28"/>
      <c r="G164" s="28"/>
      <c r="H164" s="28"/>
      <c r="I164" s="28"/>
      <c r="J164" s="47">
        <f>J161*J$333*J162/Billion</f>
        <v>0</v>
      </c>
      <c r="K164" s="47">
        <f t="shared" ref="K164:V164" si="56">K161*K$333*K162/Billion</f>
        <v>0</v>
      </c>
      <c r="L164" s="47">
        <f t="shared" si="56"/>
        <v>0</v>
      </c>
      <c r="M164" s="47">
        <f t="shared" si="56"/>
        <v>0</v>
      </c>
      <c r="N164" s="47">
        <f t="shared" si="56"/>
        <v>0</v>
      </c>
      <c r="O164" s="47">
        <f t="shared" si="56"/>
        <v>0</v>
      </c>
      <c r="P164" s="47">
        <f t="shared" si="56"/>
        <v>0</v>
      </c>
      <c r="Q164" s="47">
        <f t="shared" si="56"/>
        <v>0</v>
      </c>
      <c r="R164" s="47">
        <f t="shared" si="56"/>
        <v>0</v>
      </c>
      <c r="S164" s="47">
        <f t="shared" si="56"/>
        <v>0</v>
      </c>
      <c r="T164" s="47">
        <f t="shared" si="56"/>
        <v>0</v>
      </c>
      <c r="U164" s="47">
        <f t="shared" si="56"/>
        <v>0</v>
      </c>
      <c r="V164" s="47">
        <f t="shared" si="56"/>
        <v>0</v>
      </c>
    </row>
    <row r="165" spans="2:22">
      <c r="G165"/>
    </row>
    <row r="166" spans="2:22">
      <c r="B166" s="2" t="s">
        <v>520</v>
      </c>
      <c r="F166" s="58" t="s">
        <v>515</v>
      </c>
      <c r="G166"/>
      <c r="I166" s="22"/>
    </row>
    <row r="167" spans="2:22">
      <c r="B167" s="407" t="s">
        <v>516</v>
      </c>
      <c r="F167" s="30">
        <f>$F$342</f>
        <v>8</v>
      </c>
      <c r="G167" s="17" t="s">
        <v>176</v>
      </c>
    </row>
    <row r="168" spans="2:22">
      <c r="B168" s="407" t="s">
        <v>517</v>
      </c>
      <c r="F168" s="75">
        <f>Input!J291</f>
        <v>0</v>
      </c>
      <c r="G168" s="17" t="s">
        <v>315</v>
      </c>
    </row>
    <row r="169" spans="2:22">
      <c r="B169" s="28" t="s">
        <v>476</v>
      </c>
      <c r="C169" s="28"/>
      <c r="D169" s="28"/>
      <c r="E169" s="28"/>
      <c r="F169" s="28"/>
      <c r="G169" s="28"/>
      <c r="H169" s="28"/>
      <c r="I169" s="49">
        <f>SUM(J169:V169)</f>
        <v>0</v>
      </c>
      <c r="J169" s="47">
        <f t="shared" ref="J169:V169" si="57">$F167*USD_IDR*$F168*Million/Billion*J129</f>
        <v>0</v>
      </c>
      <c r="K169" s="47">
        <f t="shared" si="57"/>
        <v>0</v>
      </c>
      <c r="L169" s="47">
        <f t="shared" si="57"/>
        <v>0</v>
      </c>
      <c r="M169" s="47">
        <f t="shared" si="57"/>
        <v>0</v>
      </c>
      <c r="N169" s="47">
        <f t="shared" si="57"/>
        <v>0</v>
      </c>
      <c r="O169" s="47">
        <f t="shared" si="57"/>
        <v>0</v>
      </c>
      <c r="P169" s="47">
        <f t="shared" si="57"/>
        <v>0</v>
      </c>
      <c r="Q169" s="47">
        <f t="shared" si="57"/>
        <v>0</v>
      </c>
      <c r="R169" s="47">
        <f t="shared" si="57"/>
        <v>0</v>
      </c>
      <c r="S169" s="47">
        <f t="shared" si="57"/>
        <v>0</v>
      </c>
      <c r="T169" s="47">
        <f t="shared" si="57"/>
        <v>0</v>
      </c>
      <c r="U169" s="47">
        <f t="shared" si="57"/>
        <v>0</v>
      </c>
      <c r="V169" s="47">
        <f t="shared" si="57"/>
        <v>0</v>
      </c>
    </row>
    <row r="170" spans="2:22">
      <c r="G170"/>
    </row>
    <row r="171" spans="2:22">
      <c r="B171" s="2" t="s">
        <v>489</v>
      </c>
      <c r="G171"/>
    </row>
    <row r="172" spans="2:22">
      <c r="B172" s="407" t="s">
        <v>483</v>
      </c>
      <c r="G172" s="17" t="s">
        <v>485</v>
      </c>
      <c r="J172">
        <f>J$319</f>
        <v>720.26006080793991</v>
      </c>
      <c r="K172">
        <f t="shared" ref="K172:V172" si="58">K$319</f>
        <v>741.867862632178</v>
      </c>
      <c r="L172">
        <f t="shared" si="58"/>
        <v>764.12389851114347</v>
      </c>
      <c r="M172">
        <f t="shared" si="58"/>
        <v>787.04761546647785</v>
      </c>
      <c r="N172">
        <f t="shared" si="58"/>
        <v>810.65904393047208</v>
      </c>
      <c r="O172">
        <f t="shared" si="58"/>
        <v>834.97881524838624</v>
      </c>
      <c r="P172">
        <f t="shared" si="58"/>
        <v>860.02817970583794</v>
      </c>
      <c r="Q172">
        <f t="shared" si="58"/>
        <v>885.82902509701307</v>
      </c>
      <c r="R172">
        <f t="shared" si="58"/>
        <v>912.40389584992352</v>
      </c>
      <c r="S172">
        <f t="shared" si="58"/>
        <v>939.7760127254212</v>
      </c>
      <c r="T172">
        <f t="shared" si="58"/>
        <v>967.96929310718383</v>
      </c>
      <c r="U172">
        <f t="shared" si="58"/>
        <v>997.00837190039942</v>
      </c>
      <c r="V172">
        <f t="shared" si="58"/>
        <v>1026.9186230574114</v>
      </c>
    </row>
    <row r="173" spans="2:22">
      <c r="B173" s="407" t="s">
        <v>519</v>
      </c>
      <c r="J173" s="74">
        <f>Input!K286</f>
        <v>0</v>
      </c>
      <c r="K173" s="74">
        <f>Input!L286</f>
        <v>0</v>
      </c>
      <c r="L173" s="74">
        <f>Input!M286</f>
        <v>0</v>
      </c>
      <c r="M173" s="74">
        <f>Input!N286</f>
        <v>0</v>
      </c>
      <c r="N173" s="74">
        <f>Input!O286</f>
        <v>0</v>
      </c>
      <c r="O173" s="74">
        <f>Input!P286</f>
        <v>0</v>
      </c>
      <c r="P173" s="74">
        <f>Input!Q286</f>
        <v>0</v>
      </c>
      <c r="Q173" s="74">
        <f>Input!R286</f>
        <v>0</v>
      </c>
      <c r="R173" s="74">
        <f>Input!S286</f>
        <v>0</v>
      </c>
      <c r="S173" s="74">
        <f>Input!T286</f>
        <v>0</v>
      </c>
      <c r="T173" s="74">
        <f>Input!U286</f>
        <v>0</v>
      </c>
      <c r="U173" s="74">
        <f>Input!V286</f>
        <v>0</v>
      </c>
      <c r="V173" s="74">
        <f>Input!W286</f>
        <v>0</v>
      </c>
    </row>
    <row r="174" spans="2:22">
      <c r="B174" s="407" t="s">
        <v>521</v>
      </c>
      <c r="G174" s="17" t="s">
        <v>315</v>
      </c>
    </row>
    <row r="175" spans="2:22">
      <c r="B175" s="28" t="s">
        <v>480</v>
      </c>
      <c r="C175" s="28"/>
      <c r="D175" s="28"/>
      <c r="E175" s="28"/>
      <c r="F175" s="28"/>
      <c r="G175" s="28"/>
      <c r="H175" s="28"/>
      <c r="I175" s="28"/>
      <c r="J175" s="47">
        <f>J172*J$333*J173/Billion</f>
        <v>0</v>
      </c>
      <c r="K175" s="47">
        <f t="shared" ref="K175:V175" si="59">K172*K$333*K173/Billion</f>
        <v>0</v>
      </c>
      <c r="L175" s="47">
        <f t="shared" si="59"/>
        <v>0</v>
      </c>
      <c r="M175" s="47">
        <f t="shared" si="59"/>
        <v>0</v>
      </c>
      <c r="N175" s="47">
        <f t="shared" si="59"/>
        <v>0</v>
      </c>
      <c r="O175" s="47">
        <f t="shared" si="59"/>
        <v>0</v>
      </c>
      <c r="P175" s="47">
        <f t="shared" si="59"/>
        <v>0</v>
      </c>
      <c r="Q175" s="47">
        <f t="shared" si="59"/>
        <v>0</v>
      </c>
      <c r="R175" s="47">
        <f t="shared" si="59"/>
        <v>0</v>
      </c>
      <c r="S175" s="47">
        <f t="shared" si="59"/>
        <v>0</v>
      </c>
      <c r="T175" s="47">
        <f t="shared" si="59"/>
        <v>0</v>
      </c>
      <c r="U175" s="47">
        <f t="shared" si="59"/>
        <v>0</v>
      </c>
      <c r="V175" s="47">
        <f t="shared" si="59"/>
        <v>0</v>
      </c>
    </row>
    <row r="176" spans="2:22">
      <c r="G176"/>
      <c r="J176">
        <f>J177/Million</f>
        <v>1.9900246600000002</v>
      </c>
      <c r="K176">
        <f t="shared" ref="K176:V176" si="60">K177/Million</f>
        <v>6.599710967800001</v>
      </c>
      <c r="L176">
        <f t="shared" si="60"/>
        <v>6.7977022968339993</v>
      </c>
      <c r="M176">
        <f t="shared" si="60"/>
        <v>7.0016333657390195</v>
      </c>
      <c r="N176">
        <f t="shared" si="60"/>
        <v>7.2116823667111909</v>
      </c>
      <c r="O176">
        <f t="shared" si="60"/>
        <v>7.428032837712526</v>
      </c>
      <c r="P176">
        <f t="shared" si="60"/>
        <v>7.6508738228439022</v>
      </c>
      <c r="Q176">
        <f t="shared" si="60"/>
        <v>7.8804000375292205</v>
      </c>
      <c r="R176">
        <f t="shared" si="60"/>
        <v>8.1168120386550964</v>
      </c>
      <c r="S176">
        <f t="shared" si="60"/>
        <v>8.3603163998147512</v>
      </c>
      <c r="T176">
        <f t="shared" si="60"/>
        <v>8.6111258918091931</v>
      </c>
      <c r="U176">
        <f t="shared" si="60"/>
        <v>8.8694596685634703</v>
      </c>
      <c r="V176">
        <f t="shared" si="60"/>
        <v>9.1355434586203739</v>
      </c>
    </row>
    <row r="177" spans="2:22" ht="24" thickBot="1">
      <c r="B177" s="14" t="s">
        <v>522</v>
      </c>
      <c r="C177" s="14"/>
      <c r="D177" s="14"/>
      <c r="E177" s="14"/>
      <c r="F177" s="14"/>
      <c r="G177" s="14"/>
      <c r="H177" s="14"/>
      <c r="I177" s="14"/>
      <c r="J177" s="261">
        <f>SUM(J181,J286,J329)</f>
        <v>1990024.6600000001</v>
      </c>
      <c r="K177" s="261">
        <f t="shared" ref="K177:V177" si="61">SUM(K181,K286,K329)</f>
        <v>6599710.9678000007</v>
      </c>
      <c r="L177" s="261">
        <f t="shared" si="61"/>
        <v>6797702.2968339995</v>
      </c>
      <c r="M177" s="261">
        <f t="shared" si="61"/>
        <v>7001633.3657390196</v>
      </c>
      <c r="N177" s="261">
        <f t="shared" si="61"/>
        <v>7211682.3667111909</v>
      </c>
      <c r="O177" s="261">
        <f t="shared" si="61"/>
        <v>7428032.8377125263</v>
      </c>
      <c r="P177" s="261">
        <f t="shared" si="61"/>
        <v>7650873.8228439018</v>
      </c>
      <c r="Q177" s="261">
        <f t="shared" si="61"/>
        <v>7880400.0375292208</v>
      </c>
      <c r="R177" s="261">
        <f t="shared" si="61"/>
        <v>8116812.0386550967</v>
      </c>
      <c r="S177" s="261">
        <f t="shared" si="61"/>
        <v>8360316.399814751</v>
      </c>
      <c r="T177" s="261">
        <f t="shared" si="61"/>
        <v>8611125.8918091934</v>
      </c>
      <c r="U177" s="261">
        <f t="shared" si="61"/>
        <v>8869459.6685634702</v>
      </c>
      <c r="V177" s="261">
        <f t="shared" si="61"/>
        <v>9135543.4586203732</v>
      </c>
    </row>
    <row r="178" spans="2:22">
      <c r="G178"/>
    </row>
    <row r="179" spans="2:22" ht="15.75">
      <c r="B179" s="15" t="s">
        <v>523</v>
      </c>
      <c r="G179"/>
    </row>
    <row r="180" spans="2:22" ht="15.75">
      <c r="B180" s="41" t="s">
        <v>511</v>
      </c>
      <c r="G180"/>
      <c r="I180">
        <v>1</v>
      </c>
      <c r="J180" s="77">
        <f>I180*(1+Input!K204)*J$12</f>
        <v>1</v>
      </c>
      <c r="K180" s="77">
        <f>J180*(1+Input!L204)*K$12</f>
        <v>1.03</v>
      </c>
      <c r="L180" s="77">
        <f>K180*(1+Input!M204)*L$12</f>
        <v>1.0609</v>
      </c>
      <c r="M180" s="77">
        <f>L180*(1+Input!N204)*M$12</f>
        <v>1.092727</v>
      </c>
      <c r="N180" s="77">
        <f>M180*(1+Input!O204)*N$12</f>
        <v>1.1255088100000001</v>
      </c>
      <c r="O180" s="77">
        <f>N180*(1+Input!P204)*O$12</f>
        <v>1.1592740743000001</v>
      </c>
      <c r="P180" s="77">
        <f>O180*(1+Input!Q204)*P$12</f>
        <v>1.1940522965290001</v>
      </c>
      <c r="Q180" s="70">
        <f>P180*(1+Input!R204)*Q$12</f>
        <v>1.2298738654248702</v>
      </c>
      <c r="R180" s="70">
        <f>Q180*(1+Input!S204)*R$12</f>
        <v>1.2667700813876164</v>
      </c>
      <c r="S180" s="70">
        <f>R180*(1+Input!T204)*S$12</f>
        <v>1.3047731838292449</v>
      </c>
      <c r="T180" s="70">
        <f>S180*(1+Input!U204)*T$12</f>
        <v>1.3439163793441222</v>
      </c>
      <c r="U180" s="70">
        <f>T180*(1+Input!V204)*U$12</f>
        <v>1.3842338707244459</v>
      </c>
      <c r="V180" s="70">
        <f>U180*(1+Input!W204)*V$12</f>
        <v>1.4257608868461793</v>
      </c>
    </row>
    <row r="181" spans="2:22">
      <c r="B181" s="407" t="s">
        <v>524</v>
      </c>
      <c r="F181" s="6">
        <f>Input!J209</f>
        <v>1990024.6600000001</v>
      </c>
      <c r="G181" s="17" t="s">
        <v>315</v>
      </c>
      <c r="I181">
        <f>SUM(J181:V181)</f>
        <v>31079788.126999561</v>
      </c>
      <c r="J181">
        <f>J180*$F181*J$12</f>
        <v>1990024.6600000001</v>
      </c>
      <c r="K181">
        <f>K180*$F181*K$12</f>
        <v>2049725.3998000002</v>
      </c>
      <c r="L181">
        <f>L180*$F181*L$12</f>
        <v>2111217.1617939998</v>
      </c>
      <c r="M181">
        <f>M180*$F181*M$12</f>
        <v>2174553.67664782</v>
      </c>
      <c r="N181">
        <f t="shared" ref="N181:V181" si="62">N180*$F181*N$12</f>
        <v>2239790.286947255</v>
      </c>
      <c r="O181">
        <f t="shared" si="62"/>
        <v>2306983.9955556723</v>
      </c>
      <c r="P181">
        <f t="shared" si="62"/>
        <v>2376193.5154223428</v>
      </c>
      <c r="Q181">
        <f t="shared" si="62"/>
        <v>2447479.3208850133</v>
      </c>
      <c r="R181">
        <f t="shared" si="62"/>
        <v>2520903.7005115636</v>
      </c>
      <c r="S181">
        <f t="shared" si="62"/>
        <v>2596530.8115269109</v>
      </c>
      <c r="T181">
        <f t="shared" si="62"/>
        <v>2674426.735872718</v>
      </c>
      <c r="U181">
        <f t="shared" si="62"/>
        <v>2754659.5379488994</v>
      </c>
      <c r="V181">
        <f t="shared" si="62"/>
        <v>2837299.3240873665</v>
      </c>
    </row>
    <row r="182" spans="2:22">
      <c r="B182" s="407" t="s">
        <v>525</v>
      </c>
      <c r="F182" s="19">
        <v>1490024.66</v>
      </c>
      <c r="I182">
        <f>SUM(J182:V182)</f>
        <v>17436761.477176122</v>
      </c>
      <c r="J182" s="276"/>
      <c r="K182" s="43"/>
      <c r="L182" s="43"/>
      <c r="M182" s="19">
        <f>F182</f>
        <v>1490024.66</v>
      </c>
      <c r="N182" s="19">
        <f>M182*(1+Input!$L$36)</f>
        <v>1534725.3998</v>
      </c>
      <c r="O182" s="19">
        <f>N182*(1+Input!$L$36)</f>
        <v>1580767.1617940001</v>
      </c>
      <c r="P182" s="19">
        <f>O182*(1+Input!$L$36)</f>
        <v>1628190.17664782</v>
      </c>
      <c r="Q182" s="19">
        <f>P182*(1+Input!$L$36)</f>
        <v>1677035.8819472548</v>
      </c>
      <c r="R182" s="19">
        <f>Q182*(1+Input!$L$36)</f>
        <v>1727346.9584056723</v>
      </c>
      <c r="S182" s="19">
        <f>R182*(1+Input!$L$36)</f>
        <v>1779167.3671578425</v>
      </c>
      <c r="T182" s="19">
        <f>S182*(1+Input!$L$36)</f>
        <v>1832542.3881725778</v>
      </c>
      <c r="U182">
        <f>$F$182*U180</f>
        <v>2062542.6025866764</v>
      </c>
      <c r="V182">
        <f>$F$182*V180</f>
        <v>2124418.8806642769</v>
      </c>
    </row>
    <row r="183" spans="2:22">
      <c r="B183" s="407" t="s">
        <v>58</v>
      </c>
      <c r="F183" s="19"/>
      <c r="I183">
        <f>SUM(J183:V183)</f>
        <v>3416492.8517274531</v>
      </c>
      <c r="J183" s="276"/>
      <c r="K183" s="43"/>
      <c r="N183" s="19">
        <v>300000</v>
      </c>
      <c r="O183" s="19">
        <f t="shared" ref="O183:T183" si="63">N183*$O$180</f>
        <v>347782.22229000001</v>
      </c>
      <c r="P183" s="19">
        <f t="shared" si="63"/>
        <v>403174.91380323662</v>
      </c>
      <c r="Q183" s="19">
        <f t="shared" si="63"/>
        <v>467390.22498022945</v>
      </c>
      <c r="R183" s="19">
        <f t="shared" si="63"/>
        <v>541833.37040082423</v>
      </c>
      <c r="S183" s="19">
        <f t="shared" si="63"/>
        <v>628133.37889626459</v>
      </c>
      <c r="T183" s="19">
        <f t="shared" si="63"/>
        <v>728178.74135689833</v>
      </c>
    </row>
    <row r="184" spans="2:22">
      <c r="B184" s="407" t="s">
        <v>465</v>
      </c>
      <c r="J184">
        <f>Input!K211*J180</f>
        <v>34120</v>
      </c>
      <c r="K184">
        <f>Input!L211*K180</f>
        <v>35143.599999999999</v>
      </c>
      <c r="L184">
        <f>Input!M211*L180</f>
        <v>36197.907999999996</v>
      </c>
      <c r="M184">
        <f>Input!N211*M180</f>
        <v>38402.3605972</v>
      </c>
      <c r="N184">
        <f>Input!O211*N180</f>
        <v>39554.431415116</v>
      </c>
      <c r="O184">
        <f>Input!P211*O180</f>
        <v>40741.064357569478</v>
      </c>
      <c r="P184">
        <f>Input!Q211*P180</f>
        <v>41963.296288296566</v>
      </c>
      <c r="Q184">
        <f>Input!R211*Q180</f>
        <v>44518.86103225383</v>
      </c>
      <c r="R184">
        <f>Input!S211*R180</f>
        <v>45854.426863221444</v>
      </c>
      <c r="S184">
        <f>Input!T211*S180</f>
        <v>47230.059669118091</v>
      </c>
      <c r="T184">
        <f>Input!U211*T180</f>
        <v>48646.961459191632</v>
      </c>
      <c r="U184">
        <f>Input!V211*U180</f>
        <v>50106.370302967378</v>
      </c>
      <c r="V184">
        <f>Input!W211*V180</f>
        <v>51609.561412056406</v>
      </c>
    </row>
    <row r="185" spans="2:22">
      <c r="B185" s="28" t="s">
        <v>9</v>
      </c>
      <c r="C185" s="28"/>
      <c r="D185" s="28"/>
      <c r="E185" s="28"/>
      <c r="F185" s="28"/>
      <c r="G185" s="28"/>
      <c r="H185" s="28"/>
      <c r="I185" s="48">
        <f>SUM(J185:V185)</f>
        <v>2288.2883228075925</v>
      </c>
      <c r="J185" s="28">
        <f>SUM(J181:J183)*J184/Billion</f>
        <v>67.899641399200007</v>
      </c>
      <c r="K185" s="28">
        <f t="shared" ref="K185:V185" si="64">SUM(K181:K183)*K184/Billion</f>
        <v>72.034729560411279</v>
      </c>
      <c r="L185" s="28">
        <f t="shared" si="64"/>
        <v>76.421644590640327</v>
      </c>
      <c r="M185" s="28">
        <f t="shared" si="64"/>
        <v>140.72845872063695</v>
      </c>
      <c r="N185" s="28">
        <f t="shared" si="64"/>
        <v>161.16515128125855</v>
      </c>
      <c r="O185" s="28">
        <f t="shared" si="64"/>
        <v>172.56013800853364</v>
      </c>
      <c r="P185" s="28">
        <f t="shared" si="64"/>
        <v>184.95568768629681</v>
      </c>
      <c r="Q185" s="28">
        <f t="shared" si="64"/>
        <v>204.42639961403663</v>
      </c>
      <c r="R185" s="28">
        <f t="shared" si="64"/>
        <v>219.6465577910501</v>
      </c>
      <c r="S185" s="28">
        <f t="shared" si="64"/>
        <v>236.33126303876759</v>
      </c>
      <c r="T185" s="28">
        <f t="shared" si="64"/>
        <v>254.67403644138986</v>
      </c>
      <c r="U185" s="28">
        <f t="shared" si="64"/>
        <v>241.3725142779227</v>
      </c>
      <c r="V185" s="28">
        <f t="shared" si="64"/>
        <v>256.0721003974482</v>
      </c>
    </row>
    <row r="186" spans="2:22">
      <c r="G186"/>
      <c r="I186" s="21"/>
      <c r="K186" s="21"/>
      <c r="L186" s="21"/>
      <c r="M186" s="21"/>
      <c r="N186" s="21"/>
    </row>
    <row r="187" spans="2:22">
      <c r="B187" t="s">
        <v>471</v>
      </c>
      <c r="G187"/>
      <c r="I187" s="21"/>
      <c r="J187">
        <f>SUM(J181)</f>
        <v>1990024.6600000001</v>
      </c>
      <c r="K187">
        <f t="shared" ref="K187:V187" si="65">SUM(K181)</f>
        <v>2049725.3998000002</v>
      </c>
      <c r="L187">
        <f t="shared" si="65"/>
        <v>2111217.1617939998</v>
      </c>
      <c r="M187">
        <f t="shared" si="65"/>
        <v>2174553.67664782</v>
      </c>
      <c r="N187">
        <f t="shared" si="65"/>
        <v>2239790.286947255</v>
      </c>
      <c r="O187">
        <f t="shared" si="65"/>
        <v>2306983.9955556723</v>
      </c>
      <c r="P187">
        <f t="shared" si="65"/>
        <v>2376193.5154223428</v>
      </c>
      <c r="Q187">
        <f t="shared" si="65"/>
        <v>2447479.3208850133</v>
      </c>
      <c r="R187">
        <f t="shared" si="65"/>
        <v>2520903.7005115636</v>
      </c>
      <c r="S187">
        <f t="shared" si="65"/>
        <v>2596530.8115269109</v>
      </c>
      <c r="T187">
        <f t="shared" si="65"/>
        <v>2674426.735872718</v>
      </c>
      <c r="U187">
        <f t="shared" si="65"/>
        <v>2754659.5379488994</v>
      </c>
      <c r="V187">
        <f t="shared" si="65"/>
        <v>2837299.3240873665</v>
      </c>
    </row>
    <row r="188" spans="2:22">
      <c r="G188"/>
      <c r="I188" s="21"/>
      <c r="K188" s="21"/>
      <c r="L188" s="21"/>
      <c r="M188" s="21"/>
      <c r="N188" s="21"/>
    </row>
    <row r="189" spans="2:22" ht="15.75">
      <c r="B189" s="15" t="s">
        <v>526</v>
      </c>
      <c r="G189"/>
      <c r="I189" s="21"/>
      <c r="J189" s="53">
        <f>SUM(J198,J204,J209,J215,J220,J226,J232,J238,J244,J249)</f>
        <v>16.842833760685899</v>
      </c>
      <c r="K189" s="53">
        <f t="shared" ref="K189:V189" si="66">SUM(K198,K204,K209,K215,K220,K226,K232,K238,K244,K249)</f>
        <v>17.57759573822063</v>
      </c>
      <c r="L189" s="53">
        <f t="shared" si="66"/>
        <v>18.382915267846631</v>
      </c>
      <c r="M189" s="53">
        <f t="shared" si="66"/>
        <v>19.194474517157609</v>
      </c>
      <c r="N189" s="53">
        <f t="shared" si="66"/>
        <v>20.047571913512726</v>
      </c>
      <c r="O189" s="53">
        <f t="shared" si="66"/>
        <v>20.977626169319105</v>
      </c>
      <c r="P189" s="53">
        <f t="shared" si="66"/>
        <v>21.920680698318787</v>
      </c>
      <c r="Q189" s="53">
        <f t="shared" si="66"/>
        <v>22.912416176575856</v>
      </c>
      <c r="R189" s="53">
        <f t="shared" si="66"/>
        <v>23.988655812534539</v>
      </c>
      <c r="S189" s="53">
        <f t="shared" si="66"/>
        <v>25.08587108276468</v>
      </c>
      <c r="T189" s="53">
        <f t="shared" si="66"/>
        <v>26.240195691605962</v>
      </c>
      <c r="U189" s="53">
        <f t="shared" si="66"/>
        <v>27.454764798288615</v>
      </c>
      <c r="V189" s="53">
        <f t="shared" si="66"/>
        <v>28.732892426726394</v>
      </c>
    </row>
    <row r="190" spans="2:22">
      <c r="B190" s="2" t="s">
        <v>474</v>
      </c>
      <c r="G190"/>
      <c r="I190" s="22"/>
    </row>
    <row r="191" spans="2:22">
      <c r="B191" s="407" t="s">
        <v>475</v>
      </c>
      <c r="F191" s="30">
        <f>Input!J223</f>
        <v>40.829176858830003</v>
      </c>
      <c r="G191" s="17" t="s">
        <v>315</v>
      </c>
      <c r="J191">
        <f t="shared" ref="J191:V191" si="67">$F$191*J12</f>
        <v>40.829176858830003</v>
      </c>
      <c r="K191">
        <f t="shared" si="67"/>
        <v>40.829176858830003</v>
      </c>
      <c r="L191">
        <f t="shared" si="67"/>
        <v>40.829176858830003</v>
      </c>
      <c r="M191">
        <f t="shared" si="67"/>
        <v>40.829176858830003</v>
      </c>
      <c r="N191">
        <f t="shared" si="67"/>
        <v>40.829176858830003</v>
      </c>
      <c r="O191">
        <f t="shared" si="67"/>
        <v>40.829176858830003</v>
      </c>
      <c r="P191">
        <f t="shared" si="67"/>
        <v>40.829176858830003</v>
      </c>
      <c r="Q191">
        <f t="shared" si="67"/>
        <v>40.829176858830003</v>
      </c>
      <c r="R191">
        <f t="shared" si="67"/>
        <v>40.829176858830003</v>
      </c>
      <c r="S191">
        <f t="shared" si="67"/>
        <v>40.829176858830003</v>
      </c>
      <c r="T191">
        <f t="shared" si="67"/>
        <v>40.829176858830003</v>
      </c>
      <c r="U191">
        <f t="shared" si="67"/>
        <v>40.829176858830003</v>
      </c>
      <c r="V191">
        <f t="shared" si="67"/>
        <v>40.829176858830003</v>
      </c>
    </row>
    <row r="192" spans="2:22">
      <c r="B192" s="407" t="s">
        <v>58</v>
      </c>
      <c r="G192" s="17" t="s">
        <v>315</v>
      </c>
      <c r="J192">
        <f>Input!K218</f>
        <v>0</v>
      </c>
      <c r="K192">
        <f>Input!L218</f>
        <v>0</v>
      </c>
      <c r="L192">
        <f>Input!M218</f>
        <v>1</v>
      </c>
      <c r="M192">
        <f>Input!N218</f>
        <v>1</v>
      </c>
      <c r="N192">
        <f>Input!O218</f>
        <v>1</v>
      </c>
      <c r="O192">
        <f>Input!P218</f>
        <v>2</v>
      </c>
      <c r="P192">
        <f>Input!Q218</f>
        <v>2</v>
      </c>
      <c r="Q192">
        <f>Input!R218</f>
        <v>2</v>
      </c>
      <c r="R192">
        <f>Input!S218</f>
        <v>3</v>
      </c>
      <c r="S192">
        <f>Input!T218</f>
        <v>3</v>
      </c>
      <c r="T192">
        <f>Input!U218</f>
        <v>3</v>
      </c>
      <c r="U192">
        <f>Input!V218</f>
        <v>3</v>
      </c>
      <c r="V192">
        <f>Input!W218</f>
        <v>3</v>
      </c>
    </row>
    <row r="193" spans="2:22">
      <c r="B193" s="28" t="s">
        <v>476</v>
      </c>
      <c r="C193" s="28"/>
      <c r="D193" s="28"/>
      <c r="E193" s="28"/>
      <c r="F193" s="28"/>
      <c r="G193" s="28"/>
      <c r="H193" s="28"/>
      <c r="I193" s="49">
        <f>SUM(J193:V193)</f>
        <v>554.77929916479002</v>
      </c>
      <c r="J193" s="47">
        <f>SUM(J191:J192)</f>
        <v>40.829176858830003</v>
      </c>
      <c r="K193" s="47">
        <f t="shared" ref="K193:V193" si="68">SUM(K191:K192)</f>
        <v>40.829176858830003</v>
      </c>
      <c r="L193" s="47">
        <f t="shared" si="68"/>
        <v>41.829176858830003</v>
      </c>
      <c r="M193" s="47">
        <f t="shared" si="68"/>
        <v>41.829176858830003</v>
      </c>
      <c r="N193" s="47">
        <f t="shared" si="68"/>
        <v>41.829176858830003</v>
      </c>
      <c r="O193" s="47">
        <f t="shared" si="68"/>
        <v>42.829176858830003</v>
      </c>
      <c r="P193" s="47">
        <f t="shared" si="68"/>
        <v>42.829176858830003</v>
      </c>
      <c r="Q193" s="47">
        <f t="shared" si="68"/>
        <v>42.829176858830003</v>
      </c>
      <c r="R193" s="47">
        <f t="shared" si="68"/>
        <v>43.829176858830003</v>
      </c>
      <c r="S193" s="47">
        <f t="shared" si="68"/>
        <v>43.829176858830003</v>
      </c>
      <c r="T193" s="47">
        <f t="shared" si="68"/>
        <v>43.829176858830003</v>
      </c>
      <c r="U193" s="47">
        <f t="shared" si="68"/>
        <v>43.829176858830003</v>
      </c>
      <c r="V193" s="47">
        <f t="shared" si="68"/>
        <v>43.829176858830003</v>
      </c>
    </row>
    <row r="194" spans="2:22">
      <c r="G194"/>
    </row>
    <row r="195" spans="2:22">
      <c r="B195" s="2" t="s">
        <v>477</v>
      </c>
      <c r="G195"/>
    </row>
    <row r="196" spans="2:22">
      <c r="B196" s="407" t="s">
        <v>478</v>
      </c>
      <c r="G196"/>
      <c r="I196" s="13">
        <v>1</v>
      </c>
      <c r="J196" s="13">
        <f>I196*(1+Input!K226)*J$12</f>
        <v>1.0349999999999999</v>
      </c>
      <c r="K196" s="13">
        <f>J196*(1+Input!L226)*K$12</f>
        <v>1.0712249999999999</v>
      </c>
      <c r="L196" s="13">
        <f>K196*(1+Input!M226)*L$12</f>
        <v>1.1087178749999997</v>
      </c>
      <c r="M196" s="13">
        <f>L196*(1+Input!N226)*M$12</f>
        <v>1.1475230006249997</v>
      </c>
      <c r="N196" s="13">
        <f>M196*(1+Input!O226)*N$12</f>
        <v>1.1876863056468745</v>
      </c>
      <c r="O196" s="13">
        <f>N196*(1+Input!P226)*O$12</f>
        <v>1.229255326344515</v>
      </c>
      <c r="P196" s="13">
        <f>O196*(1+Input!Q226)*P$12</f>
        <v>1.2722792627665729</v>
      </c>
      <c r="Q196" s="13">
        <f>P196*(1+Input!R226)*Q$12</f>
        <v>1.3168090369634029</v>
      </c>
      <c r="R196" s="13">
        <f>Q196*(1+Input!S226)*R$12</f>
        <v>1.3628973532571218</v>
      </c>
      <c r="S196" s="13">
        <f>R196*(1+Input!T226)*S$12</f>
        <v>1.410598760621121</v>
      </c>
      <c r="T196" s="13">
        <f>S196*(1+Input!U226)*T$12</f>
        <v>1.4599697172428601</v>
      </c>
      <c r="U196" s="13">
        <f>T196*(1+Input!V226)*U$12</f>
        <v>1.5110686573463601</v>
      </c>
      <c r="V196" s="13">
        <f>U196*(1+Input!W226)*V$12</f>
        <v>1.5639560603534826</v>
      </c>
    </row>
    <row r="197" spans="2:22">
      <c r="B197" t="s">
        <v>479</v>
      </c>
      <c r="F197" s="19">
        <f>Input!J231</f>
        <v>5.423</v>
      </c>
      <c r="G197" s="17" t="s">
        <v>315</v>
      </c>
    </row>
    <row r="198" spans="2:22">
      <c r="B198" s="28" t="s">
        <v>480</v>
      </c>
      <c r="C198" s="28"/>
      <c r="D198" s="28"/>
      <c r="E198" s="28"/>
      <c r="F198" s="28"/>
      <c r="G198" s="28"/>
      <c r="H198" s="28"/>
      <c r="I198" s="28"/>
      <c r="J198" s="47">
        <f>$F197*J196</f>
        <v>5.6128049999999998</v>
      </c>
      <c r="K198" s="47">
        <f t="shared" ref="K198:V198" si="69">$F197*K196</f>
        <v>5.8092531749999994</v>
      </c>
      <c r="L198" s="47">
        <f t="shared" si="69"/>
        <v>6.0125770361249984</v>
      </c>
      <c r="M198" s="47">
        <f t="shared" si="69"/>
        <v>6.2230172323893731</v>
      </c>
      <c r="N198" s="47">
        <f t="shared" si="69"/>
        <v>6.4408228355230008</v>
      </c>
      <c r="O198" s="47">
        <f t="shared" si="69"/>
        <v>6.6662516347663043</v>
      </c>
      <c r="P198" s="47">
        <f t="shared" si="69"/>
        <v>6.8995704419831245</v>
      </c>
      <c r="Q198" s="47">
        <f t="shared" si="69"/>
        <v>7.1410554074525336</v>
      </c>
      <c r="R198" s="47">
        <f t="shared" si="69"/>
        <v>7.3909923467133716</v>
      </c>
      <c r="S198" s="47">
        <f t="shared" si="69"/>
        <v>7.649677078848339</v>
      </c>
      <c r="T198" s="47">
        <f t="shared" si="69"/>
        <v>7.9174157766080304</v>
      </c>
      <c r="U198" s="47">
        <f t="shared" si="69"/>
        <v>8.1945253287893109</v>
      </c>
      <c r="V198" s="47">
        <f t="shared" si="69"/>
        <v>8.4813337152969357</v>
      </c>
    </row>
    <row r="199" spans="2:22">
      <c r="G199"/>
    </row>
    <row r="200" spans="2:22">
      <c r="B200" s="2" t="s">
        <v>481</v>
      </c>
      <c r="G200"/>
    </row>
    <row r="201" spans="2:22">
      <c r="B201" s="407" t="s">
        <v>478</v>
      </c>
      <c r="E201" s="58" t="s">
        <v>482</v>
      </c>
      <c r="F201" s="58" t="s">
        <v>483</v>
      </c>
      <c r="G201"/>
      <c r="I201" s="13">
        <v>1</v>
      </c>
      <c r="J201" s="13">
        <f>I201*(1+Input!K234)*J$12</f>
        <v>1.03</v>
      </c>
      <c r="K201" s="13">
        <f>J201*(1+Input!L234)*K$12</f>
        <v>1.0609</v>
      </c>
      <c r="L201" s="71">
        <f>K201*(1+Input!M234)*L$12</f>
        <v>1.092727</v>
      </c>
      <c r="M201" s="71">
        <f>L201*(1+Input!N234)*M$12</f>
        <v>1.1255088100000001</v>
      </c>
      <c r="N201" s="13">
        <f>M201*(1+Input!O234)*N$12</f>
        <v>1.1592740743000001</v>
      </c>
      <c r="O201" s="13">
        <f>N201*(1+Input!P234)*O$12</f>
        <v>1.1940522965290001</v>
      </c>
      <c r="P201" s="13">
        <f>O201*(1+Input!Q234)*P$12</f>
        <v>1.2298738654248702</v>
      </c>
      <c r="Q201" s="13">
        <f>P201*(1+Input!R234)*Q$12</f>
        <v>1.2667700813876164</v>
      </c>
      <c r="R201" s="13">
        <f>Q201*(1+Input!S234)*R$12</f>
        <v>1.3047731838292449</v>
      </c>
      <c r="S201" s="13">
        <f>R201*(1+Input!T234)*S$12</f>
        <v>1.3439163793441222</v>
      </c>
      <c r="T201" s="13">
        <f>S201*(1+Input!U234)*T$12</f>
        <v>1.3842338707244459</v>
      </c>
      <c r="U201" s="13">
        <f>T201*(1+Input!V234)*U$12</f>
        <v>1.4257608868461793</v>
      </c>
      <c r="V201" s="13">
        <f>U201*(1+Input!W234)*V$12</f>
        <v>1.4685337134515648</v>
      </c>
    </row>
    <row r="202" spans="2:22">
      <c r="B202" s="407" t="s">
        <v>484</v>
      </c>
      <c r="E202" s="19">
        <v>1990024.6600000001</v>
      </c>
      <c r="F202" s="19">
        <f>F203/E202*Billion</f>
        <v>1958.7253667499776</v>
      </c>
      <c r="G202" s="17" t="s">
        <v>485</v>
      </c>
      <c r="J202">
        <f t="shared" ref="J202:V202" si="70">$F202*J201</f>
        <v>2017.4871277524769</v>
      </c>
      <c r="K202">
        <f t="shared" si="70"/>
        <v>2078.0117415850514</v>
      </c>
      <c r="L202">
        <f t="shared" si="70"/>
        <v>2140.3520938326028</v>
      </c>
      <c r="M202">
        <f t="shared" si="70"/>
        <v>2204.5626566475812</v>
      </c>
      <c r="N202">
        <f t="shared" si="70"/>
        <v>2270.6995363470082</v>
      </c>
      <c r="O202">
        <f t="shared" si="70"/>
        <v>2338.8205224374187</v>
      </c>
      <c r="P202">
        <f t="shared" si="70"/>
        <v>2408.9851381105414</v>
      </c>
      <c r="Q202">
        <f t="shared" si="70"/>
        <v>2481.2546922538577</v>
      </c>
      <c r="R202">
        <f t="shared" si="70"/>
        <v>2555.6923330214736</v>
      </c>
      <c r="S202">
        <f t="shared" si="70"/>
        <v>2632.3631030121178</v>
      </c>
      <c r="T202">
        <f t="shared" si="70"/>
        <v>2711.3339961024817</v>
      </c>
      <c r="U202">
        <f t="shared" si="70"/>
        <v>2792.6740159855558</v>
      </c>
      <c r="V202">
        <f t="shared" si="70"/>
        <v>2876.4542364651229</v>
      </c>
    </row>
    <row r="203" spans="2:22">
      <c r="B203" s="407" t="s">
        <v>486</v>
      </c>
      <c r="F203" s="19">
        <v>3.897911782</v>
      </c>
      <c r="G203" s="17" t="s">
        <v>315</v>
      </c>
    </row>
    <row r="204" spans="2:22">
      <c r="B204" s="28" t="s">
        <v>480</v>
      </c>
      <c r="C204" s="28"/>
      <c r="D204" s="28"/>
      <c r="E204" s="28"/>
      <c r="F204" s="28"/>
      <c r="G204" s="28"/>
      <c r="H204" s="28"/>
      <c r="I204" s="28"/>
      <c r="J204" s="47">
        <f>J202*J$187/Billion</f>
        <v>4.0148491354599996</v>
      </c>
      <c r="K204" s="47">
        <f t="shared" ref="K204:V204" si="71">K202*K$187/Billion</f>
        <v>4.2593534478095139</v>
      </c>
      <c r="L204" s="47">
        <f t="shared" si="71"/>
        <v>4.5187480727811122</v>
      </c>
      <c r="M204" s="47">
        <f t="shared" si="71"/>
        <v>4.7939398304134837</v>
      </c>
      <c r="N204" s="47">
        <f t="shared" si="71"/>
        <v>5.0858907660856651</v>
      </c>
      <c r="O204" s="47">
        <f t="shared" si="71"/>
        <v>5.3956215137402808</v>
      </c>
      <c r="P204" s="47">
        <f t="shared" si="71"/>
        <v>5.7242148639270649</v>
      </c>
      <c r="Q204" s="47">
        <f t="shared" si="71"/>
        <v>6.0728195491402248</v>
      </c>
      <c r="R204" s="47">
        <f t="shared" si="71"/>
        <v>6.4426542596828638</v>
      </c>
      <c r="S204" s="47">
        <f t="shared" si="71"/>
        <v>6.8350119040975512</v>
      </c>
      <c r="T204" s="47">
        <f t="shared" si="71"/>
        <v>7.2512641290570929</v>
      </c>
      <c r="U204" s="47">
        <f t="shared" si="71"/>
        <v>7.6928661145166686</v>
      </c>
      <c r="V204" s="47">
        <f t="shared" si="71"/>
        <v>8.1613616608907353</v>
      </c>
    </row>
    <row r="205" spans="2:22">
      <c r="G205"/>
    </row>
    <row r="206" spans="2:22">
      <c r="B206" s="2" t="s">
        <v>527</v>
      </c>
      <c r="G206"/>
    </row>
    <row r="207" spans="2:22">
      <c r="B207" s="407" t="s">
        <v>478</v>
      </c>
      <c r="G207"/>
      <c r="I207" s="13">
        <v>1</v>
      </c>
      <c r="J207" s="13">
        <f>I207*(1+Input!K250)*J12</f>
        <v>1.0349999999999999</v>
      </c>
      <c r="K207" s="13">
        <f>J207*(1+Input!L250)*K12</f>
        <v>1.0712249999999999</v>
      </c>
      <c r="L207" s="13">
        <f>K207*(1+Input!M250)*L12</f>
        <v>1.1087178749999997</v>
      </c>
      <c r="M207" s="13">
        <f>L207*(1+Input!N250)*M12</f>
        <v>1.1475230006249997</v>
      </c>
      <c r="N207" s="13">
        <f>M207*(1+Input!O250)*N12</f>
        <v>1.1876863056468745</v>
      </c>
      <c r="O207" s="13">
        <f>N207*(1+Input!P250)*O12</f>
        <v>1.229255326344515</v>
      </c>
      <c r="P207" s="13">
        <f>O207*(1+Input!Q250)*P12</f>
        <v>1.2722792627665729</v>
      </c>
      <c r="Q207" s="13">
        <f>P207*(1+Input!R250)*Q12</f>
        <v>1.3168090369634029</v>
      </c>
      <c r="R207" s="13">
        <f>Q207*(1+Input!S250)*R12</f>
        <v>1.3628973532571218</v>
      </c>
      <c r="S207" s="13">
        <f>R207*(1+Input!T250)*S12</f>
        <v>1.410598760621121</v>
      </c>
      <c r="T207" s="13">
        <f>S207*(1+Input!U250)*T12</f>
        <v>1.4599697172428601</v>
      </c>
      <c r="U207" s="13">
        <f>T207*(1+Input!V250)*U12</f>
        <v>1.5110686573463601</v>
      </c>
      <c r="V207" s="13">
        <f>U207*(1+Input!W250)*V12</f>
        <v>1.5639560603534826</v>
      </c>
    </row>
    <row r="208" spans="2:22">
      <c r="B208" t="s">
        <v>479</v>
      </c>
      <c r="F208" s="19">
        <f>Input!J255</f>
        <v>2.1486997309999998</v>
      </c>
      <c r="G208" s="17" t="s">
        <v>315</v>
      </c>
    </row>
    <row r="209" spans="2:22">
      <c r="B209" s="28" t="s">
        <v>480</v>
      </c>
      <c r="C209" s="28"/>
      <c r="D209" s="28"/>
      <c r="E209" s="28"/>
      <c r="F209" s="28"/>
      <c r="G209" s="28"/>
      <c r="H209" s="28"/>
      <c r="I209" s="28"/>
      <c r="J209" s="47">
        <f t="shared" ref="J209:V209" si="72">$F208*J207</f>
        <v>2.2239042215849998</v>
      </c>
      <c r="K209" s="47">
        <f t="shared" si="72"/>
        <v>2.3017408693404744</v>
      </c>
      <c r="L209" s="47">
        <f t="shared" si="72"/>
        <v>2.382301799767391</v>
      </c>
      <c r="M209" s="47">
        <f t="shared" si="72"/>
        <v>2.4656823627592495</v>
      </c>
      <c r="N209" s="47">
        <f t="shared" si="72"/>
        <v>2.5519812454558228</v>
      </c>
      <c r="O209" s="47">
        <f t="shared" si="72"/>
        <v>2.641300589046776</v>
      </c>
      <c r="P209" s="47">
        <f t="shared" si="72"/>
        <v>2.733746109663413</v>
      </c>
      <c r="Q209" s="47">
        <f t="shared" si="72"/>
        <v>2.8294272235016327</v>
      </c>
      <c r="R209" s="47">
        <f t="shared" si="72"/>
        <v>2.9284571763241893</v>
      </c>
      <c r="S209" s="47">
        <f t="shared" si="72"/>
        <v>3.0309531774955358</v>
      </c>
      <c r="T209" s="47">
        <f t="shared" si="72"/>
        <v>3.1370365387078794</v>
      </c>
      <c r="U209" s="47">
        <f t="shared" si="72"/>
        <v>3.2468328175626548</v>
      </c>
      <c r="V209" s="47">
        <f t="shared" si="72"/>
        <v>3.3604719661773474</v>
      </c>
    </row>
    <row r="210" spans="2:22">
      <c r="G210"/>
    </row>
    <row r="211" spans="2:22">
      <c r="B211" s="2" t="s">
        <v>528</v>
      </c>
      <c r="G211"/>
    </row>
    <row r="212" spans="2:22">
      <c r="B212" s="407" t="s">
        <v>478</v>
      </c>
      <c r="E212" s="58" t="s">
        <v>482</v>
      </c>
      <c r="F212" s="58" t="s">
        <v>483</v>
      </c>
      <c r="G212"/>
      <c r="I212" s="13">
        <v>1</v>
      </c>
      <c r="J212" s="13">
        <f>I212*(1+Input!K258)*J$12</f>
        <v>1.03</v>
      </c>
      <c r="K212" s="13">
        <f>J212*(1+Input!L258)*K$12</f>
        <v>1.0609</v>
      </c>
      <c r="L212" s="13">
        <f>K212*(1+Input!M258)*L$12</f>
        <v>1.092727</v>
      </c>
      <c r="M212" s="13">
        <f>L212*(1+Input!N258)*M$12</f>
        <v>1.1255088100000001</v>
      </c>
      <c r="N212" s="13">
        <f>M212*(1+Input!O258)*N$12</f>
        <v>1.1592740743000001</v>
      </c>
      <c r="O212" s="13">
        <f>N212*(1+Input!P258)*O$12</f>
        <v>1.1940522965290001</v>
      </c>
      <c r="P212" s="13">
        <f>O212*(1+Input!Q258)*P$12</f>
        <v>1.2298738654248702</v>
      </c>
      <c r="Q212" s="13">
        <f>P212*(1+Input!R258)*Q$12</f>
        <v>1.2667700813876164</v>
      </c>
      <c r="R212" s="13">
        <f>Q212*(1+Input!S258)*R$12</f>
        <v>1.3047731838292449</v>
      </c>
      <c r="S212" s="13">
        <f>R212*(1+Input!T258)*S$12</f>
        <v>1.3439163793441222</v>
      </c>
      <c r="T212" s="13">
        <f>S212*(1+Input!U258)*T$12</f>
        <v>1.3842338707244459</v>
      </c>
      <c r="U212" s="13">
        <f>T212*(1+Input!V258)*U$12</f>
        <v>1.4257608868461793</v>
      </c>
      <c r="V212" s="13">
        <f>U212*(1+Input!W258)*V$12</f>
        <v>1.4685337134515648</v>
      </c>
    </row>
    <row r="213" spans="2:22">
      <c r="B213" s="407" t="s">
        <v>484</v>
      </c>
      <c r="E213" s="19">
        <v>1990024.6600000001</v>
      </c>
      <c r="F213" s="19">
        <f>F214/E213*Billion</f>
        <v>699.28161243489308</v>
      </c>
      <c r="G213" s="17" t="s">
        <v>485</v>
      </c>
      <c r="J213">
        <f t="shared" ref="J213:V213" si="73">$F213*J212</f>
        <v>720.26006080793991</v>
      </c>
      <c r="K213">
        <f t="shared" si="73"/>
        <v>741.867862632178</v>
      </c>
      <c r="L213">
        <f t="shared" si="73"/>
        <v>764.12389851114347</v>
      </c>
      <c r="M213">
        <f t="shared" si="73"/>
        <v>787.04761546647785</v>
      </c>
      <c r="N213">
        <f t="shared" si="73"/>
        <v>810.65904393047208</v>
      </c>
      <c r="O213">
        <f t="shared" si="73"/>
        <v>834.97881524838624</v>
      </c>
      <c r="P213">
        <f t="shared" si="73"/>
        <v>860.02817970583794</v>
      </c>
      <c r="Q213">
        <f t="shared" si="73"/>
        <v>885.82902509701307</v>
      </c>
      <c r="R213">
        <f t="shared" si="73"/>
        <v>912.40389584992352</v>
      </c>
      <c r="S213">
        <f t="shared" si="73"/>
        <v>939.7760127254212</v>
      </c>
      <c r="T213">
        <f t="shared" si="73"/>
        <v>967.96929310718383</v>
      </c>
      <c r="U213">
        <f t="shared" si="73"/>
        <v>997.00837190039942</v>
      </c>
      <c r="V213">
        <f t="shared" si="73"/>
        <v>1026.9186230574114</v>
      </c>
    </row>
    <row r="214" spans="2:22">
      <c r="B214" s="407" t="s">
        <v>486</v>
      </c>
      <c r="F214" s="19">
        <v>1.39158765303</v>
      </c>
      <c r="G214" s="17" t="s">
        <v>315</v>
      </c>
    </row>
    <row r="215" spans="2:22">
      <c r="B215" s="28" t="s">
        <v>480</v>
      </c>
      <c r="C215" s="28"/>
      <c r="D215" s="28"/>
      <c r="E215" s="28"/>
      <c r="F215" s="28"/>
      <c r="G215" s="28"/>
      <c r="H215" s="28"/>
      <c r="I215" s="28"/>
      <c r="J215" s="47">
        <f>J213*J$187/Billion</f>
        <v>1.4333352826209003</v>
      </c>
      <c r="K215" s="47">
        <f t="shared" ref="K215:V215" si="74">K213*K$187/Billion</f>
        <v>1.5206254013325127</v>
      </c>
      <c r="L215" s="47">
        <f t="shared" si="74"/>
        <v>1.6132314882736627</v>
      </c>
      <c r="M215" s="47">
        <f t="shared" si="74"/>
        <v>1.7114772859095291</v>
      </c>
      <c r="N215" s="47">
        <f t="shared" si="74"/>
        <v>1.8157062526214194</v>
      </c>
      <c r="O215" s="47">
        <f t="shared" si="74"/>
        <v>1.9262827634060635</v>
      </c>
      <c r="P215" s="47">
        <f t="shared" si="74"/>
        <v>2.0435933836974938</v>
      </c>
      <c r="Q215" s="47">
        <f t="shared" si="74"/>
        <v>2.1680482207646707</v>
      </c>
      <c r="R215" s="47">
        <f t="shared" si="74"/>
        <v>2.3000823574092393</v>
      </c>
      <c r="S215" s="47">
        <f t="shared" si="74"/>
        <v>2.4401573729754626</v>
      </c>
      <c r="T215" s="47">
        <f t="shared" si="74"/>
        <v>2.588762956989668</v>
      </c>
      <c r="U215" s="47">
        <f t="shared" si="74"/>
        <v>2.7464186210703385</v>
      </c>
      <c r="V215" s="47">
        <f t="shared" si="74"/>
        <v>2.9136755150935225</v>
      </c>
    </row>
    <row r="216" spans="2:22">
      <c r="G216"/>
    </row>
    <row r="217" spans="2:22">
      <c r="B217" s="2" t="s">
        <v>529</v>
      </c>
      <c r="G217"/>
    </row>
    <row r="218" spans="2:22">
      <c r="B218" s="407" t="s">
        <v>478</v>
      </c>
      <c r="G218"/>
      <c r="J218" s="32">
        <f>Input!K274</f>
        <v>3.3167525583047128E-2</v>
      </c>
      <c r="K218" s="25">
        <f>Input!L274</f>
        <v>3.3167525583047128E-2</v>
      </c>
      <c r="L218" s="25">
        <f>Input!M274</f>
        <v>3.3167525583047128E-2</v>
      </c>
      <c r="M218" s="25">
        <f>Input!N274</f>
        <v>3.3167525583047128E-2</v>
      </c>
      <c r="N218" s="25">
        <f>Input!O274</f>
        <v>3.3167525583047128E-2</v>
      </c>
      <c r="O218" s="25">
        <f>Input!P274</f>
        <v>3.3167525583047128E-2</v>
      </c>
      <c r="P218" s="25">
        <f>Input!Q274</f>
        <v>3.3167525583047128E-2</v>
      </c>
      <c r="Q218" s="25">
        <f>Input!R274</f>
        <v>3.3167525583047128E-2</v>
      </c>
      <c r="R218" s="25">
        <f>Input!S274</f>
        <v>3.3167525583047128E-2</v>
      </c>
      <c r="S218" s="25">
        <f>Input!T274</f>
        <v>3.3167525583047128E-2</v>
      </c>
      <c r="T218" s="25">
        <f>Input!U274</f>
        <v>3.3167525583047128E-2</v>
      </c>
      <c r="U218" s="25">
        <f>Input!V274</f>
        <v>3.3167525583047128E-2</v>
      </c>
      <c r="V218" s="25">
        <f>Input!W274</f>
        <v>3.3167525583047128E-2</v>
      </c>
    </row>
    <row r="219" spans="2:22">
      <c r="B219" s="407" t="s">
        <v>492</v>
      </c>
      <c r="G219" s="17" t="s">
        <v>315</v>
      </c>
      <c r="J219">
        <f>J193</f>
        <v>40.829176858830003</v>
      </c>
      <c r="K219">
        <f t="shared" ref="K219:V219" si="75">K193</f>
        <v>40.829176858830003</v>
      </c>
      <c r="L219">
        <f t="shared" si="75"/>
        <v>41.829176858830003</v>
      </c>
      <c r="M219">
        <f t="shared" si="75"/>
        <v>41.829176858830003</v>
      </c>
      <c r="N219">
        <f t="shared" si="75"/>
        <v>41.829176858830003</v>
      </c>
      <c r="O219">
        <f t="shared" si="75"/>
        <v>42.829176858830003</v>
      </c>
      <c r="P219">
        <f t="shared" si="75"/>
        <v>42.829176858830003</v>
      </c>
      <c r="Q219">
        <f t="shared" si="75"/>
        <v>42.829176858830003</v>
      </c>
      <c r="R219">
        <f t="shared" si="75"/>
        <v>43.829176858830003</v>
      </c>
      <c r="S219">
        <f t="shared" si="75"/>
        <v>43.829176858830003</v>
      </c>
      <c r="T219">
        <f t="shared" si="75"/>
        <v>43.829176858830003</v>
      </c>
      <c r="U219">
        <f t="shared" si="75"/>
        <v>43.829176858830003</v>
      </c>
      <c r="V219">
        <f t="shared" si="75"/>
        <v>43.829176858830003</v>
      </c>
    </row>
    <row r="220" spans="2:22">
      <c r="B220" s="28" t="s">
        <v>480</v>
      </c>
      <c r="C220" s="28"/>
      <c r="D220" s="28"/>
      <c r="E220" s="28"/>
      <c r="F220" s="28"/>
      <c r="G220" s="28"/>
      <c r="H220" s="28"/>
      <c r="I220" s="28"/>
      <c r="J220" s="47">
        <f>J219*J218</f>
        <v>1.3542027679999999</v>
      </c>
      <c r="K220" s="47">
        <f t="shared" ref="K220:V220" si="76">K219*K218</f>
        <v>1.3542027679999999</v>
      </c>
      <c r="L220" s="47">
        <f t="shared" si="76"/>
        <v>1.387370293583047</v>
      </c>
      <c r="M220" s="47">
        <f t="shared" si="76"/>
        <v>1.387370293583047</v>
      </c>
      <c r="N220" s="47">
        <f t="shared" si="76"/>
        <v>1.387370293583047</v>
      </c>
      <c r="O220" s="47">
        <f t="shared" si="76"/>
        <v>1.4205378191660942</v>
      </c>
      <c r="P220" s="47">
        <f t="shared" si="76"/>
        <v>1.4205378191660942</v>
      </c>
      <c r="Q220" s="47">
        <f t="shared" si="76"/>
        <v>1.4205378191660942</v>
      </c>
      <c r="R220" s="47">
        <f t="shared" si="76"/>
        <v>1.4537053447491413</v>
      </c>
      <c r="S220" s="47">
        <f t="shared" si="76"/>
        <v>1.4537053447491413</v>
      </c>
      <c r="T220" s="47">
        <f t="shared" si="76"/>
        <v>1.4537053447491413</v>
      </c>
      <c r="U220" s="47">
        <f t="shared" si="76"/>
        <v>1.4537053447491413</v>
      </c>
      <c r="V220" s="47">
        <f t="shared" si="76"/>
        <v>1.4537053447491413</v>
      </c>
    </row>
    <row r="221" spans="2:22">
      <c r="G221"/>
    </row>
    <row r="222" spans="2:22">
      <c r="B222" s="2" t="s">
        <v>530</v>
      </c>
      <c r="G222"/>
    </row>
    <row r="223" spans="2:22">
      <c r="B223" s="407" t="s">
        <v>478</v>
      </c>
      <c r="E223" s="58" t="s">
        <v>482</v>
      </c>
      <c r="F223" s="58" t="s">
        <v>483</v>
      </c>
      <c r="G223"/>
      <c r="I223" s="13">
        <v>1</v>
      </c>
      <c r="J223" s="13">
        <f>I223*(1+Input!K266)*J$12</f>
        <v>1.03</v>
      </c>
      <c r="K223" s="13">
        <f>J223*(1+Input!L266)*K$12</f>
        <v>1.0609</v>
      </c>
      <c r="L223" s="13">
        <f>K223*(1+Input!M266)*L$12</f>
        <v>1.092727</v>
      </c>
      <c r="M223" s="13">
        <f>L223*(1+Input!N266)*M$12</f>
        <v>1.1255088100000001</v>
      </c>
      <c r="N223" s="13">
        <f>M223*(1+Input!O266)*N$12</f>
        <v>1.1592740743000001</v>
      </c>
      <c r="O223" s="13">
        <f>N223*(1+Input!P266)*O$12</f>
        <v>1.1940522965290001</v>
      </c>
      <c r="P223" s="13">
        <f>O223*(1+Input!Q266)*P$12</f>
        <v>1.2298738654248702</v>
      </c>
      <c r="Q223" s="13">
        <f>P223*(1+Input!R266)*Q$12</f>
        <v>1.2667700813876164</v>
      </c>
      <c r="R223" s="13">
        <f>Q223*(1+Input!S266)*R$12</f>
        <v>1.3047731838292449</v>
      </c>
      <c r="S223" s="13">
        <f>R223*(1+Input!T266)*S$12</f>
        <v>1.3439163793441222</v>
      </c>
      <c r="T223" s="13">
        <f>S223*(1+Input!U266)*T$12</f>
        <v>1.3842338707244459</v>
      </c>
      <c r="U223" s="13">
        <f>T223*(1+Input!V266)*U$12</f>
        <v>1.4257608868461793</v>
      </c>
      <c r="V223" s="13">
        <f>U223*(1+Input!W266)*V$12</f>
        <v>1.4685337134515648</v>
      </c>
    </row>
    <row r="224" spans="2:22">
      <c r="B224" s="407" t="s">
        <v>484</v>
      </c>
      <c r="E224" s="19">
        <v>1990024.6600000001</v>
      </c>
      <c r="F224" s="19">
        <f>F225/E224*Billion</f>
        <v>602.23322257725181</v>
      </c>
      <c r="G224" s="17" t="s">
        <v>485</v>
      </c>
      <c r="J224">
        <f t="shared" ref="J224:V224" si="77">$F224*J223</f>
        <v>620.30021925456936</v>
      </c>
      <c r="K224">
        <f t="shared" si="77"/>
        <v>638.9092258322064</v>
      </c>
      <c r="L224">
        <f t="shared" si="77"/>
        <v>658.07650260717264</v>
      </c>
      <c r="M224">
        <f t="shared" si="77"/>
        <v>677.81879768538795</v>
      </c>
      <c r="N224">
        <f t="shared" si="77"/>
        <v>698.15336161594951</v>
      </c>
      <c r="O224">
        <f t="shared" si="77"/>
        <v>719.09796246442806</v>
      </c>
      <c r="P224">
        <f t="shared" si="77"/>
        <v>740.67090133836086</v>
      </c>
      <c r="Q224">
        <f t="shared" si="77"/>
        <v>762.89102837851181</v>
      </c>
      <c r="R224">
        <f t="shared" si="77"/>
        <v>785.77775922986712</v>
      </c>
      <c r="S224">
        <f t="shared" si="77"/>
        <v>809.35109200676311</v>
      </c>
      <c r="T224">
        <f t="shared" si="77"/>
        <v>833.63162476696607</v>
      </c>
      <c r="U224">
        <f t="shared" si="77"/>
        <v>858.64057350997507</v>
      </c>
      <c r="V224">
        <f t="shared" si="77"/>
        <v>884.39979071527432</v>
      </c>
    </row>
    <row r="225" spans="2:22">
      <c r="B225" s="407" t="s">
        <v>486</v>
      </c>
      <c r="F225" s="19">
        <v>1.1984589640000001</v>
      </c>
      <c r="G225" s="17" t="s">
        <v>315</v>
      </c>
    </row>
    <row r="226" spans="2:22">
      <c r="B226" s="28" t="s">
        <v>480</v>
      </c>
      <c r="C226" s="28"/>
      <c r="D226" s="28"/>
      <c r="E226" s="28"/>
      <c r="F226" s="28"/>
      <c r="G226" s="28"/>
      <c r="H226" s="28"/>
      <c r="I226" s="28"/>
      <c r="J226" s="47">
        <f>J224*J$187/Billion</f>
        <v>1.2344127329199999</v>
      </c>
      <c r="K226" s="47">
        <f t="shared" ref="K226:V226" si="78">K224*K$187/Billion</f>
        <v>1.3095884683548278</v>
      </c>
      <c r="L226" s="47">
        <f t="shared" si="78"/>
        <v>1.3893424060776367</v>
      </c>
      <c r="M226" s="47">
        <f t="shared" si="78"/>
        <v>1.4739533586077651</v>
      </c>
      <c r="N226" s="47">
        <f t="shared" si="78"/>
        <v>1.5637171181469782</v>
      </c>
      <c r="O226" s="47">
        <f t="shared" si="78"/>
        <v>1.6589474906421291</v>
      </c>
      <c r="P226" s="47">
        <f t="shared" si="78"/>
        <v>1.7599773928222349</v>
      </c>
      <c r="Q226" s="47">
        <f t="shared" si="78"/>
        <v>1.8671600160451096</v>
      </c>
      <c r="R226" s="47">
        <f t="shared" si="78"/>
        <v>1.9808700610222563</v>
      </c>
      <c r="S226" s="47">
        <f t="shared" si="78"/>
        <v>2.1015050477385122</v>
      </c>
      <c r="T226" s="47">
        <f t="shared" si="78"/>
        <v>2.2294867051457876</v>
      </c>
      <c r="U226" s="47">
        <f t="shared" si="78"/>
        <v>2.365262445489166</v>
      </c>
      <c r="V226" s="47">
        <f t="shared" si="78"/>
        <v>2.509306928419456</v>
      </c>
    </row>
    <row r="227" spans="2:22">
      <c r="G227"/>
    </row>
    <row r="228" spans="2:22">
      <c r="B228" s="2" t="s">
        <v>531</v>
      </c>
      <c r="G228"/>
    </row>
    <row r="229" spans="2:22">
      <c r="B229" s="407" t="s">
        <v>478</v>
      </c>
      <c r="E229" s="58" t="s">
        <v>482</v>
      </c>
      <c r="F229" s="58" t="s">
        <v>483</v>
      </c>
      <c r="G229"/>
      <c r="I229" s="13">
        <v>1</v>
      </c>
      <c r="J229" s="13">
        <f>I229*(1+Input!K283)*J$12</f>
        <v>1.02</v>
      </c>
      <c r="K229" s="13">
        <f>J229*(1+Input!L283)*K$12</f>
        <v>1.0404</v>
      </c>
      <c r="L229" s="13">
        <f>K229*(1+Input!M283)*L$12</f>
        <v>1.0612079999999999</v>
      </c>
      <c r="M229" s="13">
        <f>L229*(1+Input!N283)*M$12</f>
        <v>1.08243216</v>
      </c>
      <c r="N229" s="13">
        <f>M229*(1+Input!O283)*N$12</f>
        <v>1.1040808032</v>
      </c>
      <c r="O229" s="13">
        <f>N229*(1+Input!P283)*O$12</f>
        <v>1.1261624192640001</v>
      </c>
      <c r="P229" s="13">
        <f>O229*(1+Input!Q283)*P$12</f>
        <v>1.14868566764928</v>
      </c>
      <c r="Q229" s="13">
        <f>P229*(1+Input!R283)*Q$12</f>
        <v>1.1716593810022657</v>
      </c>
      <c r="R229" s="13">
        <f>Q229*(1+Input!S283)*R$12</f>
        <v>1.1950925686223111</v>
      </c>
      <c r="S229" s="13">
        <f>R229*(1+Input!T283)*S$12</f>
        <v>1.2189944199947573</v>
      </c>
      <c r="T229" s="13">
        <f>S229*(1+Input!U283)*T$12</f>
        <v>1.2433743083946525</v>
      </c>
      <c r="U229" s="13">
        <f>T229*(1+Input!V283)*U$12</f>
        <v>1.2682417945625455</v>
      </c>
      <c r="V229" s="13">
        <f>U229*(1+Input!W283)*V$12</f>
        <v>1.2936066304537963</v>
      </c>
    </row>
    <row r="230" spans="2:22">
      <c r="B230" s="407" t="s">
        <v>484</v>
      </c>
      <c r="E230" s="19">
        <v>1990024.6600000001</v>
      </c>
      <c r="F230" s="19">
        <f>F231/E230*Billion</f>
        <v>331.60747917566005</v>
      </c>
      <c r="G230" s="17" t="s">
        <v>485</v>
      </c>
      <c r="J230">
        <f t="shared" ref="J230:V230" si="79">$F230*J229</f>
        <v>338.23962875917323</v>
      </c>
      <c r="K230">
        <f t="shared" si="79"/>
        <v>345.00442133435672</v>
      </c>
      <c r="L230">
        <f t="shared" si="79"/>
        <v>351.90450976104381</v>
      </c>
      <c r="M230">
        <f t="shared" si="79"/>
        <v>358.9425999562647</v>
      </c>
      <c r="N230">
        <f t="shared" si="79"/>
        <v>366.12145195539</v>
      </c>
      <c r="O230">
        <f t="shared" si="79"/>
        <v>373.44388099449782</v>
      </c>
      <c r="P230">
        <f t="shared" si="79"/>
        <v>380.91275861438777</v>
      </c>
      <c r="Q230">
        <f t="shared" si="79"/>
        <v>388.5310137866756</v>
      </c>
      <c r="R230">
        <f t="shared" si="79"/>
        <v>396.30163406240911</v>
      </c>
      <c r="S230">
        <f t="shared" si="79"/>
        <v>404.22766674365727</v>
      </c>
      <c r="T230">
        <f t="shared" si="79"/>
        <v>412.3122200785304</v>
      </c>
      <c r="U230">
        <f t="shared" si="79"/>
        <v>420.55846448010101</v>
      </c>
      <c r="V230">
        <f t="shared" si="79"/>
        <v>428.96963376970302</v>
      </c>
    </row>
    <row r="231" spans="2:22">
      <c r="B231" s="407" t="s">
        <v>486</v>
      </c>
      <c r="F231" s="19">
        <v>0.65990706099999996</v>
      </c>
      <c r="G231" s="17" t="s">
        <v>315</v>
      </c>
    </row>
    <row r="232" spans="2:22">
      <c r="B232" s="28" t="s">
        <v>480</v>
      </c>
      <c r="C232" s="28"/>
      <c r="D232" s="28"/>
      <c r="E232" s="28"/>
      <c r="F232" s="28"/>
      <c r="G232" s="28"/>
      <c r="H232" s="28"/>
      <c r="I232" s="28"/>
      <c r="J232" s="47">
        <f>J230*J$187/Billion</f>
        <v>0.67310520222000003</v>
      </c>
      <c r="K232" s="47">
        <f t="shared" ref="K232:V232" si="80">K230*K$187/Billion</f>
        <v>0.70716432545233199</v>
      </c>
      <c r="L232" s="47">
        <f t="shared" si="80"/>
        <v>0.74294684032021985</v>
      </c>
      <c r="M232" s="47">
        <f t="shared" si="80"/>
        <v>0.78053995044042301</v>
      </c>
      <c r="N232" s="47">
        <f t="shared" si="80"/>
        <v>0.82003527193270864</v>
      </c>
      <c r="O232" s="47">
        <f t="shared" si="80"/>
        <v>0.86152905669250357</v>
      </c>
      <c r="P232" s="47">
        <f t="shared" si="80"/>
        <v>0.90512242696114431</v>
      </c>
      <c r="Q232" s="47">
        <f t="shared" si="80"/>
        <v>0.95092162176537864</v>
      </c>
      <c r="R232" s="47">
        <f t="shared" si="80"/>
        <v>0.99903825582670669</v>
      </c>
      <c r="S232" s="47">
        <f t="shared" si="80"/>
        <v>1.0495895915715381</v>
      </c>
      <c r="T232" s="47">
        <f t="shared" si="80"/>
        <v>1.102698824905058</v>
      </c>
      <c r="U232" s="47">
        <f t="shared" si="80"/>
        <v>1.1584953854452535</v>
      </c>
      <c r="V232" s="47">
        <f t="shared" si="80"/>
        <v>1.2171152519487836</v>
      </c>
    </row>
    <row r="233" spans="2:22">
      <c r="G233"/>
    </row>
    <row r="234" spans="2:22">
      <c r="B234" s="2" t="s">
        <v>532</v>
      </c>
      <c r="G234"/>
    </row>
    <row r="235" spans="2:22">
      <c r="B235" s="407" t="s">
        <v>478</v>
      </c>
      <c r="E235" s="58" t="s">
        <v>482</v>
      </c>
      <c r="F235" s="58" t="s">
        <v>483</v>
      </c>
      <c r="G235"/>
      <c r="I235" s="13">
        <v>1</v>
      </c>
      <c r="J235" s="13">
        <f>I235*(1+Input!K291)*J$12</f>
        <v>1.0349999999999999</v>
      </c>
      <c r="K235" s="13">
        <f>J235*(1+Input!L291)*K$12</f>
        <v>1.0712249999999999</v>
      </c>
      <c r="L235" s="13">
        <f>K235*(1+Input!M291)*L$12</f>
        <v>1.1087178749999997</v>
      </c>
      <c r="M235" s="13">
        <f>L235*(1+Input!N291)*M$12</f>
        <v>1.1475230006249997</v>
      </c>
      <c r="N235" s="13">
        <f>M235*(1+Input!O291)*N$12</f>
        <v>1.1876863056468745</v>
      </c>
      <c r="O235" s="13">
        <f>N235*(1+Input!P291)*O$12</f>
        <v>1.229255326344515</v>
      </c>
      <c r="P235" s="13">
        <f>O235*(1+Input!Q291)*P$12</f>
        <v>1.2722792627665729</v>
      </c>
      <c r="Q235" s="13">
        <f>P235*(1+Input!R291)*Q$12</f>
        <v>1.3168090369634029</v>
      </c>
      <c r="R235" s="13">
        <f>Q235*(1+Input!S291)*R$12</f>
        <v>1.3628973532571218</v>
      </c>
      <c r="S235" s="13">
        <f>R235*(1+Input!T291)*S$12</f>
        <v>1.410598760621121</v>
      </c>
      <c r="T235" s="13">
        <f>S235*(1+Input!U291)*T$12</f>
        <v>1.4599697172428601</v>
      </c>
      <c r="U235" s="13">
        <f>T235*(1+Input!V291)*U$12</f>
        <v>1.5110686573463601</v>
      </c>
      <c r="V235" s="13">
        <f>U235*(1+Input!W291)*V$12</f>
        <v>1.5639560603534826</v>
      </c>
    </row>
    <row r="236" spans="2:22">
      <c r="B236" s="407" t="s">
        <v>484</v>
      </c>
      <c r="E236" s="19">
        <v>1990024.6600000001</v>
      </c>
      <c r="F236" s="19">
        <f>F237/E236*Billion</f>
        <v>107.08021326730695</v>
      </c>
      <c r="G236" s="17" t="s">
        <v>485</v>
      </c>
      <c r="J236">
        <f t="shared" ref="J236:V236" si="81">$F236*J235</f>
        <v>110.82802073166268</v>
      </c>
      <c r="K236">
        <f t="shared" si="81"/>
        <v>114.70700145727086</v>
      </c>
      <c r="L236">
        <f t="shared" si="81"/>
        <v>118.72174650827533</v>
      </c>
      <c r="M236">
        <f t="shared" si="81"/>
        <v>122.87700763606496</v>
      </c>
      <c r="N236">
        <f t="shared" si="81"/>
        <v>127.17770290332722</v>
      </c>
      <c r="O236">
        <f t="shared" si="81"/>
        <v>131.62892250494366</v>
      </c>
      <c r="P236">
        <f t="shared" si="81"/>
        <v>136.23593479261669</v>
      </c>
      <c r="Q236">
        <f t="shared" si="81"/>
        <v>141.00419251035825</v>
      </c>
      <c r="R236">
        <f t="shared" si="81"/>
        <v>145.93933924822076</v>
      </c>
      <c r="S236">
        <f t="shared" si="81"/>
        <v>151.04721612190849</v>
      </c>
      <c r="T236">
        <f t="shared" si="81"/>
        <v>156.33386868617526</v>
      </c>
      <c r="U236">
        <f t="shared" si="81"/>
        <v>161.80555409019141</v>
      </c>
      <c r="V236">
        <f t="shared" si="81"/>
        <v>167.46874848334809</v>
      </c>
    </row>
    <row r="237" spans="2:22">
      <c r="B237" s="407" t="s">
        <v>486</v>
      </c>
      <c r="F237" s="19">
        <v>0.213092265</v>
      </c>
      <c r="G237" s="17" t="s">
        <v>315</v>
      </c>
    </row>
    <row r="238" spans="2:22">
      <c r="B238" s="28" t="s">
        <v>480</v>
      </c>
      <c r="C238" s="28"/>
      <c r="D238" s="28"/>
      <c r="E238" s="28"/>
      <c r="F238" s="28"/>
      <c r="G238" s="28"/>
      <c r="H238" s="28"/>
      <c r="I238" s="28"/>
      <c r="J238" s="47">
        <f>J236*J$187/Billion</f>
        <v>0.22055049427499998</v>
      </c>
      <c r="K238" s="47">
        <f t="shared" ref="K238:V238" si="82">K236*K$187/Billion</f>
        <v>0.23511785442186373</v>
      </c>
      <c r="L238" s="47">
        <f t="shared" si="82"/>
        <v>0.25064738870642778</v>
      </c>
      <c r="M238" s="47">
        <f t="shared" si="82"/>
        <v>0.26720264873048732</v>
      </c>
      <c r="N238" s="47">
        <f t="shared" si="82"/>
        <v>0.28485138367913604</v>
      </c>
      <c r="O238" s="47">
        <f t="shared" si="82"/>
        <v>0.30366581757114286</v>
      </c>
      <c r="P238" s="47">
        <f t="shared" si="82"/>
        <v>0.32372294482171693</v>
      </c>
      <c r="Q238" s="47">
        <f t="shared" si="82"/>
        <v>0.34510484532719127</v>
      </c>
      <c r="R238" s="47">
        <f t="shared" si="82"/>
        <v>0.36789902036105221</v>
      </c>
      <c r="S238" s="47">
        <f t="shared" si="82"/>
        <v>0.39219875065589976</v>
      </c>
      <c r="T238" s="47">
        <f t="shared" si="82"/>
        <v>0.41810347813672183</v>
      </c>
      <c r="U238" s="47">
        <f t="shared" si="82"/>
        <v>0.44571921286765231</v>
      </c>
      <c r="V238" s="47">
        <f t="shared" si="82"/>
        <v>0.47515896687756076</v>
      </c>
    </row>
    <row r="239" spans="2:22">
      <c r="G239"/>
    </row>
    <row r="240" spans="2:22">
      <c r="B240" s="2" t="s">
        <v>533</v>
      </c>
      <c r="G240"/>
    </row>
    <row r="241" spans="2:22">
      <c r="B241" s="407" t="s">
        <v>478</v>
      </c>
      <c r="E241" s="58" t="s">
        <v>482</v>
      </c>
      <c r="F241" s="58" t="s">
        <v>483</v>
      </c>
      <c r="G241"/>
      <c r="I241" s="13">
        <v>1</v>
      </c>
      <c r="J241" s="13">
        <f>I241*(1+Input!K298)*J$12</f>
        <v>1.0349999999999999</v>
      </c>
      <c r="K241" s="13">
        <f>J241*(1+Input!L298)*K$12</f>
        <v>1.0712249999999999</v>
      </c>
      <c r="L241" s="13">
        <f>K241*(1+Input!M298)*L$12</f>
        <v>1.1087178749999997</v>
      </c>
      <c r="M241" s="13">
        <f>L241*(1+Input!N298)*M$12</f>
        <v>1.1475230006249997</v>
      </c>
      <c r="N241" s="13">
        <f>M241*(1+Input!O298)*N$12</f>
        <v>1.1876863056468745</v>
      </c>
      <c r="O241" s="13">
        <f>N241*(1+Input!P298)*O$12</f>
        <v>1.229255326344515</v>
      </c>
      <c r="P241" s="13">
        <f>O241*(1+Input!Q298)*P$12</f>
        <v>1.2722792627665729</v>
      </c>
      <c r="Q241" s="13">
        <f>P241*(1+Input!R298)*Q$12</f>
        <v>1.3168090369634029</v>
      </c>
      <c r="R241" s="13">
        <f>Q241*(1+Input!S298)*R$12</f>
        <v>1.3628973532571218</v>
      </c>
      <c r="S241" s="13">
        <f>R241*(1+Input!T298)*S$12</f>
        <v>1.410598760621121</v>
      </c>
      <c r="T241" s="13">
        <f>S241*(1+Input!U298)*T$12</f>
        <v>1.4599697172428601</v>
      </c>
      <c r="U241" s="13">
        <f>T241*(1+Input!V298)*U$12</f>
        <v>1.5110686573463601</v>
      </c>
      <c r="V241" s="13">
        <f>U241*(1+Input!W298)*V$12</f>
        <v>1.5639560603534826</v>
      </c>
    </row>
    <row r="242" spans="2:22">
      <c r="B242" s="407" t="s">
        <v>484</v>
      </c>
      <c r="E242" s="19">
        <v>1990024.6600000001</v>
      </c>
      <c r="F242" s="19">
        <f>F243/E242*Billion</f>
        <v>35.500214856633981</v>
      </c>
      <c r="G242" s="17" t="s">
        <v>485</v>
      </c>
      <c r="J242">
        <f t="shared" ref="J242:V242" si="83">$F242*J241</f>
        <v>36.742722376616165</v>
      </c>
      <c r="K242">
        <f t="shared" si="83"/>
        <v>38.028717659797735</v>
      </c>
      <c r="L242">
        <f t="shared" si="83"/>
        <v>39.359722777890646</v>
      </c>
      <c r="M242">
        <f t="shared" si="83"/>
        <v>40.737313075116816</v>
      </c>
      <c r="N242">
        <f t="shared" si="83"/>
        <v>42.163119032745904</v>
      </c>
      <c r="O242">
        <f t="shared" si="83"/>
        <v>43.638828198892</v>
      </c>
      <c r="P242">
        <f t="shared" si="83"/>
        <v>45.166187185853218</v>
      </c>
      <c r="Q242">
        <f t="shared" si="83"/>
        <v>46.747003737358078</v>
      </c>
      <c r="R242">
        <f t="shared" si="83"/>
        <v>48.383148868165605</v>
      </c>
      <c r="S242">
        <f t="shared" si="83"/>
        <v>50.076559078551398</v>
      </c>
      <c r="T242">
        <f t="shared" si="83"/>
        <v>51.829238646300695</v>
      </c>
      <c r="U242">
        <f t="shared" si="83"/>
        <v>53.643261998921218</v>
      </c>
      <c r="V242">
        <f t="shared" si="83"/>
        <v>55.520776168883451</v>
      </c>
    </row>
    <row r="243" spans="2:22">
      <c r="B243" s="407" t="s">
        <v>486</v>
      </c>
      <c r="F243" s="19">
        <v>7.0646302999999994E-2</v>
      </c>
      <c r="G243" s="17" t="s">
        <v>315</v>
      </c>
    </row>
    <row r="244" spans="2:22">
      <c r="B244" s="28" t="s">
        <v>480</v>
      </c>
      <c r="C244" s="28"/>
      <c r="D244" s="28"/>
      <c r="E244" s="28"/>
      <c r="F244" s="28"/>
      <c r="G244" s="28"/>
      <c r="H244" s="28"/>
      <c r="I244" s="28"/>
      <c r="J244" s="47">
        <f>J242*J$187/Billion</f>
        <v>7.3118923604999969E-2</v>
      </c>
      <c r="K244" s="47">
        <f t="shared" ref="K244:V244" si="84">K242*K$187/Billion</f>
        <v>7.794842850911024E-2</v>
      </c>
      <c r="L244" s="47">
        <f t="shared" si="84"/>
        <v>8.3096922212136937E-2</v>
      </c>
      <c r="M244" s="47">
        <f t="shared" si="84"/>
        <v>8.8585473924248592E-2</v>
      </c>
      <c r="N244" s="47">
        <f t="shared" si="84"/>
        <v>9.4436544476945217E-2</v>
      </c>
      <c r="O244" s="47">
        <f t="shared" si="84"/>
        <v>0.1006740782396474</v>
      </c>
      <c r="P244" s="47">
        <f t="shared" si="84"/>
        <v>0.10732360110737613</v>
      </c>
      <c r="Q244" s="47">
        <f t="shared" si="84"/>
        <v>0.11441232496051833</v>
      </c>
      <c r="R244" s="47">
        <f t="shared" si="84"/>
        <v>0.12196925902416055</v>
      </c>
      <c r="S244" s="47">
        <f t="shared" si="84"/>
        <v>0.13002532858270635</v>
      </c>
      <c r="T244" s="47">
        <f t="shared" si="84"/>
        <v>0.1386135015355941</v>
      </c>
      <c r="U244" s="47">
        <f t="shared" si="84"/>
        <v>0.1477689233120201</v>
      </c>
      <c r="V244" s="47">
        <f t="shared" si="84"/>
        <v>0.15752906069677899</v>
      </c>
    </row>
    <row r="245" spans="2:22">
      <c r="G245"/>
    </row>
    <row r="246" spans="2:22">
      <c r="B246" s="2" t="s">
        <v>534</v>
      </c>
      <c r="G246"/>
    </row>
    <row r="247" spans="2:22">
      <c r="B247" s="407" t="s">
        <v>478</v>
      </c>
      <c r="G247"/>
      <c r="I247" s="71">
        <v>1</v>
      </c>
      <c r="J247" s="71">
        <f>I247*(1+Input!K306)*J12</f>
        <v>1.02</v>
      </c>
      <c r="K247" s="71">
        <f>J247*(1+Input!L306)*K12</f>
        <v>1.0404</v>
      </c>
      <c r="L247" s="71">
        <f>K247*(1+Input!M306)*L12</f>
        <v>1.0612079999999999</v>
      </c>
      <c r="M247" s="71">
        <f>L247*(1+Input!N306)*M12</f>
        <v>1.08243216</v>
      </c>
      <c r="N247" s="71">
        <f>M247*(1+Input!O306)*N12</f>
        <v>1.1040808032</v>
      </c>
      <c r="O247" s="71">
        <f>N247*(1+Input!P306)*O12</f>
        <v>1.1261624192640001</v>
      </c>
      <c r="P247" s="71">
        <f>O247*(1+Input!Q306)*P12</f>
        <v>1.14868566764928</v>
      </c>
      <c r="Q247" s="71">
        <f>P247*(1+Input!R306)*Q12</f>
        <v>1.1716593810022657</v>
      </c>
      <c r="R247" s="71">
        <f>Q247*(1+Input!S306)*R12</f>
        <v>1.1950925686223111</v>
      </c>
      <c r="S247" s="71">
        <f>R247*(1+Input!T306)*S12</f>
        <v>1.2189944199947573</v>
      </c>
      <c r="T247" s="71">
        <f>S247*(1+Input!U306)*T12</f>
        <v>1.2433743083946525</v>
      </c>
      <c r="U247" s="71">
        <f>T247*(1+Input!V306)*U12</f>
        <v>1.2682417945625455</v>
      </c>
      <c r="V247" s="71">
        <f>U247*(1+Input!W306)*V12</f>
        <v>1.2936066304537963</v>
      </c>
    </row>
    <row r="248" spans="2:22">
      <c r="B248" t="s">
        <v>479</v>
      </c>
      <c r="F248" s="19">
        <f>Input!J311</f>
        <v>2.5000000000000001E-3</v>
      </c>
      <c r="G248" s="17" t="s">
        <v>315</v>
      </c>
    </row>
    <row r="249" spans="2:22">
      <c r="B249" s="28" t="s">
        <v>480</v>
      </c>
      <c r="C249" s="28"/>
      <c r="D249" s="28"/>
      <c r="E249" s="28"/>
      <c r="F249" s="28"/>
      <c r="G249" s="28"/>
      <c r="H249" s="28"/>
      <c r="I249" s="28"/>
      <c r="J249" s="47">
        <f t="shared" ref="J249:V249" si="85">$F248*J247</f>
        <v>2.5500000000000002E-3</v>
      </c>
      <c r="K249" s="47">
        <f t="shared" si="85"/>
        <v>2.601E-3</v>
      </c>
      <c r="L249" s="47">
        <f t="shared" si="85"/>
        <v>2.6530199999999999E-3</v>
      </c>
      <c r="M249" s="47">
        <f t="shared" si="85"/>
        <v>2.7060804000000002E-3</v>
      </c>
      <c r="N249" s="47">
        <f t="shared" si="85"/>
        <v>2.7602020080000002E-3</v>
      </c>
      <c r="O249" s="47">
        <f t="shared" si="85"/>
        <v>2.8154060481600002E-3</v>
      </c>
      <c r="P249" s="47">
        <f t="shared" si="85"/>
        <v>2.8717141691232003E-3</v>
      </c>
      <c r="Q249" s="47">
        <f t="shared" si="85"/>
        <v>2.9291484525056644E-3</v>
      </c>
      <c r="R249" s="47">
        <f t="shared" si="85"/>
        <v>2.9877314215557777E-3</v>
      </c>
      <c r="S249" s="47">
        <f t="shared" si="85"/>
        <v>3.0474860499868934E-3</v>
      </c>
      <c r="T249" s="47">
        <f t="shared" si="85"/>
        <v>3.1084357709866314E-3</v>
      </c>
      <c r="U249" s="47">
        <f t="shared" si="85"/>
        <v>3.1706044864063636E-3</v>
      </c>
      <c r="V249" s="47">
        <f t="shared" si="85"/>
        <v>3.234016576134491E-3</v>
      </c>
    </row>
    <row r="250" spans="2:22">
      <c r="G250"/>
    </row>
    <row r="251" spans="2:22" ht="15.75">
      <c r="B251" s="15" t="s">
        <v>535</v>
      </c>
      <c r="G251"/>
    </row>
    <row r="252" spans="2:22">
      <c r="B252" s="2" t="s">
        <v>465</v>
      </c>
      <c r="G252"/>
    </row>
    <row r="253" spans="2:22">
      <c r="B253" t="s">
        <v>497</v>
      </c>
      <c r="G253"/>
      <c r="I253">
        <v>1</v>
      </c>
      <c r="J253">
        <f>I253*(1+Input!K332)*J$12</f>
        <v>1.0349999999999999</v>
      </c>
      <c r="K253">
        <f>J253*(1+Input!L332)*K$12</f>
        <v>1.0712249999999999</v>
      </c>
      <c r="L253">
        <f>K253*(1+Input!M332)*L$12</f>
        <v>1.1087178749999997</v>
      </c>
      <c r="M253">
        <f>L253*(1+Input!N332)*M$12</f>
        <v>1.1475230006249997</v>
      </c>
      <c r="N253">
        <f>M253*(1+Input!O332)*N$12</f>
        <v>1.1876863056468745</v>
      </c>
      <c r="O253">
        <f>N253*(1+Input!P332)*O$12</f>
        <v>1.229255326344515</v>
      </c>
      <c r="P253">
        <f>O253*(1+Input!Q332)*P$12</f>
        <v>1.2722792627665729</v>
      </c>
      <c r="Q253">
        <f>P253*(1+Input!R332)*Q$12</f>
        <v>1.3168090369634029</v>
      </c>
      <c r="R253">
        <f>Q253*(1+Input!S332)*R$12</f>
        <v>1.3628973532571218</v>
      </c>
      <c r="S253">
        <f>R253*(1+Input!T332)*S$12</f>
        <v>1.410598760621121</v>
      </c>
      <c r="T253">
        <f>S253*(1+Input!U332)*T$12</f>
        <v>1.4599697172428601</v>
      </c>
      <c r="U253">
        <f>T253*(1+Input!V332)*U$12</f>
        <v>1.5110686573463601</v>
      </c>
      <c r="V253">
        <f>U253*(1+Input!W332)*V$12</f>
        <v>1.5639560603534826</v>
      </c>
    </row>
    <row r="254" spans="2:22">
      <c r="B254" t="s">
        <v>496</v>
      </c>
      <c r="G254"/>
      <c r="I254">
        <v>1</v>
      </c>
      <c r="J254">
        <f>I254*(1+Input!K337)*J$12</f>
        <v>1.03</v>
      </c>
      <c r="K254">
        <f>J254*(1+Input!L337)*K$12</f>
        <v>1.0609</v>
      </c>
      <c r="L254">
        <f>K254*(1+Input!M337)*L$12</f>
        <v>1.092727</v>
      </c>
      <c r="M254">
        <f>L254*(1+Input!N337)*M$12</f>
        <v>1.1255088100000001</v>
      </c>
      <c r="N254">
        <f>M254*(1+Input!O337)*N$12</f>
        <v>1.1592740743000001</v>
      </c>
      <c r="O254">
        <f>N254*(1+Input!P337)*O$12</f>
        <v>1.1940522965290001</v>
      </c>
      <c r="P254">
        <f>O254*(1+Input!Q337)*P$12</f>
        <v>1.2298738654248702</v>
      </c>
      <c r="Q254">
        <f>P254*(1+Input!R337)*Q$12</f>
        <v>1.2667700813876164</v>
      </c>
      <c r="R254">
        <f>Q254*(1+Input!S337)*R$12</f>
        <v>1.3047731838292449</v>
      </c>
      <c r="S254">
        <f>R254*(1+Input!T337)*S$12</f>
        <v>1.3439163793441222</v>
      </c>
      <c r="T254">
        <f>S254*(1+Input!U337)*T$12</f>
        <v>1.3842338707244459</v>
      </c>
      <c r="U254">
        <f>T254*(1+Input!V337)*U$12</f>
        <v>1.4257608868461793</v>
      </c>
      <c r="V254">
        <f>U254*(1+Input!W337)*V$12</f>
        <v>1.4685337134515648</v>
      </c>
    </row>
    <row r="255" spans="2:22">
      <c r="B255" t="s">
        <v>505</v>
      </c>
      <c r="G255"/>
      <c r="I255">
        <v>1</v>
      </c>
      <c r="J255">
        <f>I255*(1+Input!K342)*J$12</f>
        <v>1.03</v>
      </c>
      <c r="K255">
        <f>J255*(1+Input!L342)*K$12</f>
        <v>1.0609</v>
      </c>
      <c r="L255">
        <f>K255*(1+Input!M342)*L$12</f>
        <v>1.092727</v>
      </c>
      <c r="M255">
        <f>L255*(1+Input!N342)*M$12</f>
        <v>1.1255088100000001</v>
      </c>
      <c r="N255">
        <f>M255*(1+Input!O342)*N$12</f>
        <v>1.1592740743000001</v>
      </c>
      <c r="O255">
        <f>N255*(1+Input!P342)*O$12</f>
        <v>1.1940522965290001</v>
      </c>
      <c r="P255">
        <f>O255*(1+Input!Q342)*P$12</f>
        <v>1.2298738654248702</v>
      </c>
      <c r="Q255">
        <f>P255*(1+Input!R342)*Q$12</f>
        <v>1.2667700813876164</v>
      </c>
      <c r="R255">
        <f>Q255*(1+Input!S342)*R$12</f>
        <v>1.3047731838292449</v>
      </c>
      <c r="S255">
        <f>R255*(1+Input!T342)*S$12</f>
        <v>1.3439163793441222</v>
      </c>
      <c r="T255">
        <f>S255*(1+Input!U342)*T$12</f>
        <v>1.3842338707244459</v>
      </c>
      <c r="U255">
        <f>T255*(1+Input!V342)*U$12</f>
        <v>1.4257608868461793</v>
      </c>
      <c r="V255">
        <f>U255*(1+Input!W342)*V$12</f>
        <v>1.4685337134515648</v>
      </c>
    </row>
    <row r="256" spans="2:22">
      <c r="B256" t="s">
        <v>501</v>
      </c>
      <c r="G256"/>
      <c r="I256">
        <v>1</v>
      </c>
      <c r="J256">
        <f>I256*(1+Input!K348)*J$12</f>
        <v>1.03</v>
      </c>
      <c r="K256">
        <f>J256*(1+Input!L348)*K$12</f>
        <v>1.0609</v>
      </c>
      <c r="L256">
        <f>K256*(1+Input!M348)*L$12</f>
        <v>1.092727</v>
      </c>
      <c r="M256">
        <f>L256*(1+Input!N348)*M$12</f>
        <v>1.1255088100000001</v>
      </c>
      <c r="N256">
        <f>M256*(1+Input!O348)*N$12</f>
        <v>1.1592740743000001</v>
      </c>
      <c r="O256">
        <f>N256*(1+Input!P348)*O$12</f>
        <v>1.1940522965290001</v>
      </c>
      <c r="P256">
        <f>O256*(1+Input!Q348)*P$12</f>
        <v>1.2298738654248702</v>
      </c>
      <c r="Q256">
        <f>P256*(1+Input!R348)*Q$12</f>
        <v>1.2667700813876164</v>
      </c>
      <c r="R256">
        <f>Q256*(1+Input!S348)*R$12</f>
        <v>1.3047731838292449</v>
      </c>
      <c r="S256">
        <f>R256*(1+Input!T348)*S$12</f>
        <v>1.3439163793441222</v>
      </c>
      <c r="T256">
        <f>S256*(1+Input!U348)*T$12</f>
        <v>1.3842338707244459</v>
      </c>
      <c r="U256">
        <f>T256*(1+Input!V348)*U$12</f>
        <v>1.4257608868461793</v>
      </c>
      <c r="V256">
        <f>U256*(1+Input!W348)*V$12</f>
        <v>1.4685337134515648</v>
      </c>
    </row>
    <row r="257" spans="2:22">
      <c r="B257" t="s">
        <v>498</v>
      </c>
      <c r="G257"/>
      <c r="I257">
        <v>1</v>
      </c>
      <c r="J257">
        <f>I257*(1+Input!K353)*J$12</f>
        <v>1.03</v>
      </c>
      <c r="K257">
        <f>J257*(1+Input!L353)*K$12</f>
        <v>1.0609</v>
      </c>
      <c r="L257">
        <f>K257*(1+Input!M353)*L$12</f>
        <v>1.092727</v>
      </c>
      <c r="M257">
        <f>L257*(1+Input!N353)*M$12</f>
        <v>1.1255088100000001</v>
      </c>
      <c r="N257">
        <f>M257*(1+Input!O353)*N$12</f>
        <v>1.1592740743000001</v>
      </c>
      <c r="O257">
        <f>N257*(1+Input!P353)*O$12</f>
        <v>1.1940522965290001</v>
      </c>
      <c r="P257">
        <f>O257*(1+Input!Q353)*P$12</f>
        <v>1.2298738654248702</v>
      </c>
      <c r="Q257">
        <f>P257*(1+Input!R353)*Q$12</f>
        <v>1.2667700813876164</v>
      </c>
      <c r="R257">
        <f>Q257*(1+Input!S353)*R$12</f>
        <v>1.3047731838292449</v>
      </c>
      <c r="S257">
        <f>R257*(1+Input!T353)*S$12</f>
        <v>1.3439163793441222</v>
      </c>
      <c r="T257">
        <f>S257*(1+Input!U353)*T$12</f>
        <v>1.3842338707244459</v>
      </c>
      <c r="U257">
        <f>T257*(1+Input!V353)*U$12</f>
        <v>1.4257608868461793</v>
      </c>
      <c r="V257">
        <f>U257*(1+Input!W353)*V$12</f>
        <v>1.4685337134515648</v>
      </c>
    </row>
    <row r="258" spans="2:22">
      <c r="B258" t="s">
        <v>499</v>
      </c>
      <c r="G258"/>
      <c r="I258">
        <v>1</v>
      </c>
      <c r="J258">
        <f>I258*(1+Input!K358)*J$12</f>
        <v>1.03</v>
      </c>
      <c r="K258">
        <f>J258*(1+Input!L358)*K$12</f>
        <v>1.0609</v>
      </c>
      <c r="L258">
        <f>K258*(1+Input!M358)*L$12</f>
        <v>1.092727</v>
      </c>
      <c r="M258">
        <f>L258*(1+Input!N358)*M$12</f>
        <v>1.1255088100000001</v>
      </c>
      <c r="N258">
        <f>M258*(1+Input!O358)*N$12</f>
        <v>1.1592740743000001</v>
      </c>
      <c r="O258">
        <f>N258*(1+Input!P358)*O$12</f>
        <v>1.1940522965290001</v>
      </c>
      <c r="P258">
        <f>O258*(1+Input!Q358)*P$12</f>
        <v>1.2298738654248702</v>
      </c>
      <c r="Q258">
        <f>P258*(1+Input!R358)*Q$12</f>
        <v>1.2667700813876164</v>
      </c>
      <c r="R258">
        <f>Q258*(1+Input!S358)*R$12</f>
        <v>1.3047731838292449</v>
      </c>
      <c r="S258">
        <f>R258*(1+Input!T358)*S$12</f>
        <v>1.3439163793441222</v>
      </c>
      <c r="T258">
        <f>S258*(1+Input!U358)*T$12</f>
        <v>1.3842338707244459</v>
      </c>
      <c r="U258">
        <f>T258*(1+Input!V358)*U$12</f>
        <v>1.4257608868461793</v>
      </c>
      <c r="V258">
        <f>U258*(1+Input!W358)*V$12</f>
        <v>1.4685337134515648</v>
      </c>
    </row>
    <row r="259" spans="2:22">
      <c r="B259" t="s">
        <v>503</v>
      </c>
      <c r="G259"/>
      <c r="I259">
        <v>1</v>
      </c>
      <c r="J259">
        <f>I259*(1+Input!K363)*J$12</f>
        <v>1.02</v>
      </c>
      <c r="K259">
        <f>J259*(1+Input!L363)*K$12</f>
        <v>1.0404</v>
      </c>
      <c r="L259">
        <f>K259*(1+Input!M363)*L$12</f>
        <v>1.0612079999999999</v>
      </c>
      <c r="M259">
        <f>L259*(1+Input!N363)*M$12</f>
        <v>1.08243216</v>
      </c>
      <c r="N259">
        <f>M259*(1+Input!O363)*N$12</f>
        <v>1.1040808032</v>
      </c>
      <c r="O259">
        <f>N259*(1+Input!P363)*O$12</f>
        <v>1.1261624192640001</v>
      </c>
      <c r="P259">
        <f>O259*(1+Input!Q363)*P$12</f>
        <v>1.14868566764928</v>
      </c>
      <c r="Q259">
        <f>P259*(1+Input!R363)*Q$12</f>
        <v>1.1716593810022657</v>
      </c>
      <c r="R259">
        <f>Q259*(1+Input!S363)*R$12</f>
        <v>1.1950925686223111</v>
      </c>
      <c r="S259">
        <f>R259*(1+Input!T363)*S$12</f>
        <v>1.2189944199947573</v>
      </c>
      <c r="T259">
        <f>S259*(1+Input!U363)*T$12</f>
        <v>1.2433743083946525</v>
      </c>
      <c r="U259">
        <f>T259*(1+Input!V363)*U$12</f>
        <v>1.2682417945625455</v>
      </c>
      <c r="V259">
        <f>U259*(1+Input!W363)*V$12</f>
        <v>1.2936066304537963</v>
      </c>
    </row>
    <row r="260" spans="2:22">
      <c r="B260" t="s">
        <v>506</v>
      </c>
      <c r="G260"/>
      <c r="I260">
        <v>1</v>
      </c>
      <c r="J260">
        <f>I260*(1+Input!K368)*J$12</f>
        <v>1.03</v>
      </c>
      <c r="K260">
        <f>J260*(1+Input!L368)*K$12</f>
        <v>1.0609</v>
      </c>
      <c r="L260">
        <f>K260*(1+Input!M368)*L$12</f>
        <v>1.092727</v>
      </c>
      <c r="M260">
        <f>L260*(1+Input!N368)*M$12</f>
        <v>1.1255088100000001</v>
      </c>
      <c r="N260">
        <f>M260*(1+Input!O368)*N$12</f>
        <v>1.1592740743000001</v>
      </c>
      <c r="O260">
        <f>N260*(1+Input!P368)*O$12</f>
        <v>1.1940522965290001</v>
      </c>
      <c r="P260">
        <f>O260*(1+Input!Q368)*P$12</f>
        <v>1.2298738654248702</v>
      </c>
      <c r="Q260">
        <f>P260*(1+Input!R368)*Q$12</f>
        <v>1.2667700813876164</v>
      </c>
      <c r="R260">
        <f>Q260*(1+Input!S368)*R$12</f>
        <v>1.3047731838292449</v>
      </c>
      <c r="S260">
        <f>R260*(1+Input!T368)*S$12</f>
        <v>1.3439163793441222</v>
      </c>
      <c r="T260">
        <f>S260*(1+Input!U368)*T$12</f>
        <v>1.3842338707244459</v>
      </c>
      <c r="U260">
        <f>T260*(1+Input!V368)*U$12</f>
        <v>1.4257608868461793</v>
      </c>
      <c r="V260">
        <f>U260*(1+Input!W368)*V$12</f>
        <v>1.4685337134515648</v>
      </c>
    </row>
    <row r="261" spans="2:22">
      <c r="B261" t="s">
        <v>500</v>
      </c>
      <c r="G261"/>
      <c r="I261">
        <v>1</v>
      </c>
      <c r="J261">
        <f>I261*(1+Input!K373)*J$12</f>
        <v>1.02</v>
      </c>
      <c r="K261">
        <f>J261*(1+Input!L373)*K$12</f>
        <v>1.0404</v>
      </c>
      <c r="L261">
        <f>K261*(1+Input!M373)*L$12</f>
        <v>1.0612079999999999</v>
      </c>
      <c r="M261">
        <f>L261*(1+Input!N373)*M$12</f>
        <v>1.08243216</v>
      </c>
      <c r="N261">
        <f>M261*(1+Input!O373)*N$12</f>
        <v>1.1040808032</v>
      </c>
      <c r="O261">
        <f>N261*(1+Input!P373)*O$12</f>
        <v>1.1261624192640001</v>
      </c>
      <c r="P261">
        <f>O261*(1+Input!Q373)*P$12</f>
        <v>1.14868566764928</v>
      </c>
      <c r="Q261">
        <f>P261*(1+Input!R373)*Q$12</f>
        <v>1.1716593810022657</v>
      </c>
      <c r="R261">
        <f>Q261*(1+Input!S373)*R$12</f>
        <v>1.1950925686223111</v>
      </c>
      <c r="S261">
        <f>R261*(1+Input!T373)*S$12</f>
        <v>1.2189944199947573</v>
      </c>
      <c r="T261">
        <f>S261*(1+Input!U373)*T$12</f>
        <v>1.2433743083946525</v>
      </c>
      <c r="U261">
        <f>T261*(1+Input!V373)*U$12</f>
        <v>1.2682417945625455</v>
      </c>
      <c r="V261">
        <f>U261*(1+Input!W373)*V$12</f>
        <v>1.2936066304537963</v>
      </c>
    </row>
    <row r="262" spans="2:22">
      <c r="B262" t="s">
        <v>504</v>
      </c>
      <c r="G262"/>
      <c r="I262">
        <v>1</v>
      </c>
      <c r="J262">
        <f>I262*(1+Input!K378)*J$12</f>
        <v>1.02</v>
      </c>
      <c r="K262">
        <f>J262*(1+Input!L378)*K$12</f>
        <v>1.0404</v>
      </c>
      <c r="L262">
        <f>K262*(1+Input!M378)*L$12</f>
        <v>1.0612079999999999</v>
      </c>
      <c r="M262">
        <f>L262*(1+Input!N378)*M$12</f>
        <v>1.08243216</v>
      </c>
      <c r="N262">
        <f>M262*(1+Input!O378)*N$12</f>
        <v>1.1040808032</v>
      </c>
      <c r="O262">
        <f>N262*(1+Input!P378)*O$12</f>
        <v>1.1261624192640001</v>
      </c>
      <c r="P262">
        <f>O262*(1+Input!Q378)*P$12</f>
        <v>1.14868566764928</v>
      </c>
      <c r="Q262">
        <f>P262*(1+Input!R378)*Q$12</f>
        <v>1.1716593810022657</v>
      </c>
      <c r="R262">
        <f>Q262*(1+Input!S378)*R$12</f>
        <v>1.1950925686223111</v>
      </c>
      <c r="S262">
        <f>R262*(1+Input!T378)*S$12</f>
        <v>1.2189944199947573</v>
      </c>
      <c r="T262">
        <f>S262*(1+Input!U378)*T$12</f>
        <v>1.2433743083946525</v>
      </c>
      <c r="U262">
        <f>T262*(1+Input!V378)*U$12</f>
        <v>1.2682417945625455</v>
      </c>
      <c r="V262">
        <f>U262*(1+Input!W378)*V$12</f>
        <v>1.2936066304537963</v>
      </c>
    </row>
    <row r="263" spans="2:22">
      <c r="B263" t="s">
        <v>502</v>
      </c>
      <c r="G263"/>
      <c r="I263">
        <v>1</v>
      </c>
      <c r="J263">
        <f>I263*(1+Input!K383)*J$12</f>
        <v>1.02</v>
      </c>
      <c r="K263">
        <f>J263*(1+Input!L383)*K$12</f>
        <v>1.0404</v>
      </c>
      <c r="L263">
        <f>K263*(1+Input!M383)*L$12</f>
        <v>1.0612079999999999</v>
      </c>
      <c r="M263">
        <f>L263*(1+Input!N383)*M$12</f>
        <v>1.08243216</v>
      </c>
      <c r="N263">
        <f>M263*(1+Input!O383)*N$12</f>
        <v>1.1040808032</v>
      </c>
      <c r="O263">
        <f>N263*(1+Input!P383)*O$12</f>
        <v>1.1261624192640001</v>
      </c>
      <c r="P263">
        <f>O263*(1+Input!Q383)*P$12</f>
        <v>1.14868566764928</v>
      </c>
      <c r="Q263">
        <f>P263*(1+Input!R383)*Q$12</f>
        <v>1.1716593810022657</v>
      </c>
      <c r="R263">
        <f>Q263*(1+Input!S383)*R$12</f>
        <v>1.1950925686223111</v>
      </c>
      <c r="S263">
        <f>R263*(1+Input!T383)*S$12</f>
        <v>1.2189944199947573</v>
      </c>
      <c r="T263">
        <f>S263*(1+Input!U383)*T$12</f>
        <v>1.2433743083946525</v>
      </c>
      <c r="U263">
        <f>T263*(1+Input!V383)*U$12</f>
        <v>1.2682417945625455</v>
      </c>
      <c r="V263">
        <f>U263*(1+Input!W383)*V$12</f>
        <v>1.2936066304537963</v>
      </c>
    </row>
    <row r="264" spans="2:22">
      <c r="G264"/>
    </row>
    <row r="265" spans="2:22">
      <c r="B265" s="2" t="s">
        <v>536</v>
      </c>
      <c r="G265"/>
      <c r="J265" s="88">
        <f>SUM(J266:J276,-J272)</f>
        <v>9.1526681838109827</v>
      </c>
      <c r="K265" s="22">
        <f t="shared" ref="K265:V265" si="86">SUM(K266:K276,-K272)</f>
        <v>9.4488472204361074</v>
      </c>
      <c r="L265" s="88">
        <f t="shared" si="86"/>
        <v>9.7546753384197089</v>
      </c>
      <c r="M265" s="22">
        <f t="shared" si="86"/>
        <v>10.07046889497304</v>
      </c>
      <c r="N265" s="22">
        <f t="shared" si="86"/>
        <v>10.396554682088896</v>
      </c>
      <c r="O265" s="22">
        <f t="shared" si="86"/>
        <v>10.7332702726893</v>
      </c>
      <c r="P265" s="22">
        <f t="shared" si="86"/>
        <v>11.080964378317505</v>
      </c>
      <c r="Q265" s="22">
        <f t="shared" si="86"/>
        <v>11.439997218761295</v>
      </c>
      <c r="R265" s="22">
        <f t="shared" si="86"/>
        <v>11.810740904007488</v>
      </c>
      <c r="S265" s="22">
        <f t="shared" si="86"/>
        <v>12.193579828941196</v>
      </c>
      <c r="T265" s="22">
        <f t="shared" si="86"/>
        <v>12.588911081217123</v>
      </c>
      <c r="U265" s="22">
        <f t="shared" si="86"/>
        <v>12.997144862744745</v>
      </c>
      <c r="V265" s="22">
        <f t="shared" si="86"/>
        <v>13.418704925244013</v>
      </c>
    </row>
    <row r="266" spans="2:22">
      <c r="B266" t="s">
        <v>497</v>
      </c>
      <c r="F266" s="72">
        <f>Input!J318</f>
        <v>4.2735000000000003</v>
      </c>
      <c r="G266"/>
      <c r="J266" s="22">
        <f t="shared" ref="J266:V276" si="87">$F266*J253</f>
        <v>4.4230725</v>
      </c>
      <c r="K266" s="22">
        <f t="shared" si="87"/>
        <v>4.5778800374999999</v>
      </c>
      <c r="L266" s="22">
        <f t="shared" si="87"/>
        <v>4.7381058388124995</v>
      </c>
      <c r="M266" s="22">
        <f t="shared" si="87"/>
        <v>4.9039395431709361</v>
      </c>
      <c r="N266" s="22">
        <f t="shared" si="87"/>
        <v>5.0755774271819183</v>
      </c>
      <c r="O266" s="22">
        <f t="shared" si="87"/>
        <v>5.2532226371332849</v>
      </c>
      <c r="P266" s="22">
        <f t="shared" si="87"/>
        <v>5.4370854294329494</v>
      </c>
      <c r="Q266" s="22">
        <f t="shared" si="87"/>
        <v>5.6273834194631025</v>
      </c>
      <c r="R266" s="22">
        <f t="shared" si="87"/>
        <v>5.82434183914431</v>
      </c>
      <c r="S266" s="22">
        <f t="shared" si="87"/>
        <v>6.0281938035143607</v>
      </c>
      <c r="T266" s="22">
        <f t="shared" si="87"/>
        <v>6.2391805866373629</v>
      </c>
      <c r="U266" s="22">
        <f t="shared" si="87"/>
        <v>6.4575519071696705</v>
      </c>
      <c r="V266" s="22">
        <f t="shared" si="87"/>
        <v>6.6835662239206082</v>
      </c>
    </row>
    <row r="267" spans="2:22">
      <c r="B267" t="s">
        <v>496</v>
      </c>
      <c r="F267" s="72">
        <f>Input!J319</f>
        <v>3.0775133239999999</v>
      </c>
      <c r="G267"/>
      <c r="J267" s="22">
        <f t="shared" si="87"/>
        <v>3.1698387237199999</v>
      </c>
      <c r="K267" s="22">
        <f t="shared" si="87"/>
        <v>3.2649338854315997</v>
      </c>
      <c r="L267" s="22">
        <f t="shared" si="87"/>
        <v>3.3628819019945477</v>
      </c>
      <c r="M267" s="22">
        <f t="shared" si="87"/>
        <v>3.4637683590543848</v>
      </c>
      <c r="N267" s="22">
        <f t="shared" si="87"/>
        <v>3.5676814098260161</v>
      </c>
      <c r="O267" s="22">
        <f t="shared" si="87"/>
        <v>3.6747118521207969</v>
      </c>
      <c r="P267" s="22">
        <f t="shared" si="87"/>
        <v>3.784953207684421</v>
      </c>
      <c r="Q267" s="22">
        <f t="shared" si="87"/>
        <v>3.8985018039149537</v>
      </c>
      <c r="R267" s="22">
        <f t="shared" si="87"/>
        <v>4.0154568580324019</v>
      </c>
      <c r="S267" s="22">
        <f t="shared" si="87"/>
        <v>4.1359205637733742</v>
      </c>
      <c r="T267" s="22">
        <f t="shared" si="87"/>
        <v>4.2599981806865754</v>
      </c>
      <c r="U267" s="22">
        <f t="shared" si="87"/>
        <v>4.3877981261071728</v>
      </c>
      <c r="V267" s="22">
        <f t="shared" si="87"/>
        <v>4.5194320698903887</v>
      </c>
    </row>
    <row r="268" spans="2:22">
      <c r="B268" t="s">
        <v>505</v>
      </c>
      <c r="F268" s="72">
        <f>Input!J320</f>
        <v>0.43463408199999998</v>
      </c>
      <c r="G268"/>
      <c r="J268" s="22">
        <f t="shared" si="87"/>
        <v>0.44767310445999997</v>
      </c>
      <c r="K268" s="22">
        <f t="shared" si="87"/>
        <v>0.46110329759379998</v>
      </c>
      <c r="L268" s="22">
        <f t="shared" si="87"/>
        <v>0.47493639652161396</v>
      </c>
      <c r="M268" s="22">
        <f t="shared" si="87"/>
        <v>0.48918448841726248</v>
      </c>
      <c r="N268" s="22">
        <f t="shared" si="87"/>
        <v>0.50386002306978028</v>
      </c>
      <c r="O268" s="22">
        <f t="shared" si="87"/>
        <v>0.51897582376187368</v>
      </c>
      <c r="P268" s="22">
        <f t="shared" si="87"/>
        <v>0.53454509847472997</v>
      </c>
      <c r="Q268" s="22">
        <f t="shared" si="87"/>
        <v>0.55058145142897186</v>
      </c>
      <c r="R268" s="22">
        <f t="shared" si="87"/>
        <v>0.56709889497184107</v>
      </c>
      <c r="S268" s="22">
        <f t="shared" si="87"/>
        <v>0.58411186182099628</v>
      </c>
      <c r="T268" s="22">
        <f t="shared" si="87"/>
        <v>0.60163521767562622</v>
      </c>
      <c r="U268" s="22">
        <f t="shared" si="87"/>
        <v>0.619684274205895</v>
      </c>
      <c r="V268" s="22">
        <f t="shared" si="87"/>
        <v>0.63827480243207191</v>
      </c>
    </row>
    <row r="269" spans="2:22">
      <c r="B269" t="s">
        <v>501</v>
      </c>
      <c r="F269" s="72">
        <f>Input!J321</f>
        <v>0.38632712999687496</v>
      </c>
      <c r="G269"/>
      <c r="J269" s="22">
        <f t="shared" si="87"/>
        <v>0.39791694389678123</v>
      </c>
      <c r="K269" s="22">
        <f t="shared" si="87"/>
        <v>0.40985445221368461</v>
      </c>
      <c r="L269" s="22">
        <f t="shared" si="87"/>
        <v>0.42215008578009516</v>
      </c>
      <c r="M269" s="22">
        <f t="shared" si="87"/>
        <v>0.43481458835349812</v>
      </c>
      <c r="N269" s="22">
        <f t="shared" si="87"/>
        <v>0.44785902600410299</v>
      </c>
      <c r="O269" s="22">
        <f t="shared" si="87"/>
        <v>0.46129479678422614</v>
      </c>
      <c r="P269" s="22">
        <f t="shared" si="87"/>
        <v>0.47513364068775293</v>
      </c>
      <c r="Q269" s="22">
        <f t="shared" si="87"/>
        <v>0.48938764990838557</v>
      </c>
      <c r="R269" s="22">
        <f t="shared" si="87"/>
        <v>0.50406927940563717</v>
      </c>
      <c r="S269" s="22">
        <f t="shared" si="87"/>
        <v>0.51919135778780623</v>
      </c>
      <c r="T269" s="22">
        <f t="shared" si="87"/>
        <v>0.53476709852144044</v>
      </c>
      <c r="U269" s="22">
        <f t="shared" si="87"/>
        <v>0.5508101114770837</v>
      </c>
      <c r="V269" s="22">
        <f t="shared" si="87"/>
        <v>0.56733441482139624</v>
      </c>
    </row>
    <row r="270" spans="2:22">
      <c r="B270" t="s">
        <v>498</v>
      </c>
      <c r="F270" s="72">
        <f>Input!J322</f>
        <v>0.35</v>
      </c>
      <c r="G270"/>
      <c r="J270" s="22">
        <f t="shared" si="87"/>
        <v>0.36049999999999999</v>
      </c>
      <c r="K270" s="22">
        <f t="shared" si="87"/>
        <v>0.37131499999999995</v>
      </c>
      <c r="L270" s="22">
        <f t="shared" si="87"/>
        <v>0.38245445</v>
      </c>
      <c r="M270" s="22">
        <f t="shared" si="87"/>
        <v>0.39392808350000003</v>
      </c>
      <c r="N270" s="22">
        <f t="shared" si="87"/>
        <v>0.40574592600499998</v>
      </c>
      <c r="O270" s="22">
        <f t="shared" si="87"/>
        <v>0.41791830378515005</v>
      </c>
      <c r="P270" s="22">
        <f t="shared" si="87"/>
        <v>0.43045585289870453</v>
      </c>
      <c r="Q270" s="22">
        <f t="shared" si="87"/>
        <v>0.44336952848566569</v>
      </c>
      <c r="R270" s="22">
        <f t="shared" si="87"/>
        <v>0.4566706143402357</v>
      </c>
      <c r="S270" s="22">
        <f t="shared" si="87"/>
        <v>0.47037073277044272</v>
      </c>
      <c r="T270" s="22">
        <f t="shared" si="87"/>
        <v>0.48448185475355604</v>
      </c>
      <c r="U270" s="22">
        <f t="shared" si="87"/>
        <v>0.49901631039616273</v>
      </c>
      <c r="V270" s="22">
        <f t="shared" si="87"/>
        <v>0.51398679970804761</v>
      </c>
    </row>
    <row r="271" spans="2:22">
      <c r="B271" t="s">
        <v>499</v>
      </c>
      <c r="F271" s="72">
        <f>Input!J323</f>
        <v>0.24578808914</v>
      </c>
      <c r="G271"/>
      <c r="J271" s="22">
        <f t="shared" si="87"/>
        <v>0.25316173181419999</v>
      </c>
      <c r="K271" s="22">
        <f t="shared" si="87"/>
        <v>0.26075658376862598</v>
      </c>
      <c r="L271" s="22">
        <f t="shared" si="87"/>
        <v>0.26857928128168479</v>
      </c>
      <c r="M271" s="22">
        <f t="shared" si="87"/>
        <v>0.27663665972013535</v>
      </c>
      <c r="N271" s="22">
        <f t="shared" si="87"/>
        <v>0.28493575951173938</v>
      </c>
      <c r="O271" s="22">
        <f t="shared" si="87"/>
        <v>0.29348383229709157</v>
      </c>
      <c r="P271" s="22">
        <f t="shared" si="87"/>
        <v>0.30228834726600434</v>
      </c>
      <c r="Q271" s="22">
        <f t="shared" si="87"/>
        <v>0.3113569976839845</v>
      </c>
      <c r="R271" s="22">
        <f t="shared" si="87"/>
        <v>0.32069770761450406</v>
      </c>
      <c r="S271" s="22">
        <f t="shared" si="87"/>
        <v>0.33031863884293916</v>
      </c>
      <c r="T271" s="22">
        <f t="shared" si="87"/>
        <v>0.34022819800822734</v>
      </c>
      <c r="U271" s="22">
        <f t="shared" si="87"/>
        <v>0.35043504394847419</v>
      </c>
      <c r="V271" s="22">
        <f t="shared" si="87"/>
        <v>0.36094809526692845</v>
      </c>
    </row>
    <row r="272" spans="2:22">
      <c r="B272" t="s">
        <v>503</v>
      </c>
      <c r="F272" s="72">
        <f>Input!J324</f>
        <v>0.12710661315000002</v>
      </c>
      <c r="G272"/>
      <c r="J272" s="22">
        <f t="shared" si="87"/>
        <v>0.12964874541300003</v>
      </c>
      <c r="K272" s="22">
        <f t="shared" si="87"/>
        <v>0.13224172032126003</v>
      </c>
      <c r="L272" s="88">
        <f t="shared" si="87"/>
        <v>0.13488655472768521</v>
      </c>
      <c r="M272" s="22">
        <f t="shared" si="87"/>
        <v>0.13758428582223892</v>
      </c>
      <c r="N272" s="22">
        <f t="shared" si="87"/>
        <v>0.14033597153868371</v>
      </c>
      <c r="O272" s="22">
        <f t="shared" si="87"/>
        <v>0.14314269096945739</v>
      </c>
      <c r="P272" s="22">
        <f t="shared" si="87"/>
        <v>0.14600554478884653</v>
      </c>
      <c r="Q272" s="22">
        <f t="shared" si="87"/>
        <v>0.14892565568462349</v>
      </c>
      <c r="R272" s="22">
        <f t="shared" si="87"/>
        <v>0.15190416879831595</v>
      </c>
      <c r="S272" s="22">
        <f t="shared" si="87"/>
        <v>0.15494225217428226</v>
      </c>
      <c r="T272" s="22">
        <f t="shared" si="87"/>
        <v>0.15804109721776791</v>
      </c>
      <c r="U272" s="22">
        <f t="shared" si="87"/>
        <v>0.16120191916212326</v>
      </c>
      <c r="V272" s="22">
        <f t="shared" si="87"/>
        <v>0.16442595754536571</v>
      </c>
    </row>
    <row r="273" spans="2:22">
      <c r="B273" t="s">
        <v>506</v>
      </c>
      <c r="F273" s="72">
        <f>Input!J325</f>
        <v>4.7444699999999999E-2</v>
      </c>
      <c r="G273"/>
      <c r="J273" s="22">
        <f t="shared" si="87"/>
        <v>4.8868041000000001E-2</v>
      </c>
      <c r="K273" s="22">
        <f t="shared" si="87"/>
        <v>5.033408223E-2</v>
      </c>
      <c r="L273" s="22">
        <f t="shared" si="87"/>
        <v>5.1844104696899998E-2</v>
      </c>
      <c r="M273" s="22">
        <f t="shared" si="87"/>
        <v>5.3399427837807004E-2</v>
      </c>
      <c r="N273" s="22">
        <f t="shared" si="87"/>
        <v>5.500141067294121E-2</v>
      </c>
      <c r="O273" s="22">
        <f t="shared" si="87"/>
        <v>5.6651452993129452E-2</v>
      </c>
      <c r="P273" s="22">
        <f t="shared" si="87"/>
        <v>5.8350996582923337E-2</v>
      </c>
      <c r="Q273" s="22">
        <f t="shared" si="87"/>
        <v>6.010152648041104E-2</v>
      </c>
      <c r="R273" s="22">
        <f t="shared" si="87"/>
        <v>6.1904572274823377E-2</v>
      </c>
      <c r="S273" s="22">
        <f t="shared" si="87"/>
        <v>6.3761709443068068E-2</v>
      </c>
      <c r="T273" s="22">
        <f t="shared" si="87"/>
        <v>6.5674560726360118E-2</v>
      </c>
      <c r="U273" s="22">
        <f t="shared" si="87"/>
        <v>6.764479754815092E-2</v>
      </c>
      <c r="V273" s="22">
        <f t="shared" si="87"/>
        <v>6.9674141474595455E-2</v>
      </c>
    </row>
    <row r="274" spans="2:22">
      <c r="B274" t="s">
        <v>500</v>
      </c>
      <c r="F274" s="72">
        <f>Input!J326</f>
        <v>2.0640441999999998E-2</v>
      </c>
      <c r="G274"/>
      <c r="J274" s="22">
        <f t="shared" si="87"/>
        <v>2.1053250839999999E-2</v>
      </c>
      <c r="K274" s="22">
        <f t="shared" si="87"/>
        <v>2.14743158568E-2</v>
      </c>
      <c r="L274" s="22">
        <f t="shared" si="87"/>
        <v>2.1903802173935998E-2</v>
      </c>
      <c r="M274" s="22">
        <f t="shared" si="87"/>
        <v>2.2341878217414717E-2</v>
      </c>
      <c r="N274" s="22">
        <f t="shared" si="87"/>
        <v>2.2788715781763013E-2</v>
      </c>
      <c r="O274" s="22">
        <f t="shared" si="87"/>
        <v>2.3244490097398273E-2</v>
      </c>
      <c r="P274" s="22">
        <f t="shared" si="87"/>
        <v>2.3709379899346239E-2</v>
      </c>
      <c r="Q274" s="22">
        <f t="shared" si="87"/>
        <v>2.4183567497333167E-2</v>
      </c>
      <c r="R274" s="22">
        <f t="shared" si="87"/>
        <v>2.4667238847279831E-2</v>
      </c>
      <c r="S274" s="22">
        <f t="shared" si="87"/>
        <v>2.5160583624225429E-2</v>
      </c>
      <c r="T274" s="22">
        <f t="shared" si="87"/>
        <v>2.5663795296709934E-2</v>
      </c>
      <c r="U274" s="22">
        <f t="shared" si="87"/>
        <v>2.6177071202644134E-2</v>
      </c>
      <c r="V274" s="22">
        <f t="shared" si="87"/>
        <v>2.6700612626697016E-2</v>
      </c>
    </row>
    <row r="275" spans="2:22">
      <c r="B275" t="s">
        <v>504</v>
      </c>
      <c r="F275" s="72">
        <f>Input!J327</f>
        <v>1.7084203999999999E-2</v>
      </c>
      <c r="G275"/>
      <c r="J275" s="22">
        <f t="shared" si="87"/>
        <v>1.742588808E-2</v>
      </c>
      <c r="K275" s="22">
        <f t="shared" si="87"/>
        <v>1.7774405841599998E-2</v>
      </c>
      <c r="L275" s="22">
        <f t="shared" si="87"/>
        <v>1.8129893958431998E-2</v>
      </c>
      <c r="M275" s="22">
        <f t="shared" si="87"/>
        <v>1.8492491837600638E-2</v>
      </c>
      <c r="N275" s="22">
        <f t="shared" si="87"/>
        <v>1.8862341674352651E-2</v>
      </c>
      <c r="O275" s="22">
        <f t="shared" si="87"/>
        <v>1.9239588507839706E-2</v>
      </c>
      <c r="P275" s="22">
        <f t="shared" si="87"/>
        <v>1.9624380277996498E-2</v>
      </c>
      <c r="Q275" s="22">
        <f t="shared" si="87"/>
        <v>2.001686788355643E-2</v>
      </c>
      <c r="R275" s="22">
        <f t="shared" si="87"/>
        <v>2.041720524122756E-2</v>
      </c>
      <c r="S275" s="22">
        <f t="shared" si="87"/>
        <v>2.0825549346052113E-2</v>
      </c>
      <c r="T275" s="22">
        <f t="shared" si="87"/>
        <v>2.1242060332973153E-2</v>
      </c>
      <c r="U275" s="22">
        <f t="shared" si="87"/>
        <v>2.1666901539632615E-2</v>
      </c>
      <c r="V275" s="22">
        <f t="shared" si="87"/>
        <v>2.2100239570425267E-2</v>
      </c>
    </row>
    <row r="276" spans="2:22">
      <c r="B276" t="s">
        <v>502</v>
      </c>
      <c r="F276" s="72">
        <f>Input!J328</f>
        <v>1.29E-2</v>
      </c>
      <c r="G276"/>
      <c r="J276" s="22">
        <f t="shared" si="87"/>
        <v>1.3158E-2</v>
      </c>
      <c r="K276" s="22">
        <f t="shared" si="87"/>
        <v>1.342116E-2</v>
      </c>
      <c r="L276" s="22">
        <f t="shared" si="87"/>
        <v>1.3689583199999999E-2</v>
      </c>
      <c r="M276" s="22">
        <f t="shared" si="87"/>
        <v>1.3963374863999999E-2</v>
      </c>
      <c r="N276" s="22">
        <f t="shared" si="87"/>
        <v>1.4242642361280001E-2</v>
      </c>
      <c r="O276" s="22">
        <f t="shared" si="87"/>
        <v>1.4527495208505601E-2</v>
      </c>
      <c r="P276" s="22">
        <f t="shared" si="87"/>
        <v>1.4818045112675713E-2</v>
      </c>
      <c r="Q276" s="22">
        <f t="shared" si="87"/>
        <v>1.5114406014929228E-2</v>
      </c>
      <c r="R276" s="22">
        <f t="shared" si="87"/>
        <v>1.5416694135227813E-2</v>
      </c>
      <c r="S276" s="22">
        <f t="shared" si="87"/>
        <v>1.5725028017932369E-2</v>
      </c>
      <c r="T276" s="22">
        <f t="shared" si="87"/>
        <v>1.6039528578291017E-2</v>
      </c>
      <c r="U276" s="22">
        <f t="shared" si="87"/>
        <v>1.6360319149856837E-2</v>
      </c>
      <c r="V276" s="22">
        <f t="shared" si="87"/>
        <v>1.6687525532853971E-2</v>
      </c>
    </row>
    <row r="277" spans="2:22">
      <c r="G277"/>
    </row>
    <row r="278" spans="2:22">
      <c r="B278" s="2" t="s">
        <v>492</v>
      </c>
      <c r="G278"/>
      <c r="J278" s="22">
        <f>SUM(J272,J193)</f>
        <v>40.958825604243003</v>
      </c>
      <c r="K278" s="22">
        <f t="shared" ref="K278:V278" si="88">SUM(K272,K193)</f>
        <v>40.961418579151264</v>
      </c>
      <c r="L278" s="22">
        <f t="shared" si="88"/>
        <v>41.964063413557689</v>
      </c>
      <c r="M278" s="22">
        <f t="shared" si="88"/>
        <v>41.966761144652239</v>
      </c>
      <c r="N278" s="22">
        <f t="shared" si="88"/>
        <v>41.969512830368686</v>
      </c>
      <c r="O278" s="22">
        <f t="shared" si="88"/>
        <v>42.972319549799458</v>
      </c>
      <c r="P278" s="22">
        <f t="shared" si="88"/>
        <v>42.975182403618852</v>
      </c>
      <c r="Q278" s="22">
        <f t="shared" si="88"/>
        <v>42.978102514514624</v>
      </c>
      <c r="R278" s="22">
        <f t="shared" si="88"/>
        <v>43.981081027628321</v>
      </c>
      <c r="S278" s="22">
        <f t="shared" si="88"/>
        <v>43.984119111004283</v>
      </c>
      <c r="T278" s="22">
        <f t="shared" si="88"/>
        <v>43.987217956047772</v>
      </c>
      <c r="U278" s="22">
        <f t="shared" si="88"/>
        <v>43.990378777992127</v>
      </c>
      <c r="V278" s="22">
        <f t="shared" si="88"/>
        <v>43.993602816375372</v>
      </c>
    </row>
    <row r="279" spans="2:22">
      <c r="G279"/>
    </row>
    <row r="280" spans="2:22" ht="24" thickBot="1">
      <c r="B280" s="14" t="s">
        <v>294</v>
      </c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</row>
    <row r="281" spans="2:22">
      <c r="G281"/>
    </row>
    <row r="282" spans="2:22">
      <c r="B282" t="s">
        <v>37</v>
      </c>
      <c r="F282" s="19">
        <v>2025</v>
      </c>
      <c r="G282"/>
      <c r="J282" s="13">
        <f t="shared" ref="J282:V282" si="89">IF(J8&lt;F282,0,1)*J12</f>
        <v>0</v>
      </c>
      <c r="K282" s="13">
        <f t="shared" si="89"/>
        <v>1</v>
      </c>
      <c r="L282" s="13">
        <f t="shared" si="89"/>
        <v>1</v>
      </c>
      <c r="M282" s="13">
        <f t="shared" si="89"/>
        <v>1</v>
      </c>
      <c r="N282" s="13">
        <f t="shared" si="89"/>
        <v>1</v>
      </c>
      <c r="O282" s="13">
        <f t="shared" si="89"/>
        <v>1</v>
      </c>
      <c r="P282" s="13">
        <f t="shared" si="89"/>
        <v>1</v>
      </c>
      <c r="Q282" s="13">
        <f t="shared" si="89"/>
        <v>1</v>
      </c>
      <c r="R282" s="13">
        <f t="shared" si="89"/>
        <v>1</v>
      </c>
      <c r="S282" s="13">
        <f t="shared" si="89"/>
        <v>1</v>
      </c>
      <c r="T282" s="13">
        <f t="shared" si="89"/>
        <v>1</v>
      </c>
      <c r="U282" s="13">
        <f t="shared" si="89"/>
        <v>1</v>
      </c>
      <c r="V282" s="13">
        <f t="shared" si="89"/>
        <v>1</v>
      </c>
    </row>
    <row r="283" spans="2:22">
      <c r="G283"/>
    </row>
    <row r="284" spans="2:22" ht="15.75">
      <c r="B284" s="15" t="s">
        <v>537</v>
      </c>
      <c r="G284"/>
    </row>
    <row r="285" spans="2:22" ht="15.75">
      <c r="B285" s="41" t="s">
        <v>511</v>
      </c>
      <c r="F285" s="19">
        <v>2025</v>
      </c>
      <c r="G285"/>
      <c r="I285">
        <v>1</v>
      </c>
      <c r="J285" s="77">
        <f>IF(J$8&lt;$F285,0,IF(J$8=$F285,1,I285*(1+Input!K400)*J$12))</f>
        <v>0</v>
      </c>
      <c r="K285" s="77">
        <f>IF(K$8&lt;$F285,0,IF(K$8=$F285,1,J285*(1+Input!L400)*K$12))</f>
        <v>1</v>
      </c>
      <c r="L285" s="70">
        <f>IF(L$8&lt;$F285,0,IF(L$8=$F285,1,K285*(1+Input!M400)*L$12))</f>
        <v>1.03</v>
      </c>
      <c r="M285" s="70">
        <f>IF(M$8&lt;$F285,0,IF(M$8=$F285,1,L285*(1+Input!N400)*M$12))</f>
        <v>1.0609</v>
      </c>
      <c r="N285" s="77">
        <f>IF(N$8&lt;$F285,0,IF(N$8=$F285,1,M285*(1+Input!O400)*N$12))</f>
        <v>1.092727</v>
      </c>
      <c r="O285" s="77">
        <f>IF(O$8&lt;$F285,0,IF(O$8=$F285,1,N285*(1+Input!P400)*O$12))</f>
        <v>1.1255088100000001</v>
      </c>
      <c r="P285" s="70">
        <f>IF(P$8&lt;$F285,0,IF(P$8=$F285,1,O285*(1+Input!Q400)*P$12))</f>
        <v>1.1592740743000001</v>
      </c>
      <c r="Q285" s="77">
        <f>IF(Q$8&lt;$F285,0,IF(Q$8=$F285,1,P285*(1+Input!R400)*Q$12))</f>
        <v>1.1940522965290001</v>
      </c>
      <c r="R285" s="77">
        <f>IF(R$8&lt;$F285,0,IF(R$8=$F285,1,Q285*(1+Input!S400)*R$12))</f>
        <v>1.2298738654248702</v>
      </c>
      <c r="S285" s="70">
        <f>IF(S$8&lt;$F285,0,IF(S$8=$F285,1,R285*(1+Input!T400)*S$12))</f>
        <v>1.2667700813876164</v>
      </c>
      <c r="T285" s="70">
        <f>IF(T$8&lt;$F285,0,IF(T$8=$F285,1,S285*(1+Input!U400)*T$12))</f>
        <v>1.3047731838292449</v>
      </c>
      <c r="U285" s="70">
        <f>IF(U$8&lt;$F285,0,IF(U$8=$F285,1,T285*(1+Input!V400)*U$12))</f>
        <v>1.3439163793441222</v>
      </c>
      <c r="V285" s="70">
        <f>IF(V$8&lt;$F285,0,IF(V$8=$F285,1,U285*(1+Input!W400)*V$12))</f>
        <v>1.3842338707244459</v>
      </c>
    </row>
    <row r="286" spans="2:22">
      <c r="B286" s="407" t="s">
        <v>407</v>
      </c>
      <c r="F286" s="6">
        <f>Input!J405</f>
        <v>2449985.568</v>
      </c>
      <c r="G286" s="17" t="s">
        <v>315</v>
      </c>
      <c r="J286">
        <f t="shared" ref="J286:V286" si="90">J285*$F286*J$12</f>
        <v>0</v>
      </c>
      <c r="K286">
        <f t="shared" si="90"/>
        <v>2449985.568</v>
      </c>
      <c r="L286">
        <f t="shared" si="90"/>
        <v>2523485.1350400001</v>
      </c>
      <c r="M286">
        <f t="shared" si="90"/>
        <v>2599189.6890912</v>
      </c>
      <c r="N286">
        <f t="shared" si="90"/>
        <v>2677165.3797639362</v>
      </c>
      <c r="O286">
        <f t="shared" si="90"/>
        <v>2757480.3411568543</v>
      </c>
      <c r="P286">
        <f t="shared" si="90"/>
        <v>2840204.7513915598</v>
      </c>
      <c r="Q286">
        <f t="shared" si="90"/>
        <v>2925410.8939333069</v>
      </c>
      <c r="R286">
        <f t="shared" si="90"/>
        <v>3013173.220751306</v>
      </c>
      <c r="S286">
        <f t="shared" si="90"/>
        <v>3103568.4173738454</v>
      </c>
      <c r="T286">
        <f t="shared" si="90"/>
        <v>3196675.4698950611</v>
      </c>
      <c r="U286">
        <f t="shared" si="90"/>
        <v>3292575.7339919126</v>
      </c>
      <c r="V286">
        <f t="shared" si="90"/>
        <v>3391353.00601167</v>
      </c>
    </row>
    <row r="287" spans="2:22">
      <c r="B287" s="407" t="s">
        <v>465</v>
      </c>
      <c r="J287">
        <f>Input!K407</f>
        <v>0</v>
      </c>
      <c r="K287">
        <f>Input!L407</f>
        <v>40944</v>
      </c>
      <c r="L287">
        <f>Input!M407</f>
        <v>40944</v>
      </c>
      <c r="M287">
        <f>Input!N407</f>
        <v>49132.80000000001</v>
      </c>
      <c r="N287">
        <f>Input!O407</f>
        <v>49132.80000000001</v>
      </c>
      <c r="O287">
        <f>Input!P407</f>
        <v>54046.080000000002</v>
      </c>
      <c r="P287">
        <f>Input!Q407</f>
        <v>54046.080000000002</v>
      </c>
      <c r="Q287">
        <f>Input!R407</f>
        <v>57288.844800000006</v>
      </c>
      <c r="R287">
        <f>Input!S407</f>
        <v>57288.844800000006</v>
      </c>
      <c r="S287">
        <f>Input!T407</f>
        <v>60726.175488000008</v>
      </c>
      <c r="T287">
        <f>Input!U407</f>
        <v>60726.175488000008</v>
      </c>
      <c r="U287">
        <f>Input!V407</f>
        <v>60726.175488000008</v>
      </c>
      <c r="V287">
        <f>Input!W407</f>
        <v>60726.175488000008</v>
      </c>
    </row>
    <row r="288" spans="2:22">
      <c r="B288" s="28" t="s">
        <v>9</v>
      </c>
      <c r="C288" s="28"/>
      <c r="D288" s="28"/>
      <c r="E288" s="28"/>
      <c r="F288" s="28"/>
      <c r="G288" s="28"/>
      <c r="H288" s="28"/>
      <c r="I288" s="48">
        <f>SUM(J288:V288)</f>
        <v>1894.1025883271418</v>
      </c>
      <c r="J288" s="28">
        <f t="shared" ref="J288:V288" si="91">J286*J287/Billion</f>
        <v>0</v>
      </c>
      <c r="K288" s="28">
        <f t="shared" si="91"/>
        <v>100.31220909619201</v>
      </c>
      <c r="L288" s="28">
        <f t="shared" si="91"/>
        <v>103.32157536907776</v>
      </c>
      <c r="M288" s="28">
        <f t="shared" si="91"/>
        <v>127.70546715618015</v>
      </c>
      <c r="N288" s="28">
        <f t="shared" si="91"/>
        <v>131.53663117086555</v>
      </c>
      <c r="O288" s="28">
        <f t="shared" si="91"/>
        <v>149.03100311659063</v>
      </c>
      <c r="P288" s="28">
        <f t="shared" si="91"/>
        <v>153.50193321008834</v>
      </c>
      <c r="Q288" s="28">
        <f t="shared" si="91"/>
        <v>167.59341067877452</v>
      </c>
      <c r="R288" s="28">
        <f t="shared" si="91"/>
        <v>172.62121299913773</v>
      </c>
      <c r="S288" s="28">
        <f t="shared" si="91"/>
        <v>188.46784035245858</v>
      </c>
      <c r="T288" s="28">
        <f t="shared" si="91"/>
        <v>194.12187556303238</v>
      </c>
      <c r="U288" s="28">
        <f t="shared" si="91"/>
        <v>199.94553182992331</v>
      </c>
      <c r="V288" s="28">
        <f t="shared" si="91"/>
        <v>205.94389778482102</v>
      </c>
    </row>
    <row r="289" spans="2:22">
      <c r="G289"/>
      <c r="I289" s="21"/>
      <c r="K289" s="21"/>
      <c r="L289" s="21"/>
      <c r="M289" s="21"/>
      <c r="N289" s="21"/>
    </row>
    <row r="290" spans="2:22">
      <c r="B290" t="s">
        <v>471</v>
      </c>
      <c r="G290"/>
      <c r="I290" s="21"/>
      <c r="J290">
        <f>SUM(J286)</f>
        <v>0</v>
      </c>
      <c r="K290">
        <f t="shared" ref="K290:V290" si="92">SUM(K286)</f>
        <v>2449985.568</v>
      </c>
      <c r="L290">
        <f t="shared" si="92"/>
        <v>2523485.1350400001</v>
      </c>
      <c r="M290">
        <f t="shared" si="92"/>
        <v>2599189.6890912</v>
      </c>
      <c r="N290">
        <f t="shared" si="92"/>
        <v>2677165.3797639362</v>
      </c>
      <c r="O290">
        <f t="shared" si="92"/>
        <v>2757480.3411568543</v>
      </c>
      <c r="P290">
        <f t="shared" si="92"/>
        <v>2840204.7513915598</v>
      </c>
      <c r="Q290">
        <f t="shared" si="92"/>
        <v>2925410.8939333069</v>
      </c>
      <c r="R290">
        <f t="shared" si="92"/>
        <v>3013173.220751306</v>
      </c>
      <c r="S290">
        <f t="shared" si="92"/>
        <v>3103568.4173738454</v>
      </c>
      <c r="T290">
        <f t="shared" si="92"/>
        <v>3196675.4698950611</v>
      </c>
      <c r="U290">
        <f t="shared" si="92"/>
        <v>3292575.7339919126</v>
      </c>
      <c r="V290">
        <f t="shared" si="92"/>
        <v>3391353.00601167</v>
      </c>
    </row>
    <row r="291" spans="2:22">
      <c r="G291"/>
      <c r="I291" s="21"/>
      <c r="K291" s="21"/>
      <c r="L291" s="21"/>
      <c r="M291" s="21"/>
      <c r="N291" s="21"/>
    </row>
    <row r="292" spans="2:22" ht="15.75">
      <c r="B292" s="15" t="s">
        <v>473</v>
      </c>
      <c r="G292"/>
      <c r="I292" s="21"/>
      <c r="J292">
        <f>SUM(J306,J311,J316,J321,)</f>
        <v>0</v>
      </c>
      <c r="K292">
        <f t="shared" ref="K292:V292" si="93">SUM(K306,K311,K316,K321,)</f>
        <v>8.8903667163807221</v>
      </c>
      <c r="L292">
        <f t="shared" si="93"/>
        <v>9.4064322638083091</v>
      </c>
      <c r="M292">
        <f t="shared" si="93"/>
        <v>9.9539262030742357</v>
      </c>
      <c r="N292">
        <f t="shared" si="93"/>
        <v>10.534762523241454</v>
      </c>
      <c r="O292">
        <f t="shared" si="93"/>
        <v>11.150971775306862</v>
      </c>
      <c r="P292">
        <f t="shared" si="93"/>
        <v>11.804708170823051</v>
      </c>
      <c r="Q292">
        <f t="shared" si="93"/>
        <v>12.498257112826174</v>
      </c>
      <c r="R292">
        <f t="shared" si="93"/>
        <v>13.23404318539729</v>
      </c>
      <c r="S292">
        <f t="shared" si="93"/>
        <v>14.014638629787985</v>
      </c>
      <c r="T292">
        <f t="shared" si="93"/>
        <v>14.842772336742076</v>
      </c>
      <c r="U292">
        <f t="shared" si="93"/>
        <v>15.721339386449667</v>
      </c>
      <c r="V292">
        <f t="shared" si="93"/>
        <v>16.653411169484453</v>
      </c>
    </row>
    <row r="293" spans="2:22">
      <c r="B293" s="2" t="s">
        <v>513</v>
      </c>
      <c r="E293" s="58" t="s">
        <v>514</v>
      </c>
      <c r="F293" s="58" t="s">
        <v>515</v>
      </c>
      <c r="G293"/>
      <c r="I293" s="22"/>
    </row>
    <row r="294" spans="2:22">
      <c r="B294" s="407" t="s">
        <v>516</v>
      </c>
      <c r="E294" s="16">
        <f>Input!J428</f>
        <v>20</v>
      </c>
      <c r="F294" s="30">
        <f>SUM(Input!$J$420:$L$420)</f>
        <v>12.8</v>
      </c>
      <c r="G294" s="17" t="s">
        <v>315</v>
      </c>
    </row>
    <row r="295" spans="2:22">
      <c r="B295" s="407" t="s">
        <v>517</v>
      </c>
      <c r="F295" s="21">
        <f>Input!J425</f>
        <v>0.52678707711330686</v>
      </c>
      <c r="G295" s="17" t="s">
        <v>315</v>
      </c>
    </row>
    <row r="296" spans="2:22">
      <c r="B296" s="28" t="s">
        <v>476</v>
      </c>
      <c r="C296" s="28"/>
      <c r="D296" s="28"/>
      <c r="E296" s="28"/>
      <c r="F296" s="28"/>
      <c r="G296" s="28"/>
      <c r="H296" s="28"/>
      <c r="I296" s="49">
        <f>SUM(J296:V296)</f>
        <v>65.80371309502415</v>
      </c>
      <c r="J296" s="47">
        <f t="shared" ref="J296:V296" si="94">($F294*$F295*Million)/$E294*USD_IDR/Billion*J$282</f>
        <v>0</v>
      </c>
      <c r="K296" s="47">
        <f t="shared" si="94"/>
        <v>5.4836427579186795</v>
      </c>
      <c r="L296" s="47">
        <f t="shared" si="94"/>
        <v>5.4836427579186795</v>
      </c>
      <c r="M296" s="47">
        <f t="shared" si="94"/>
        <v>5.4836427579186795</v>
      </c>
      <c r="N296" s="47">
        <f t="shared" si="94"/>
        <v>5.4836427579186795</v>
      </c>
      <c r="O296" s="47">
        <f t="shared" si="94"/>
        <v>5.4836427579186795</v>
      </c>
      <c r="P296" s="47">
        <f t="shared" si="94"/>
        <v>5.4836427579186795</v>
      </c>
      <c r="Q296" s="47">
        <f t="shared" si="94"/>
        <v>5.4836427579186795</v>
      </c>
      <c r="R296" s="47">
        <f t="shared" si="94"/>
        <v>5.4836427579186795</v>
      </c>
      <c r="S296" s="47">
        <f t="shared" si="94"/>
        <v>5.4836427579186795</v>
      </c>
      <c r="T296" s="47">
        <f t="shared" si="94"/>
        <v>5.4836427579186795</v>
      </c>
      <c r="U296" s="47">
        <f t="shared" si="94"/>
        <v>5.4836427579186795</v>
      </c>
      <c r="V296" s="47">
        <f t="shared" si="94"/>
        <v>5.4836427579186795</v>
      </c>
    </row>
    <row r="297" spans="2:22">
      <c r="G297"/>
    </row>
    <row r="298" spans="2:22">
      <c r="B298" s="2" t="s">
        <v>518</v>
      </c>
      <c r="E298" s="58" t="s">
        <v>514</v>
      </c>
      <c r="F298" s="58" t="s">
        <v>515</v>
      </c>
      <c r="G298"/>
      <c r="I298" s="22"/>
    </row>
    <row r="299" spans="2:22">
      <c r="B299" s="407" t="s">
        <v>516</v>
      </c>
      <c r="E299" s="16">
        <f>Input!J429</f>
        <v>8</v>
      </c>
      <c r="F299" s="30">
        <f>SUM(Input!$J$420:$L$420)</f>
        <v>12.8</v>
      </c>
      <c r="G299" s="17" t="s">
        <v>315</v>
      </c>
    </row>
    <row r="300" spans="2:22">
      <c r="B300" s="407" t="s">
        <v>517</v>
      </c>
      <c r="F300" s="73">
        <f>Input!J426</f>
        <v>0.47321292288669314</v>
      </c>
      <c r="G300" s="17" t="s">
        <v>315</v>
      </c>
    </row>
    <row r="301" spans="2:22">
      <c r="B301" s="28" t="s">
        <v>476</v>
      </c>
      <c r="C301" s="28"/>
      <c r="D301" s="28"/>
      <c r="E301" s="28"/>
      <c r="F301" s="28"/>
      <c r="G301" s="28"/>
      <c r="H301" s="28"/>
      <c r="I301" s="49">
        <f>SUM(J301:V301)</f>
        <v>147.77871726243967</v>
      </c>
      <c r="J301" s="47">
        <f t="shared" ref="J301:V301" si="95">($F299*$F300*Million)/$E299*USD_IDR/Billion*J$282</f>
        <v>0</v>
      </c>
      <c r="K301" s="47">
        <f t="shared" si="95"/>
        <v>12.314893105203303</v>
      </c>
      <c r="L301" s="47">
        <f t="shared" si="95"/>
        <v>12.314893105203303</v>
      </c>
      <c r="M301" s="47">
        <f t="shared" si="95"/>
        <v>12.314893105203303</v>
      </c>
      <c r="N301" s="47">
        <f t="shared" si="95"/>
        <v>12.314893105203303</v>
      </c>
      <c r="O301" s="47">
        <f t="shared" si="95"/>
        <v>12.314893105203303</v>
      </c>
      <c r="P301" s="47">
        <f t="shared" si="95"/>
        <v>12.314893105203303</v>
      </c>
      <c r="Q301" s="47">
        <f t="shared" si="95"/>
        <v>12.314893105203303</v>
      </c>
      <c r="R301" s="47">
        <f t="shared" si="95"/>
        <v>12.314893105203303</v>
      </c>
      <c r="S301" s="47">
        <f t="shared" si="95"/>
        <v>12.314893105203303</v>
      </c>
      <c r="T301" s="47">
        <f t="shared" si="95"/>
        <v>12.314893105203303</v>
      </c>
      <c r="U301" s="47">
        <f t="shared" si="95"/>
        <v>12.314893105203303</v>
      </c>
      <c r="V301" s="47">
        <f t="shared" si="95"/>
        <v>12.314893105203303</v>
      </c>
    </row>
    <row r="302" spans="2:22">
      <c r="G302"/>
    </row>
    <row r="303" spans="2:22">
      <c r="B303" s="2" t="s">
        <v>481</v>
      </c>
      <c r="G303"/>
    </row>
    <row r="304" spans="2:22">
      <c r="B304" s="407" t="s">
        <v>483</v>
      </c>
      <c r="G304" s="17" t="s">
        <v>485</v>
      </c>
      <c r="J304">
        <f t="shared" ref="J304:V304" si="96">J202</f>
        <v>2017.4871277524769</v>
      </c>
      <c r="K304">
        <f t="shared" si="96"/>
        <v>2078.0117415850514</v>
      </c>
      <c r="L304">
        <f t="shared" si="96"/>
        <v>2140.3520938326028</v>
      </c>
      <c r="M304">
        <f t="shared" si="96"/>
        <v>2204.5626566475812</v>
      </c>
      <c r="N304">
        <f t="shared" si="96"/>
        <v>2270.6995363470082</v>
      </c>
      <c r="O304">
        <f t="shared" si="96"/>
        <v>2338.8205224374187</v>
      </c>
      <c r="P304">
        <f t="shared" si="96"/>
        <v>2408.9851381105414</v>
      </c>
      <c r="Q304">
        <f t="shared" si="96"/>
        <v>2481.2546922538577</v>
      </c>
      <c r="R304">
        <f t="shared" si="96"/>
        <v>2555.6923330214736</v>
      </c>
      <c r="S304">
        <f t="shared" si="96"/>
        <v>2632.3631030121178</v>
      </c>
      <c r="T304">
        <f t="shared" si="96"/>
        <v>2711.3339961024817</v>
      </c>
      <c r="U304">
        <f t="shared" si="96"/>
        <v>2792.6740159855558</v>
      </c>
      <c r="V304">
        <f t="shared" si="96"/>
        <v>2876.4542364651229</v>
      </c>
    </row>
    <row r="305" spans="2:22">
      <c r="B305" s="407" t="s">
        <v>486</v>
      </c>
      <c r="G305" s="17" t="s">
        <v>315</v>
      </c>
    </row>
    <row r="306" spans="2:22">
      <c r="B306" s="28" t="s">
        <v>480</v>
      </c>
      <c r="C306" s="28"/>
      <c r="D306" s="28"/>
      <c r="E306" s="28"/>
      <c r="F306" s="28"/>
      <c r="G306" s="28"/>
      <c r="H306" s="28"/>
      <c r="I306" s="28"/>
      <c r="J306" s="47">
        <f>J304*J$290/Billion</f>
        <v>0</v>
      </c>
      <c r="K306" s="47">
        <f t="shared" ref="K306:V306" si="97">K304*K$290/Billion</f>
        <v>5.0910987770179217</v>
      </c>
      <c r="L306" s="47">
        <f t="shared" si="97"/>
        <v>5.4011466925383127</v>
      </c>
      <c r="M306" s="47">
        <f t="shared" si="97"/>
        <v>5.730076526113896</v>
      </c>
      <c r="N306" s="47">
        <f t="shared" si="97"/>
        <v>6.0790381865542313</v>
      </c>
      <c r="O306" s="47">
        <f t="shared" si="97"/>
        <v>6.4492516121153862</v>
      </c>
      <c r="P306" s="47">
        <f t="shared" si="97"/>
        <v>6.8420110352932131</v>
      </c>
      <c r="Q306" s="47">
        <f t="shared" si="97"/>
        <v>7.2586895073425701</v>
      </c>
      <c r="R306" s="47">
        <f t="shared" si="97"/>
        <v>7.7007436983397328</v>
      </c>
      <c r="S306" s="47">
        <f t="shared" si="97"/>
        <v>8.1697189895686222</v>
      </c>
      <c r="T306" s="47">
        <f t="shared" si="97"/>
        <v>8.6672548760333541</v>
      </c>
      <c r="U306" s="47">
        <f t="shared" si="97"/>
        <v>9.1950906979837832</v>
      </c>
      <c r="V306" s="47">
        <f t="shared" si="97"/>
        <v>9.7550717214909977</v>
      </c>
    </row>
    <row r="307" spans="2:22">
      <c r="G307"/>
    </row>
    <row r="308" spans="2:22">
      <c r="B308" s="2" t="s">
        <v>538</v>
      </c>
      <c r="G308"/>
    </row>
    <row r="309" spans="2:22">
      <c r="B309" s="407" t="s">
        <v>483</v>
      </c>
      <c r="G309" s="17" t="s">
        <v>485</v>
      </c>
      <c r="J309">
        <f t="shared" ref="J309:V309" si="98">J224</f>
        <v>620.30021925456936</v>
      </c>
      <c r="K309">
        <f t="shared" si="98"/>
        <v>638.9092258322064</v>
      </c>
      <c r="L309">
        <f t="shared" si="98"/>
        <v>658.07650260717264</v>
      </c>
      <c r="M309">
        <f t="shared" si="98"/>
        <v>677.81879768538795</v>
      </c>
      <c r="N309">
        <f t="shared" si="98"/>
        <v>698.15336161594951</v>
      </c>
      <c r="O309">
        <f t="shared" si="98"/>
        <v>719.09796246442806</v>
      </c>
      <c r="P309">
        <f t="shared" si="98"/>
        <v>740.67090133836086</v>
      </c>
      <c r="Q309">
        <f t="shared" si="98"/>
        <v>762.89102837851181</v>
      </c>
      <c r="R309">
        <f t="shared" si="98"/>
        <v>785.77775922986712</v>
      </c>
      <c r="S309">
        <f t="shared" si="98"/>
        <v>809.35109200676311</v>
      </c>
      <c r="T309">
        <f t="shared" si="98"/>
        <v>833.63162476696607</v>
      </c>
      <c r="U309">
        <f t="shared" si="98"/>
        <v>858.64057350997507</v>
      </c>
      <c r="V309">
        <f t="shared" si="98"/>
        <v>884.39979071527432</v>
      </c>
    </row>
    <row r="310" spans="2:22">
      <c r="B310" s="407" t="s">
        <v>486</v>
      </c>
      <c r="G310" s="17" t="s">
        <v>315</v>
      </c>
    </row>
    <row r="311" spans="2:22">
      <c r="B311" s="28" t="s">
        <v>480</v>
      </c>
      <c r="C311" s="28"/>
      <c r="D311" s="28"/>
      <c r="E311" s="28"/>
      <c r="F311" s="28"/>
      <c r="G311" s="28"/>
      <c r="H311" s="28"/>
      <c r="I311" s="28"/>
      <c r="J311" s="47">
        <f>J309*J$290/Billion</f>
        <v>0</v>
      </c>
      <c r="K311" s="47">
        <f t="shared" ref="K311:V311" si="99">K309*K$290/Billion</f>
        <v>1.5653183825509585</v>
      </c>
      <c r="L311" s="47">
        <f t="shared" si="99"/>
        <v>1.6606462720483119</v>
      </c>
      <c r="M311" s="47">
        <f t="shared" si="99"/>
        <v>1.7617796300160544</v>
      </c>
      <c r="N311" s="47">
        <f t="shared" si="99"/>
        <v>1.8690720094840321</v>
      </c>
      <c r="O311" s="47">
        <f t="shared" si="99"/>
        <v>1.98289849486161</v>
      </c>
      <c r="P311" s="47">
        <f t="shared" si="99"/>
        <v>2.1036570131986818</v>
      </c>
      <c r="Q311" s="47">
        <f t="shared" si="99"/>
        <v>2.231769725302482</v>
      </c>
      <c r="R311" s="47">
        <f t="shared" si="99"/>
        <v>2.3676845015734029</v>
      </c>
      <c r="S311" s="47">
        <f t="shared" si="99"/>
        <v>2.5118764877192237</v>
      </c>
      <c r="T311" s="47">
        <f t="shared" si="99"/>
        <v>2.6648497658213244</v>
      </c>
      <c r="U311" s="47">
        <f t="shared" si="99"/>
        <v>2.827139116559843</v>
      </c>
      <c r="V311" s="47">
        <f t="shared" si="99"/>
        <v>2.9993118887583377</v>
      </c>
    </row>
    <row r="312" spans="2:22">
      <c r="G312"/>
    </row>
    <row r="313" spans="2:22">
      <c r="B313" s="2" t="s">
        <v>520</v>
      </c>
      <c r="F313" s="58" t="s">
        <v>515</v>
      </c>
      <c r="G313"/>
      <c r="I313" s="22"/>
    </row>
    <row r="314" spans="2:22">
      <c r="B314" s="407" t="s">
        <v>516</v>
      </c>
      <c r="F314" s="30">
        <f>SUM(Input!$J$420:$L$420)</f>
        <v>12.8</v>
      </c>
      <c r="G314" s="17" t="s">
        <v>315</v>
      </c>
    </row>
    <row r="315" spans="2:22">
      <c r="B315" s="407" t="s">
        <v>517</v>
      </c>
      <c r="F315" s="21">
        <f>Input!J431</f>
        <v>2E-3</v>
      </c>
      <c r="G315" s="17" t="s">
        <v>315</v>
      </c>
    </row>
    <row r="316" spans="2:22">
      <c r="B316" s="28" t="s">
        <v>476</v>
      </c>
      <c r="C316" s="28"/>
      <c r="D316" s="28"/>
      <c r="E316" s="28"/>
      <c r="F316" s="28"/>
      <c r="G316" s="28"/>
      <c r="H316" s="28"/>
      <c r="I316" s="49">
        <f>SUM(J316:V316)</f>
        <v>4.9966079999999993</v>
      </c>
      <c r="J316" s="47">
        <f t="shared" ref="J316:V316" si="100">$F$314*$F$315*USD_IDR*Million/Billion*J282</f>
        <v>0</v>
      </c>
      <c r="K316" s="47">
        <f t="shared" si="100"/>
        <v>0.41638399999999998</v>
      </c>
      <c r="L316" s="47">
        <f t="shared" si="100"/>
        <v>0.41638399999999998</v>
      </c>
      <c r="M316" s="47">
        <f t="shared" si="100"/>
        <v>0.41638399999999998</v>
      </c>
      <c r="N316" s="47">
        <f t="shared" si="100"/>
        <v>0.41638399999999998</v>
      </c>
      <c r="O316" s="47">
        <f t="shared" si="100"/>
        <v>0.41638399999999998</v>
      </c>
      <c r="P316" s="47">
        <f t="shared" si="100"/>
        <v>0.41638399999999998</v>
      </c>
      <c r="Q316" s="47">
        <f t="shared" si="100"/>
        <v>0.41638399999999998</v>
      </c>
      <c r="R316" s="47">
        <f t="shared" si="100"/>
        <v>0.41638399999999998</v>
      </c>
      <c r="S316" s="47">
        <f t="shared" si="100"/>
        <v>0.41638399999999998</v>
      </c>
      <c r="T316" s="47">
        <f t="shared" si="100"/>
        <v>0.41638399999999998</v>
      </c>
      <c r="U316" s="47">
        <f t="shared" si="100"/>
        <v>0.41638399999999998</v>
      </c>
      <c r="V316" s="47">
        <f t="shared" si="100"/>
        <v>0.41638399999999998</v>
      </c>
    </row>
    <row r="317" spans="2:22">
      <c r="G317"/>
    </row>
    <row r="318" spans="2:22">
      <c r="B318" s="2" t="s">
        <v>489</v>
      </c>
      <c r="G318"/>
    </row>
    <row r="319" spans="2:22">
      <c r="B319" s="407" t="s">
        <v>483</v>
      </c>
      <c r="G319" s="17" t="s">
        <v>485</v>
      </c>
      <c r="J319">
        <f t="shared" ref="J319:V319" si="101">J213</f>
        <v>720.26006080793991</v>
      </c>
      <c r="K319">
        <f t="shared" si="101"/>
        <v>741.867862632178</v>
      </c>
      <c r="L319">
        <f t="shared" si="101"/>
        <v>764.12389851114347</v>
      </c>
      <c r="M319">
        <f t="shared" si="101"/>
        <v>787.04761546647785</v>
      </c>
      <c r="N319">
        <f t="shared" si="101"/>
        <v>810.65904393047208</v>
      </c>
      <c r="O319">
        <f t="shared" si="101"/>
        <v>834.97881524838624</v>
      </c>
      <c r="P319">
        <f t="shared" si="101"/>
        <v>860.02817970583794</v>
      </c>
      <c r="Q319">
        <f t="shared" si="101"/>
        <v>885.82902509701307</v>
      </c>
      <c r="R319">
        <f t="shared" si="101"/>
        <v>912.40389584992352</v>
      </c>
      <c r="S319">
        <f t="shared" si="101"/>
        <v>939.7760127254212</v>
      </c>
      <c r="T319">
        <f t="shared" si="101"/>
        <v>967.96929310718383</v>
      </c>
      <c r="U319">
        <f t="shared" si="101"/>
        <v>997.00837190039942</v>
      </c>
      <c r="V319">
        <f t="shared" si="101"/>
        <v>1026.9186230574114</v>
      </c>
    </row>
    <row r="320" spans="2:22">
      <c r="B320" s="407" t="s">
        <v>486</v>
      </c>
      <c r="G320" s="17" t="s">
        <v>315</v>
      </c>
    </row>
    <row r="321" spans="2:22">
      <c r="B321" s="28" t="s">
        <v>480</v>
      </c>
      <c r="C321" s="28"/>
      <c r="D321" s="28"/>
      <c r="E321" s="28"/>
      <c r="F321" s="28"/>
      <c r="G321" s="28"/>
      <c r="H321" s="28"/>
      <c r="I321" s="28"/>
      <c r="J321" s="47">
        <f>J319*J$290/Billion</f>
        <v>0</v>
      </c>
      <c r="K321" s="47">
        <f t="shared" ref="K321:V321" si="102">K319*K$290/Billion</f>
        <v>1.8175655568118427</v>
      </c>
      <c r="L321" s="47">
        <f t="shared" si="102"/>
        <v>1.9282552992216841</v>
      </c>
      <c r="M321" s="47">
        <f t="shared" si="102"/>
        <v>2.0456860469442848</v>
      </c>
      <c r="N321" s="47">
        <f t="shared" si="102"/>
        <v>2.1702683272031917</v>
      </c>
      <c r="O321" s="47">
        <f t="shared" si="102"/>
        <v>2.302437668329866</v>
      </c>
      <c r="P321" s="47">
        <f t="shared" si="102"/>
        <v>2.4426561223311554</v>
      </c>
      <c r="Q321" s="47">
        <f t="shared" si="102"/>
        <v>2.5914138801811228</v>
      </c>
      <c r="R321" s="47">
        <f t="shared" si="102"/>
        <v>2.7492309854841532</v>
      </c>
      <c r="S321" s="47">
        <f t="shared" si="102"/>
        <v>2.9166591525001384</v>
      </c>
      <c r="T321" s="47">
        <f t="shared" si="102"/>
        <v>3.0942836948873969</v>
      </c>
      <c r="U321" s="47">
        <f t="shared" si="102"/>
        <v>3.2827255719060391</v>
      </c>
      <c r="V321" s="47">
        <f t="shared" si="102"/>
        <v>3.4826435592351173</v>
      </c>
    </row>
    <row r="322" spans="2:22">
      <c r="G322"/>
    </row>
    <row r="323" spans="2:22" ht="24" thickBot="1">
      <c r="B323" s="14" t="s">
        <v>539</v>
      </c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</row>
    <row r="324" spans="2:22">
      <c r="G324"/>
    </row>
    <row r="325" spans="2:22">
      <c r="B325" t="s">
        <v>37</v>
      </c>
      <c r="F325" s="19">
        <v>2025</v>
      </c>
      <c r="G325"/>
      <c r="J325" s="71">
        <f>IF(J$8&lt;$F325,0,1)*J$12</f>
        <v>0</v>
      </c>
      <c r="K325" s="13">
        <f t="shared" ref="K325:V325" si="103">IF(K$8&lt;$F325,0,1)*K$12</f>
        <v>1</v>
      </c>
      <c r="L325" s="13">
        <f t="shared" si="103"/>
        <v>1</v>
      </c>
      <c r="M325" s="13">
        <f t="shared" si="103"/>
        <v>1</v>
      </c>
      <c r="N325" s="13">
        <f t="shared" si="103"/>
        <v>1</v>
      </c>
      <c r="O325" s="13">
        <f t="shared" si="103"/>
        <v>1</v>
      </c>
      <c r="P325" s="13">
        <f t="shared" si="103"/>
        <v>1</v>
      </c>
      <c r="Q325" s="13">
        <f t="shared" si="103"/>
        <v>1</v>
      </c>
      <c r="R325" s="13">
        <f t="shared" si="103"/>
        <v>1</v>
      </c>
      <c r="S325" s="13">
        <f t="shared" si="103"/>
        <v>1</v>
      </c>
      <c r="T325" s="13">
        <f t="shared" si="103"/>
        <v>1</v>
      </c>
      <c r="U325" s="13">
        <f t="shared" si="103"/>
        <v>1</v>
      </c>
      <c r="V325" s="13">
        <f t="shared" si="103"/>
        <v>1</v>
      </c>
    </row>
    <row r="326" spans="2:22">
      <c r="G326"/>
    </row>
    <row r="327" spans="2:22" ht="15.75">
      <c r="B327" s="15" t="s">
        <v>540</v>
      </c>
      <c r="G327"/>
    </row>
    <row r="328" spans="2:22" ht="15.75">
      <c r="B328" s="41" t="s">
        <v>511</v>
      </c>
      <c r="F328" s="19">
        <v>2025</v>
      </c>
      <c r="G328"/>
      <c r="J328" s="70">
        <f>J285</f>
        <v>0</v>
      </c>
      <c r="K328" s="70">
        <f t="shared" ref="K328:V328" si="104">K285</f>
        <v>1</v>
      </c>
      <c r="L328" s="70">
        <f t="shared" si="104"/>
        <v>1.03</v>
      </c>
      <c r="M328" s="70">
        <f t="shared" si="104"/>
        <v>1.0609</v>
      </c>
      <c r="N328" s="70">
        <f t="shared" si="104"/>
        <v>1.092727</v>
      </c>
      <c r="O328" s="70">
        <f t="shared" si="104"/>
        <v>1.1255088100000001</v>
      </c>
      <c r="P328" s="70">
        <f t="shared" si="104"/>
        <v>1.1592740743000001</v>
      </c>
      <c r="Q328" s="70">
        <f t="shared" si="104"/>
        <v>1.1940522965290001</v>
      </c>
      <c r="R328" s="70">
        <f t="shared" si="104"/>
        <v>1.2298738654248702</v>
      </c>
      <c r="S328" s="70">
        <f t="shared" si="104"/>
        <v>1.2667700813876164</v>
      </c>
      <c r="T328" s="77">
        <f t="shared" si="104"/>
        <v>1.3047731838292449</v>
      </c>
      <c r="U328" s="70">
        <f t="shared" si="104"/>
        <v>1.3439163793441222</v>
      </c>
      <c r="V328" s="70">
        <f t="shared" si="104"/>
        <v>1.3842338707244459</v>
      </c>
    </row>
    <row r="329" spans="2:22">
      <c r="B329" s="407" t="s">
        <v>407</v>
      </c>
      <c r="F329" s="16">
        <f>Input!L440</f>
        <v>2100000</v>
      </c>
      <c r="G329" s="17" t="s">
        <v>315</v>
      </c>
      <c r="J329">
        <f>$F$329*J328</f>
        <v>0</v>
      </c>
      <c r="K329">
        <f t="shared" ref="K329:V329" si="105">$F$329*K328</f>
        <v>2100000</v>
      </c>
      <c r="L329">
        <f t="shared" si="105"/>
        <v>2163000</v>
      </c>
      <c r="M329">
        <f t="shared" si="105"/>
        <v>2227890</v>
      </c>
      <c r="N329">
        <f t="shared" si="105"/>
        <v>2294726.7000000002</v>
      </c>
      <c r="O329">
        <f t="shared" si="105"/>
        <v>2363568.5010000002</v>
      </c>
      <c r="P329">
        <f t="shared" si="105"/>
        <v>2434475.5560300001</v>
      </c>
      <c r="Q329">
        <f t="shared" si="105"/>
        <v>2507509.8227109001</v>
      </c>
      <c r="R329">
        <f t="shared" si="105"/>
        <v>2582735.1173922275</v>
      </c>
      <c r="S329">
        <f t="shared" si="105"/>
        <v>2660217.1709139943</v>
      </c>
      <c r="T329">
        <f t="shared" si="105"/>
        <v>2740023.6860414143</v>
      </c>
      <c r="U329">
        <f t="shared" si="105"/>
        <v>2822224.3966226568</v>
      </c>
      <c r="V329">
        <f t="shared" si="105"/>
        <v>2906891.1285213362</v>
      </c>
    </row>
    <row r="330" spans="2:22">
      <c r="B330" s="407" t="s">
        <v>465</v>
      </c>
      <c r="J330">
        <f>Input!K445</f>
        <v>0</v>
      </c>
      <c r="K330">
        <f>Input!L445</f>
        <v>15000</v>
      </c>
      <c r="L330">
        <f>Input!M445</f>
        <v>15000</v>
      </c>
      <c r="M330">
        <f>Input!N445</f>
        <v>15000</v>
      </c>
      <c r="N330">
        <f>Input!O445</f>
        <v>15000</v>
      </c>
      <c r="O330">
        <f>Input!P445</f>
        <v>15000</v>
      </c>
      <c r="P330">
        <f>Input!Q445</f>
        <v>15000</v>
      </c>
      <c r="Q330">
        <f>Input!R445</f>
        <v>15000</v>
      </c>
      <c r="R330">
        <f>Input!S445</f>
        <v>15000</v>
      </c>
      <c r="S330">
        <f>Input!T445</f>
        <v>15000</v>
      </c>
      <c r="T330">
        <f>Input!U445</f>
        <v>15000</v>
      </c>
      <c r="U330">
        <f>Input!V445</f>
        <v>15000</v>
      </c>
      <c r="V330">
        <f>Input!W445</f>
        <v>15000</v>
      </c>
    </row>
    <row r="331" spans="2:22">
      <c r="B331" s="28" t="s">
        <v>9</v>
      </c>
      <c r="C331" s="28"/>
      <c r="D331" s="28"/>
      <c r="E331" s="28"/>
      <c r="F331" s="28"/>
      <c r="G331" s="28"/>
      <c r="H331" s="28"/>
      <c r="I331" s="48">
        <f>SUM(J331:V331)</f>
        <v>447.04893118848793</v>
      </c>
      <c r="J331" s="28">
        <f>J329*J330/Billion</f>
        <v>0</v>
      </c>
      <c r="K331" s="28">
        <f t="shared" ref="K331:V331" si="106">K329*K330/Billion</f>
        <v>31.5</v>
      </c>
      <c r="L331" s="28">
        <f t="shared" si="106"/>
        <v>32.445</v>
      </c>
      <c r="M331" s="28">
        <f t="shared" si="106"/>
        <v>33.418349999999997</v>
      </c>
      <c r="N331" s="28">
        <f t="shared" si="106"/>
        <v>34.420900500000002</v>
      </c>
      <c r="O331" s="28">
        <f t="shared" si="106"/>
        <v>35.453527514999998</v>
      </c>
      <c r="P331" s="28">
        <f t="shared" si="106"/>
        <v>36.517133340450002</v>
      </c>
      <c r="Q331" s="28">
        <f t="shared" si="106"/>
        <v>37.6126473406635</v>
      </c>
      <c r="R331" s="28">
        <f t="shared" si="106"/>
        <v>38.741026760883415</v>
      </c>
      <c r="S331" s="28">
        <f t="shared" si="106"/>
        <v>39.903257563709914</v>
      </c>
      <c r="T331" s="28">
        <f t="shared" si="106"/>
        <v>41.100355290621216</v>
      </c>
      <c r="U331" s="28">
        <f t="shared" si="106"/>
        <v>42.33336594933985</v>
      </c>
      <c r="V331" s="28">
        <f t="shared" si="106"/>
        <v>43.603366927820048</v>
      </c>
    </row>
    <row r="332" spans="2:22">
      <c r="G332"/>
      <c r="I332" s="21"/>
      <c r="K332" s="21"/>
      <c r="L332" s="21"/>
      <c r="M332" s="21"/>
      <c r="N332" s="21"/>
    </row>
    <row r="333" spans="2:22">
      <c r="B333" t="s">
        <v>471</v>
      </c>
      <c r="G333"/>
      <c r="I333" s="21"/>
      <c r="J333">
        <f>SUM(J329)</f>
        <v>0</v>
      </c>
      <c r="K333">
        <f t="shared" ref="K333:V333" si="107">SUM(K329)</f>
        <v>2100000</v>
      </c>
      <c r="L333">
        <f t="shared" si="107"/>
        <v>2163000</v>
      </c>
      <c r="M333">
        <f t="shared" si="107"/>
        <v>2227890</v>
      </c>
      <c r="N333">
        <f t="shared" si="107"/>
        <v>2294726.7000000002</v>
      </c>
      <c r="O333">
        <f t="shared" si="107"/>
        <v>2363568.5010000002</v>
      </c>
      <c r="P333">
        <f t="shared" si="107"/>
        <v>2434475.5560300001</v>
      </c>
      <c r="Q333">
        <f t="shared" si="107"/>
        <v>2507509.8227109001</v>
      </c>
      <c r="R333">
        <f t="shared" si="107"/>
        <v>2582735.1173922275</v>
      </c>
      <c r="S333">
        <f t="shared" si="107"/>
        <v>2660217.1709139943</v>
      </c>
      <c r="T333">
        <f t="shared" si="107"/>
        <v>2740023.6860414143</v>
      </c>
      <c r="U333">
        <f t="shared" si="107"/>
        <v>2822224.3966226568</v>
      </c>
      <c r="V333">
        <f t="shared" si="107"/>
        <v>2906891.1285213362</v>
      </c>
    </row>
    <row r="334" spans="2:22">
      <c r="G334"/>
      <c r="I334" s="21"/>
      <c r="K334" s="21"/>
      <c r="L334" s="21"/>
      <c r="M334" s="21"/>
      <c r="N334" s="21"/>
    </row>
    <row r="335" spans="2:22" ht="15.75">
      <c r="B335" s="15" t="s">
        <v>473</v>
      </c>
      <c r="G335"/>
      <c r="I335" s="21"/>
      <c r="J335" s="1">
        <f>SUM(J350,J355,J361)</f>
        <v>0</v>
      </c>
      <c r="K335" s="1">
        <f t="shared" ref="K335:V335" si="108">SUM(K350,K355,K361)</f>
        <v>2.0367641506568543</v>
      </c>
      <c r="L335" s="1">
        <f>SUM(L350,L355,L361)</f>
        <v>2.1449544714318569</v>
      </c>
      <c r="M335" s="1">
        <f t="shared" si="108"/>
        <v>2.2597335827420575</v>
      </c>
      <c r="N335" s="1">
        <f t="shared" si="108"/>
        <v>2.3815027419310484</v>
      </c>
      <c r="O335" s="1">
        <f t="shared" si="108"/>
        <v>2.5106876429146494</v>
      </c>
      <c r="P335" s="1">
        <f t="shared" si="108"/>
        <v>2.6477399043681515</v>
      </c>
      <c r="Q335" s="1">
        <f t="shared" si="108"/>
        <v>2.793138648544172</v>
      </c>
      <c r="R335" s="1">
        <f t="shared" si="108"/>
        <v>2.9473921762405126</v>
      </c>
      <c r="S335" s="1">
        <f t="shared" si="108"/>
        <v>3.11103974377356</v>
      </c>
      <c r="T335" s="1">
        <f t="shared" si="108"/>
        <v>3.2846534481693701</v>
      </c>
      <c r="U335" s="1">
        <f t="shared" si="108"/>
        <v>3.4688402271628846</v>
      </c>
      <c r="V335" s="1">
        <f t="shared" si="108"/>
        <v>3.6642439809971044</v>
      </c>
    </row>
    <row r="336" spans="2:22">
      <c r="B336" s="2" t="s">
        <v>513</v>
      </c>
      <c r="E336" s="58" t="s">
        <v>514</v>
      </c>
      <c r="F336" s="58" t="s">
        <v>515</v>
      </c>
      <c r="G336"/>
      <c r="I336" s="22"/>
    </row>
    <row r="337" spans="2:22">
      <c r="B337" s="407" t="s">
        <v>516</v>
      </c>
      <c r="E337" s="16">
        <f>Input!J460</f>
        <v>20</v>
      </c>
      <c r="F337" s="30">
        <f>SUM(Input!J452:L452)</f>
        <v>8</v>
      </c>
      <c r="G337" s="17" t="s">
        <v>315</v>
      </c>
    </row>
    <row r="338" spans="2:22">
      <c r="B338" s="407" t="s">
        <v>517</v>
      </c>
      <c r="F338" s="21">
        <f>Input!J457</f>
        <v>0.90634083357247652</v>
      </c>
      <c r="G338" s="17" t="s">
        <v>315</v>
      </c>
    </row>
    <row r="339" spans="2:22">
      <c r="B339" s="28" t="s">
        <v>476</v>
      </c>
      <c r="C339" s="28"/>
      <c r="D339" s="28"/>
      <c r="E339" s="28"/>
      <c r="F339" s="28"/>
      <c r="G339" s="28"/>
      <c r="H339" s="28"/>
      <c r="I339" s="49">
        <f>SUM(J339:V339)</f>
        <v>70.759841558670402</v>
      </c>
      <c r="J339" s="47">
        <f t="shared" ref="J339:V339" si="109">($F337*$F338*Million)/$E337*USD_IDR/Billion*J$325</f>
        <v>0</v>
      </c>
      <c r="K339" s="47">
        <f t="shared" si="109"/>
        <v>5.896653463222532</v>
      </c>
      <c r="L339" s="47">
        <f t="shared" si="109"/>
        <v>5.896653463222532</v>
      </c>
      <c r="M339" s="47">
        <f t="shared" si="109"/>
        <v>5.896653463222532</v>
      </c>
      <c r="N339" s="47">
        <f t="shared" si="109"/>
        <v>5.896653463222532</v>
      </c>
      <c r="O339" s="47">
        <f t="shared" si="109"/>
        <v>5.896653463222532</v>
      </c>
      <c r="P339" s="47">
        <f t="shared" si="109"/>
        <v>5.896653463222532</v>
      </c>
      <c r="Q339" s="47">
        <f t="shared" si="109"/>
        <v>5.896653463222532</v>
      </c>
      <c r="R339" s="47">
        <f t="shared" si="109"/>
        <v>5.896653463222532</v>
      </c>
      <c r="S339" s="47">
        <f t="shared" si="109"/>
        <v>5.896653463222532</v>
      </c>
      <c r="T339" s="47">
        <f t="shared" si="109"/>
        <v>5.896653463222532</v>
      </c>
      <c r="U339" s="47">
        <f t="shared" si="109"/>
        <v>5.896653463222532</v>
      </c>
      <c r="V339" s="47">
        <f t="shared" si="109"/>
        <v>5.896653463222532</v>
      </c>
    </row>
    <row r="340" spans="2:22">
      <c r="G340"/>
    </row>
    <row r="341" spans="2:22">
      <c r="B341" s="2" t="s">
        <v>518</v>
      </c>
      <c r="E341" s="58" t="s">
        <v>514</v>
      </c>
      <c r="F341" s="58" t="s">
        <v>515</v>
      </c>
      <c r="G341"/>
      <c r="I341" s="22"/>
    </row>
    <row r="342" spans="2:22">
      <c r="B342" s="407" t="s">
        <v>516</v>
      </c>
      <c r="E342" s="16">
        <f>Input!J461</f>
        <v>8</v>
      </c>
      <c r="F342" s="30">
        <f>SUM(Input!J452:L452)</f>
        <v>8</v>
      </c>
      <c r="G342" s="17" t="s">
        <v>315</v>
      </c>
    </row>
    <row r="343" spans="2:22">
      <c r="B343" s="407" t="s">
        <v>517</v>
      </c>
      <c r="F343" s="21">
        <f>Input!J458</f>
        <v>9.3659166427523463E-2</v>
      </c>
      <c r="G343" s="17" t="s">
        <v>315</v>
      </c>
    </row>
    <row r="344" spans="2:22">
      <c r="B344" s="28" t="s">
        <v>476</v>
      </c>
      <c r="C344" s="28"/>
      <c r="D344" s="28"/>
      <c r="E344" s="28"/>
      <c r="F344" s="28"/>
      <c r="G344" s="28"/>
      <c r="H344" s="28"/>
      <c r="I344" s="49">
        <f>SUM(J344:V344)</f>
        <v>18.28039610332403</v>
      </c>
      <c r="J344" s="47">
        <f t="shared" ref="J344:V344" si="110">($F342*$F343*Million)/$E342*USD_IDR/Billion*J$325</f>
        <v>0</v>
      </c>
      <c r="K344" s="47">
        <f t="shared" si="110"/>
        <v>1.5233663419436692</v>
      </c>
      <c r="L344" s="47">
        <f t="shared" si="110"/>
        <v>1.5233663419436692</v>
      </c>
      <c r="M344" s="47">
        <f t="shared" si="110"/>
        <v>1.5233663419436692</v>
      </c>
      <c r="N344" s="47">
        <f t="shared" si="110"/>
        <v>1.5233663419436692</v>
      </c>
      <c r="O344" s="47">
        <f t="shared" si="110"/>
        <v>1.5233663419436692</v>
      </c>
      <c r="P344" s="47">
        <f t="shared" si="110"/>
        <v>1.5233663419436692</v>
      </c>
      <c r="Q344" s="47">
        <f t="shared" si="110"/>
        <v>1.5233663419436692</v>
      </c>
      <c r="R344" s="47">
        <f t="shared" si="110"/>
        <v>1.5233663419436692</v>
      </c>
      <c r="S344" s="47">
        <f t="shared" si="110"/>
        <v>1.5233663419436692</v>
      </c>
      <c r="T344" s="47">
        <f t="shared" si="110"/>
        <v>1.5233663419436692</v>
      </c>
      <c r="U344" s="47">
        <f t="shared" si="110"/>
        <v>1.5233663419436692</v>
      </c>
      <c r="V344" s="47">
        <f t="shared" si="110"/>
        <v>1.5233663419436692</v>
      </c>
    </row>
    <row r="345" spans="2:22">
      <c r="G345"/>
    </row>
    <row r="346" spans="2:22">
      <c r="B346" s="2" t="s">
        <v>481</v>
      </c>
      <c r="G346"/>
    </row>
    <row r="347" spans="2:22">
      <c r="B347" s="407" t="s">
        <v>483</v>
      </c>
      <c r="G347" s="17" t="s">
        <v>485</v>
      </c>
      <c r="J347">
        <f>J$304</f>
        <v>2017.4871277524769</v>
      </c>
      <c r="K347">
        <f t="shared" ref="K347:V347" si="111">K$304</f>
        <v>2078.0117415850514</v>
      </c>
      <c r="L347">
        <f t="shared" si="111"/>
        <v>2140.3520938326028</v>
      </c>
      <c r="M347">
        <f t="shared" si="111"/>
        <v>2204.5626566475812</v>
      </c>
      <c r="N347">
        <f t="shared" si="111"/>
        <v>2270.6995363470082</v>
      </c>
      <c r="O347">
        <f t="shared" si="111"/>
        <v>2338.8205224374187</v>
      </c>
      <c r="P347">
        <f t="shared" si="111"/>
        <v>2408.9851381105414</v>
      </c>
      <c r="Q347">
        <f t="shared" si="111"/>
        <v>2481.2546922538577</v>
      </c>
      <c r="R347">
        <f t="shared" si="111"/>
        <v>2555.6923330214736</v>
      </c>
      <c r="S347">
        <f t="shared" si="111"/>
        <v>2632.3631030121178</v>
      </c>
      <c r="T347">
        <f t="shared" si="111"/>
        <v>2711.3339961024817</v>
      </c>
      <c r="U347">
        <f t="shared" si="111"/>
        <v>2792.6740159855558</v>
      </c>
      <c r="V347">
        <f t="shared" si="111"/>
        <v>2876.4542364651229</v>
      </c>
    </row>
    <row r="348" spans="2:22">
      <c r="B348" s="407" t="s">
        <v>519</v>
      </c>
      <c r="J348" s="74">
        <f>Input!K464</f>
        <v>0</v>
      </c>
      <c r="K348" s="74">
        <f>Input!L464</f>
        <v>0.3</v>
      </c>
      <c r="L348" s="74">
        <f>Input!M464</f>
        <v>0.3</v>
      </c>
      <c r="M348" s="74">
        <f>Input!N464</f>
        <v>0.3</v>
      </c>
      <c r="N348" s="74">
        <f>Input!O464</f>
        <v>0.3</v>
      </c>
      <c r="O348" s="74">
        <f>Input!P464</f>
        <v>0.3</v>
      </c>
      <c r="P348" s="74">
        <f>Input!Q464</f>
        <v>0.3</v>
      </c>
      <c r="Q348" s="74">
        <f>Input!R464</f>
        <v>0.3</v>
      </c>
      <c r="R348" s="74">
        <f>Input!S464</f>
        <v>0.3</v>
      </c>
      <c r="S348" s="74">
        <f>Input!T464</f>
        <v>0.3</v>
      </c>
      <c r="T348" s="74">
        <f>Input!U464</f>
        <v>0.3</v>
      </c>
      <c r="U348" s="74">
        <f>Input!V464</f>
        <v>0.3</v>
      </c>
      <c r="V348" s="74">
        <f>Input!W464</f>
        <v>0.3</v>
      </c>
    </row>
    <row r="349" spans="2:22">
      <c r="B349" s="407" t="s">
        <v>486</v>
      </c>
      <c r="G349" s="17" t="s">
        <v>315</v>
      </c>
    </row>
    <row r="350" spans="2:22">
      <c r="B350" s="28" t="s">
        <v>480</v>
      </c>
      <c r="C350" s="28"/>
      <c r="D350" s="28"/>
      <c r="E350" s="28"/>
      <c r="F350" s="28"/>
      <c r="G350" s="28"/>
      <c r="H350" s="28"/>
      <c r="I350" s="28"/>
      <c r="J350" s="47">
        <f>J347*J$333*J348/Billion</f>
        <v>0</v>
      </c>
      <c r="K350" s="47">
        <f t="shared" ref="K350:V350" si="112">K347*K$333*K348/Billion</f>
        <v>1.3091473971985821</v>
      </c>
      <c r="L350" s="47">
        <f t="shared" si="112"/>
        <v>1.3888744736879759</v>
      </c>
      <c r="M350" s="47">
        <f t="shared" si="112"/>
        <v>1.4734569291355739</v>
      </c>
      <c r="N350" s="47">
        <f t="shared" si="112"/>
        <v>1.5631904561199303</v>
      </c>
      <c r="O350" s="47">
        <f t="shared" si="112"/>
        <v>1.6583887548976339</v>
      </c>
      <c r="P350" s="47">
        <f t="shared" si="112"/>
        <v>1.7593846300709</v>
      </c>
      <c r="Q350" s="47">
        <f t="shared" si="112"/>
        <v>1.866531154042218</v>
      </c>
      <c r="R350" s="47">
        <f t="shared" si="112"/>
        <v>1.9802029013233895</v>
      </c>
      <c r="S350" s="47">
        <f t="shared" si="112"/>
        <v>2.1007972580139835</v>
      </c>
      <c r="T350" s="47">
        <f t="shared" si="112"/>
        <v>2.2287358110270357</v>
      </c>
      <c r="U350" s="47">
        <f t="shared" si="112"/>
        <v>2.3644658219185821</v>
      </c>
      <c r="V350" s="47">
        <f t="shared" si="112"/>
        <v>2.5084617904734237</v>
      </c>
    </row>
    <row r="351" spans="2:22">
      <c r="G351"/>
    </row>
    <row r="352" spans="2:22">
      <c r="B352" s="2" t="s">
        <v>520</v>
      </c>
      <c r="F352" s="58" t="s">
        <v>515</v>
      </c>
      <c r="G352"/>
      <c r="I352" s="22"/>
    </row>
    <row r="353" spans="2:22">
      <c r="B353" s="407" t="s">
        <v>516</v>
      </c>
      <c r="F353" s="30">
        <f>$F$342</f>
        <v>8</v>
      </c>
      <c r="G353" s="17" t="s">
        <v>176</v>
      </c>
    </row>
    <row r="354" spans="2:22">
      <c r="B354" s="407" t="s">
        <v>517</v>
      </c>
      <c r="F354" s="75">
        <f>Input!J475</f>
        <v>2E-3</v>
      </c>
      <c r="G354" s="17" t="s">
        <v>315</v>
      </c>
    </row>
    <row r="355" spans="2:22">
      <c r="B355" s="28" t="s">
        <v>476</v>
      </c>
      <c r="C355" s="28"/>
      <c r="D355" s="28"/>
      <c r="E355" s="28"/>
      <c r="F355" s="28"/>
      <c r="G355" s="28"/>
      <c r="H355" s="28"/>
      <c r="I355" s="49">
        <f>SUM(J355:V355)</f>
        <v>3.1228800000000003</v>
      </c>
      <c r="J355" s="47">
        <f t="shared" ref="J355:V355" si="113">$F353*USD_IDR*$F354*Million/Billion*J325</f>
        <v>0</v>
      </c>
      <c r="K355" s="47">
        <f t="shared" si="113"/>
        <v>0.26024000000000003</v>
      </c>
      <c r="L355" s="47">
        <f t="shared" si="113"/>
        <v>0.26024000000000003</v>
      </c>
      <c r="M355" s="47">
        <f t="shared" si="113"/>
        <v>0.26024000000000003</v>
      </c>
      <c r="N355" s="47">
        <f t="shared" si="113"/>
        <v>0.26024000000000003</v>
      </c>
      <c r="O355" s="47">
        <f t="shared" si="113"/>
        <v>0.26024000000000003</v>
      </c>
      <c r="P355" s="47">
        <f t="shared" si="113"/>
        <v>0.26024000000000003</v>
      </c>
      <c r="Q355" s="47">
        <f t="shared" si="113"/>
        <v>0.26024000000000003</v>
      </c>
      <c r="R355" s="47">
        <f t="shared" si="113"/>
        <v>0.26024000000000003</v>
      </c>
      <c r="S355" s="47">
        <f t="shared" si="113"/>
        <v>0.26024000000000003</v>
      </c>
      <c r="T355" s="47">
        <f t="shared" si="113"/>
        <v>0.26024000000000003</v>
      </c>
      <c r="U355" s="47">
        <f t="shared" si="113"/>
        <v>0.26024000000000003</v>
      </c>
      <c r="V355" s="47">
        <f t="shared" si="113"/>
        <v>0.26024000000000003</v>
      </c>
    </row>
    <row r="356" spans="2:22">
      <c r="G356"/>
    </row>
    <row r="357" spans="2:22">
      <c r="B357" s="2" t="s">
        <v>489</v>
      </c>
      <c r="G357"/>
    </row>
    <row r="358" spans="2:22">
      <c r="B358" s="407" t="s">
        <v>483</v>
      </c>
      <c r="G358" s="17" t="s">
        <v>485</v>
      </c>
      <c r="J358">
        <f>J$319</f>
        <v>720.26006080793991</v>
      </c>
      <c r="K358">
        <f t="shared" ref="K358:V358" si="114">K$319</f>
        <v>741.867862632178</v>
      </c>
      <c r="L358">
        <f t="shared" si="114"/>
        <v>764.12389851114347</v>
      </c>
      <c r="M358">
        <f t="shared" si="114"/>
        <v>787.04761546647785</v>
      </c>
      <c r="N358">
        <f t="shared" si="114"/>
        <v>810.65904393047208</v>
      </c>
      <c r="O358">
        <f t="shared" si="114"/>
        <v>834.97881524838624</v>
      </c>
      <c r="P358">
        <f t="shared" si="114"/>
        <v>860.02817970583794</v>
      </c>
      <c r="Q358">
        <f t="shared" si="114"/>
        <v>885.82902509701307</v>
      </c>
      <c r="R358">
        <f t="shared" si="114"/>
        <v>912.40389584992352</v>
      </c>
      <c r="S358">
        <f t="shared" si="114"/>
        <v>939.7760127254212</v>
      </c>
      <c r="T358">
        <f t="shared" si="114"/>
        <v>967.96929310718383</v>
      </c>
      <c r="U358">
        <f t="shared" si="114"/>
        <v>997.00837190039942</v>
      </c>
      <c r="V358">
        <f t="shared" si="114"/>
        <v>1026.9186230574114</v>
      </c>
    </row>
    <row r="359" spans="2:22">
      <c r="B359" s="407" t="s">
        <v>519</v>
      </c>
      <c r="J359" s="74">
        <f>Input!K470</f>
        <v>0</v>
      </c>
      <c r="K359" s="74">
        <f>Input!L470</f>
        <v>0.3</v>
      </c>
      <c r="L359" s="74">
        <f>Input!M470</f>
        <v>0.3</v>
      </c>
      <c r="M359" s="74">
        <f>Input!N470</f>
        <v>0.3</v>
      </c>
      <c r="N359" s="74">
        <f>Input!O470</f>
        <v>0.3</v>
      </c>
      <c r="O359" s="74">
        <f>Input!P470</f>
        <v>0.3</v>
      </c>
      <c r="P359" s="74">
        <f>Input!Q470</f>
        <v>0.3</v>
      </c>
      <c r="Q359" s="74">
        <f>Input!R470</f>
        <v>0.3</v>
      </c>
      <c r="R359" s="74">
        <f>Input!S470</f>
        <v>0.3</v>
      </c>
      <c r="S359" s="74">
        <f>Input!T470</f>
        <v>0.3</v>
      </c>
      <c r="T359" s="74">
        <f>Input!U470</f>
        <v>0.3</v>
      </c>
      <c r="U359" s="74">
        <f>Input!V470</f>
        <v>0.3</v>
      </c>
      <c r="V359" s="74">
        <f>Input!W470</f>
        <v>0.3</v>
      </c>
    </row>
    <row r="360" spans="2:22">
      <c r="B360" s="407" t="s">
        <v>521</v>
      </c>
      <c r="G360" s="17" t="s">
        <v>315</v>
      </c>
    </row>
    <row r="361" spans="2:22">
      <c r="B361" s="28" t="s">
        <v>480</v>
      </c>
      <c r="C361" s="28"/>
      <c r="D361" s="28"/>
      <c r="E361" s="28"/>
      <c r="F361" s="28"/>
      <c r="G361" s="28"/>
      <c r="H361" s="28"/>
      <c r="I361" s="28"/>
      <c r="J361" s="47">
        <f>J358*J$333*J359/Billion</f>
        <v>0</v>
      </c>
      <c r="K361" s="47">
        <f t="shared" ref="K361:V361" si="115">K358*K$333*K359/Billion</f>
        <v>0.46737675345827218</v>
      </c>
      <c r="L361" s="47">
        <f t="shared" si="115"/>
        <v>0.49583999774388099</v>
      </c>
      <c r="M361" s="47">
        <f t="shared" si="115"/>
        <v>0.52603665360648344</v>
      </c>
      <c r="N361" s="47">
        <f t="shared" si="115"/>
        <v>0.55807228581111823</v>
      </c>
      <c r="O361" s="47">
        <f t="shared" si="115"/>
        <v>0.59205888801701534</v>
      </c>
      <c r="P361" s="47">
        <f t="shared" si="115"/>
        <v>0.62811527429725156</v>
      </c>
      <c r="Q361" s="47">
        <f t="shared" si="115"/>
        <v>0.66636749450195421</v>
      </c>
      <c r="R361" s="47">
        <f t="shared" si="115"/>
        <v>0.70694927491712334</v>
      </c>
      <c r="S361" s="47">
        <f t="shared" si="115"/>
        <v>0.75000248575957618</v>
      </c>
      <c r="T361" s="47">
        <f t="shared" si="115"/>
        <v>0.79567763714233442</v>
      </c>
      <c r="U361" s="47">
        <f t="shared" si="115"/>
        <v>0.84413440524430261</v>
      </c>
      <c r="V361" s="47">
        <f t="shared" si="115"/>
        <v>0.89554219052368067</v>
      </c>
    </row>
    <row r="362" spans="2:22">
      <c r="G362"/>
    </row>
    <row r="363" spans="2:22" ht="24" thickBot="1">
      <c r="B363" s="14" t="s">
        <v>541</v>
      </c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</row>
    <row r="364" spans="2:22">
      <c r="G364"/>
    </row>
    <row r="365" spans="2:22">
      <c r="B365" t="s">
        <v>37</v>
      </c>
      <c r="F365" s="19">
        <v>2026</v>
      </c>
      <c r="G365"/>
      <c r="J365" s="71">
        <f>IF(J$8&lt;$F365,0,1)*J$12</f>
        <v>0</v>
      </c>
      <c r="K365" s="13">
        <f t="shared" ref="K365:V365" si="116">IF(K$8&lt;$F365,0,1)*K$12</f>
        <v>0</v>
      </c>
      <c r="L365" s="71">
        <f t="shared" si="116"/>
        <v>1</v>
      </c>
      <c r="M365" s="13">
        <f t="shared" si="116"/>
        <v>1</v>
      </c>
      <c r="N365" s="13">
        <f t="shared" si="116"/>
        <v>1</v>
      </c>
      <c r="O365" s="13">
        <f t="shared" si="116"/>
        <v>1</v>
      </c>
      <c r="P365" s="13">
        <f t="shared" si="116"/>
        <v>1</v>
      </c>
      <c r="Q365" s="13">
        <f t="shared" si="116"/>
        <v>1</v>
      </c>
      <c r="R365" s="13">
        <f t="shared" si="116"/>
        <v>1</v>
      </c>
      <c r="S365" s="13">
        <f t="shared" si="116"/>
        <v>1</v>
      </c>
      <c r="T365" s="13">
        <f t="shared" si="116"/>
        <v>1</v>
      </c>
      <c r="U365" s="13">
        <f t="shared" si="116"/>
        <v>1</v>
      </c>
      <c r="V365" s="13">
        <f t="shared" si="116"/>
        <v>1</v>
      </c>
    </row>
    <row r="366" spans="2:22">
      <c r="G366"/>
    </row>
    <row r="367" spans="2:22" ht="15.75">
      <c r="B367" s="15" t="s">
        <v>542</v>
      </c>
      <c r="G367"/>
    </row>
    <row r="368" spans="2:22" ht="15.75">
      <c r="B368" s="41" t="s">
        <v>511</v>
      </c>
      <c r="F368" s="19">
        <v>2026</v>
      </c>
      <c r="G368"/>
      <c r="J368" s="77">
        <f>IF(J365=0,1,I368*(1+3%))</f>
        <v>1</v>
      </c>
      <c r="K368" s="77">
        <f t="shared" ref="K368:V368" si="117">IF(K365=0,1,J368*(1+3%))</f>
        <v>1</v>
      </c>
      <c r="L368" s="77">
        <f t="shared" si="117"/>
        <v>1.03</v>
      </c>
      <c r="M368" s="77">
        <f t="shared" si="117"/>
        <v>1.0609</v>
      </c>
      <c r="N368" s="77">
        <f t="shared" si="117"/>
        <v>1.092727</v>
      </c>
      <c r="O368" s="77">
        <f t="shared" si="117"/>
        <v>1.1255088100000001</v>
      </c>
      <c r="P368" s="77">
        <f t="shared" si="117"/>
        <v>1.1592740743000001</v>
      </c>
      <c r="Q368" s="77">
        <f t="shared" si="117"/>
        <v>1.1940522965290001</v>
      </c>
      <c r="R368" s="77">
        <f t="shared" si="117"/>
        <v>1.2298738654248702</v>
      </c>
      <c r="S368" s="77">
        <f t="shared" si="117"/>
        <v>1.2667700813876164</v>
      </c>
      <c r="T368" s="77">
        <f t="shared" si="117"/>
        <v>1.3047731838292449</v>
      </c>
      <c r="U368" s="77">
        <f t="shared" si="117"/>
        <v>1.3439163793441222</v>
      </c>
      <c r="V368" s="77">
        <f t="shared" si="117"/>
        <v>1.3842338707244459</v>
      </c>
    </row>
    <row r="369" spans="2:22">
      <c r="B369" s="407" t="s">
        <v>407</v>
      </c>
      <c r="F369" s="461">
        <v>2800000</v>
      </c>
      <c r="G369" s="17" t="s">
        <v>543</v>
      </c>
      <c r="J369">
        <f>Input!K479</f>
        <v>0</v>
      </c>
      <c r="K369">
        <f>Input!L479</f>
        <v>0</v>
      </c>
      <c r="L369">
        <f>$F$369*L365*L368</f>
        <v>2884000</v>
      </c>
      <c r="M369">
        <f t="shared" ref="M369:V369" si="118">$F$369*M365*M368</f>
        <v>2970520</v>
      </c>
      <c r="N369">
        <f t="shared" si="118"/>
        <v>3059635.6</v>
      </c>
      <c r="O369">
        <f t="shared" si="118"/>
        <v>3151424.6680000005</v>
      </c>
      <c r="P369">
        <f t="shared" si="118"/>
        <v>3245967.4080400001</v>
      </c>
      <c r="Q369">
        <f t="shared" si="118"/>
        <v>3343346.4302812004</v>
      </c>
      <c r="R369">
        <f t="shared" si="118"/>
        <v>3443646.8231896367</v>
      </c>
      <c r="S369">
        <f t="shared" si="118"/>
        <v>3546956.2278853259</v>
      </c>
      <c r="T369">
        <f t="shared" si="118"/>
        <v>3653364.9147218857</v>
      </c>
      <c r="U369">
        <f t="shared" si="118"/>
        <v>3762965.8621635423</v>
      </c>
      <c r="V369">
        <f t="shared" si="118"/>
        <v>3875854.8380284486</v>
      </c>
    </row>
    <row r="370" spans="2:22">
      <c r="B370" s="407" t="s">
        <v>544</v>
      </c>
      <c r="F370" s="19">
        <v>28000</v>
      </c>
      <c r="G370" s="17" t="s">
        <v>545</v>
      </c>
      <c r="J370" s="19">
        <f>Input!K485</f>
        <v>0</v>
      </c>
      <c r="K370" s="19">
        <f>Input!L485</f>
        <v>0</v>
      </c>
      <c r="L370" s="19">
        <f>$F$370</f>
        <v>28000</v>
      </c>
      <c r="M370" s="19">
        <f t="shared" ref="M370:V370" si="119">$F$370</f>
        <v>28000</v>
      </c>
      <c r="N370" s="19">
        <f t="shared" si="119"/>
        <v>28000</v>
      </c>
      <c r="O370" s="19">
        <f t="shared" si="119"/>
        <v>28000</v>
      </c>
      <c r="P370" s="19">
        <f t="shared" si="119"/>
        <v>28000</v>
      </c>
      <c r="Q370" s="19">
        <f t="shared" si="119"/>
        <v>28000</v>
      </c>
      <c r="R370" s="19">
        <f t="shared" si="119"/>
        <v>28000</v>
      </c>
      <c r="S370" s="19">
        <f t="shared" si="119"/>
        <v>28000</v>
      </c>
      <c r="T370" s="19">
        <f t="shared" si="119"/>
        <v>28000</v>
      </c>
      <c r="U370" s="19">
        <f t="shared" si="119"/>
        <v>28000</v>
      </c>
      <c r="V370" s="19">
        <f t="shared" si="119"/>
        <v>28000</v>
      </c>
    </row>
    <row r="371" spans="2:22">
      <c r="B371" s="407" t="s">
        <v>546</v>
      </c>
      <c r="F371" s="19">
        <v>7000</v>
      </c>
      <c r="J371" s="19"/>
      <c r="K371" s="19"/>
      <c r="L371" s="19">
        <f>$F$371</f>
        <v>7000</v>
      </c>
      <c r="M371" s="19">
        <f t="shared" ref="M371:V371" si="120">$F$371</f>
        <v>7000</v>
      </c>
      <c r="N371" s="19">
        <f t="shared" si="120"/>
        <v>7000</v>
      </c>
      <c r="O371" s="19">
        <f t="shared" si="120"/>
        <v>7000</v>
      </c>
      <c r="P371" s="19">
        <f t="shared" si="120"/>
        <v>7000</v>
      </c>
      <c r="Q371" s="19">
        <f t="shared" si="120"/>
        <v>7000</v>
      </c>
      <c r="R371" s="19">
        <f t="shared" si="120"/>
        <v>7000</v>
      </c>
      <c r="S371" s="19">
        <f t="shared" si="120"/>
        <v>7000</v>
      </c>
      <c r="T371" s="19">
        <f t="shared" si="120"/>
        <v>7000</v>
      </c>
      <c r="U371" s="19">
        <f t="shared" si="120"/>
        <v>7000</v>
      </c>
      <c r="V371" s="19">
        <f t="shared" si="120"/>
        <v>7000</v>
      </c>
    </row>
    <row r="372" spans="2:22">
      <c r="B372" s="407" t="s">
        <v>12</v>
      </c>
      <c r="F372" s="19">
        <v>25000</v>
      </c>
      <c r="J372" s="19"/>
      <c r="K372" s="19"/>
      <c r="L372" s="19">
        <f>$F$372</f>
        <v>25000</v>
      </c>
      <c r="M372" s="19">
        <f t="shared" ref="M372:V372" si="121">$F$372</f>
        <v>25000</v>
      </c>
      <c r="N372" s="19">
        <f t="shared" si="121"/>
        <v>25000</v>
      </c>
      <c r="O372" s="19">
        <f t="shared" si="121"/>
        <v>25000</v>
      </c>
      <c r="P372" s="19">
        <f t="shared" si="121"/>
        <v>25000</v>
      </c>
      <c r="Q372" s="19">
        <f t="shared" si="121"/>
        <v>25000</v>
      </c>
      <c r="R372" s="19">
        <f t="shared" si="121"/>
        <v>25000</v>
      </c>
      <c r="S372" s="19">
        <f t="shared" si="121"/>
        <v>25000</v>
      </c>
      <c r="T372" s="19">
        <f t="shared" si="121"/>
        <v>25000</v>
      </c>
      <c r="U372" s="19">
        <f t="shared" si="121"/>
        <v>25000</v>
      </c>
      <c r="V372" s="19">
        <f t="shared" si="121"/>
        <v>25000</v>
      </c>
    </row>
    <row r="373" spans="2:22">
      <c r="B373" s="28" t="s">
        <v>9</v>
      </c>
      <c r="C373" s="28"/>
      <c r="D373" s="28"/>
      <c r="E373" s="28"/>
      <c r="F373" s="28"/>
      <c r="G373" s="28"/>
      <c r="H373" s="28"/>
      <c r="I373" s="48">
        <f>SUM(J373:V373)</f>
        <v>2216.2609663386024</v>
      </c>
      <c r="J373" s="28">
        <f>J369*J370/Billion</f>
        <v>0</v>
      </c>
      <c r="K373" s="28">
        <f>K369*SUM(K370:K372)/Billion</f>
        <v>0</v>
      </c>
      <c r="L373" s="28">
        <f>L369*SUM(L370:L372)/Billion</f>
        <v>173.04</v>
      </c>
      <c r="M373" s="28">
        <f>M369*SUM(M370:M372)/Billion</f>
        <v>178.2312</v>
      </c>
      <c r="N373" s="28">
        <f t="shared" ref="N373:V373" si="122">N369*SUM(N370:N372)/Billion</f>
        <v>183.578136</v>
      </c>
      <c r="O373" s="28">
        <f t="shared" si="122"/>
        <v>189.08548008000002</v>
      </c>
      <c r="P373" s="28">
        <f t="shared" si="122"/>
        <v>194.75804448239998</v>
      </c>
      <c r="Q373" s="28">
        <f t="shared" si="122"/>
        <v>200.60078581687205</v>
      </c>
      <c r="R373" s="28">
        <f t="shared" si="122"/>
        <v>206.61880939137819</v>
      </c>
      <c r="S373" s="28">
        <f t="shared" si="122"/>
        <v>212.81737367311956</v>
      </c>
      <c r="T373" s="28">
        <f t="shared" si="122"/>
        <v>219.20189488331314</v>
      </c>
      <c r="U373" s="28">
        <f t="shared" si="122"/>
        <v>225.77795172981254</v>
      </c>
      <c r="V373" s="28">
        <f t="shared" si="122"/>
        <v>232.55129028170691</v>
      </c>
    </row>
    <row r="374" spans="2:22">
      <c r="G374"/>
      <c r="I374" s="21"/>
      <c r="K374" s="21"/>
      <c r="L374" s="21"/>
      <c r="M374" s="21"/>
      <c r="N374" s="21"/>
    </row>
    <row r="375" spans="2:22">
      <c r="B375" t="s">
        <v>471</v>
      </c>
      <c r="G375"/>
      <c r="I375" s="21"/>
      <c r="J375">
        <f>SUM(J369)</f>
        <v>0</v>
      </c>
      <c r="K375">
        <f t="shared" ref="K375:V375" si="123">SUM(K369)</f>
        <v>0</v>
      </c>
      <c r="L375">
        <f t="shared" si="123"/>
        <v>2884000</v>
      </c>
      <c r="M375">
        <f t="shared" si="123"/>
        <v>2970520</v>
      </c>
      <c r="N375">
        <f t="shared" si="123"/>
        <v>3059635.6</v>
      </c>
      <c r="O375">
        <f t="shared" si="123"/>
        <v>3151424.6680000005</v>
      </c>
      <c r="P375">
        <f t="shared" si="123"/>
        <v>3245967.4080400001</v>
      </c>
      <c r="Q375">
        <f t="shared" si="123"/>
        <v>3343346.4302812004</v>
      </c>
      <c r="R375">
        <f t="shared" si="123"/>
        <v>3443646.8231896367</v>
      </c>
      <c r="S375">
        <f t="shared" si="123"/>
        <v>3546956.2278853259</v>
      </c>
      <c r="T375">
        <f t="shared" si="123"/>
        <v>3653364.9147218857</v>
      </c>
      <c r="U375">
        <f t="shared" si="123"/>
        <v>3762965.8621635423</v>
      </c>
      <c r="V375">
        <f t="shared" si="123"/>
        <v>3875854.8380284486</v>
      </c>
    </row>
    <row r="376" spans="2:22">
      <c r="G376"/>
      <c r="I376" s="21"/>
      <c r="K376" s="21"/>
      <c r="L376" s="21"/>
      <c r="M376" s="21"/>
      <c r="N376" s="21"/>
    </row>
    <row r="377" spans="2:22" ht="15.75">
      <c r="B377" s="15" t="s">
        <v>473</v>
      </c>
      <c r="F377" s="39">
        <v>0.1</v>
      </c>
      <c r="G377"/>
      <c r="I377" s="21"/>
      <c r="J377" s="1">
        <f>$F377*J$373</f>
        <v>0</v>
      </c>
      <c r="K377" s="1">
        <f t="shared" ref="K377:V378" si="124">$F377*K$373</f>
        <v>0</v>
      </c>
      <c r="L377" s="1">
        <f t="shared" si="124"/>
        <v>17.303999999999998</v>
      </c>
      <c r="M377" s="1">
        <f t="shared" si="124"/>
        <v>17.823119999999999</v>
      </c>
      <c r="N377" s="1">
        <f t="shared" si="124"/>
        <v>18.3578136</v>
      </c>
      <c r="O377" s="1">
        <f t="shared" si="124"/>
        <v>18.908548008000004</v>
      </c>
      <c r="P377" s="1">
        <f t="shared" si="124"/>
        <v>19.475804448239998</v>
      </c>
      <c r="Q377" s="1">
        <f t="shared" si="124"/>
        <v>20.060078581687208</v>
      </c>
      <c r="R377" s="1">
        <f t="shared" si="124"/>
        <v>20.66188093913782</v>
      </c>
      <c r="S377" s="1">
        <f t="shared" si="124"/>
        <v>21.281737367311958</v>
      </c>
      <c r="T377" s="1">
        <f t="shared" si="124"/>
        <v>21.920189488331317</v>
      </c>
      <c r="U377" s="1">
        <f t="shared" si="124"/>
        <v>22.577795172981254</v>
      </c>
      <c r="V377" s="1">
        <f t="shared" si="124"/>
        <v>23.255129028170693</v>
      </c>
    </row>
    <row r="378" spans="2:22" ht="15.75">
      <c r="B378" s="15" t="s">
        <v>547</v>
      </c>
      <c r="F378" s="39">
        <v>0.2</v>
      </c>
      <c r="G378"/>
      <c r="I378" s="21"/>
      <c r="J378" s="1">
        <f>$F378*J$373</f>
        <v>0</v>
      </c>
      <c r="K378" s="1">
        <f t="shared" si="124"/>
        <v>0</v>
      </c>
      <c r="L378" s="1">
        <f t="shared" si="124"/>
        <v>34.607999999999997</v>
      </c>
      <c r="M378" s="1">
        <f t="shared" si="124"/>
        <v>35.646239999999999</v>
      </c>
      <c r="N378" s="1">
        <f t="shared" si="124"/>
        <v>36.7156272</v>
      </c>
      <c r="O378" s="1">
        <f t="shared" si="124"/>
        <v>37.817096016000008</v>
      </c>
      <c r="P378" s="1">
        <f t="shared" si="124"/>
        <v>38.951608896479996</v>
      </c>
      <c r="Q378" s="1">
        <f t="shared" si="124"/>
        <v>40.120157163374415</v>
      </c>
      <c r="R378" s="1">
        <f t="shared" si="124"/>
        <v>41.32376187827564</v>
      </c>
      <c r="S378" s="1">
        <f t="shared" si="124"/>
        <v>42.563474734623917</v>
      </c>
      <c r="T378" s="1">
        <f t="shared" si="124"/>
        <v>43.840378976662635</v>
      </c>
      <c r="U378" s="1">
        <f t="shared" si="124"/>
        <v>45.155590345962509</v>
      </c>
      <c r="V378" s="1">
        <f t="shared" si="124"/>
        <v>46.510258056341385</v>
      </c>
    </row>
    <row r="379" spans="2:22" ht="15.75">
      <c r="B379" s="15"/>
      <c r="G379"/>
      <c r="I379" s="2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</row>
    <row r="380" spans="2:22">
      <c r="B380" s="2" t="s">
        <v>513</v>
      </c>
      <c r="E380" s="58" t="s">
        <v>514</v>
      </c>
      <c r="F380" s="58" t="s">
        <v>515</v>
      </c>
      <c r="G380"/>
      <c r="I380" s="22"/>
      <c r="J380">
        <f>SUM(J383,J388)</f>
        <v>0</v>
      </c>
      <c r="K380">
        <f t="shared" ref="K380:V380" si="125">SUM(K383,K388)</f>
        <v>0</v>
      </c>
      <c r="L380">
        <f t="shared" si="125"/>
        <v>3.3656562500000002</v>
      </c>
      <c r="M380">
        <f t="shared" si="125"/>
        <v>3.3656562500000002</v>
      </c>
      <c r="N380">
        <f t="shared" si="125"/>
        <v>3.3656562500000002</v>
      </c>
      <c r="O380">
        <f t="shared" si="125"/>
        <v>3.3656562500000002</v>
      </c>
      <c r="P380">
        <f t="shared" si="125"/>
        <v>3.3656562500000002</v>
      </c>
      <c r="Q380">
        <f t="shared" si="125"/>
        <v>3.3656562500000002</v>
      </c>
      <c r="R380">
        <f t="shared" si="125"/>
        <v>3.3656562500000002</v>
      </c>
      <c r="S380">
        <f t="shared" si="125"/>
        <v>3.3656562500000002</v>
      </c>
      <c r="T380">
        <f t="shared" si="125"/>
        <v>3.3656562500000002</v>
      </c>
      <c r="U380">
        <f t="shared" si="125"/>
        <v>3.3656562500000002</v>
      </c>
      <c r="V380">
        <f t="shared" si="125"/>
        <v>3.3656562500000002</v>
      </c>
    </row>
    <row r="381" spans="2:22">
      <c r="B381" s="407" t="s">
        <v>516</v>
      </c>
      <c r="E381" s="6">
        <v>20</v>
      </c>
      <c r="F381" s="30">
        <f>Input!$J$1264</f>
        <v>3.7622963418383031</v>
      </c>
      <c r="G381" s="17" t="s">
        <v>315</v>
      </c>
    </row>
    <row r="382" spans="2:22">
      <c r="B382" s="407" t="s">
        <v>517</v>
      </c>
      <c r="F382" s="74">
        <v>0.9</v>
      </c>
      <c r="G382" s="17" t="s">
        <v>315</v>
      </c>
    </row>
    <row r="383" spans="2:22">
      <c r="B383" s="28" t="s">
        <v>476</v>
      </c>
      <c r="C383" s="28"/>
      <c r="D383" s="28"/>
      <c r="E383" s="28"/>
      <c r="F383" s="28"/>
      <c r="G383" s="28"/>
      <c r="H383" s="28"/>
      <c r="I383" s="49">
        <f>SUM(J383:V383)</f>
        <v>30.290906250000006</v>
      </c>
      <c r="J383" s="47">
        <f t="shared" ref="J383:V383" si="126">($F381*$F382*Million)/$E381*USD_IDR/Billion*J$365</f>
        <v>0</v>
      </c>
      <c r="K383" s="47">
        <f t="shared" si="126"/>
        <v>0</v>
      </c>
      <c r="L383" s="47">
        <f t="shared" si="126"/>
        <v>2.7537187500000004</v>
      </c>
      <c r="M383" s="47">
        <f t="shared" si="126"/>
        <v>2.7537187500000004</v>
      </c>
      <c r="N383" s="47">
        <f t="shared" si="126"/>
        <v>2.7537187500000004</v>
      </c>
      <c r="O383" s="47">
        <f t="shared" si="126"/>
        <v>2.7537187500000004</v>
      </c>
      <c r="P383" s="47">
        <f t="shared" si="126"/>
        <v>2.7537187500000004</v>
      </c>
      <c r="Q383" s="47">
        <f t="shared" si="126"/>
        <v>2.7537187500000004</v>
      </c>
      <c r="R383" s="47">
        <f t="shared" si="126"/>
        <v>2.7537187500000004</v>
      </c>
      <c r="S383" s="47">
        <f t="shared" si="126"/>
        <v>2.7537187500000004</v>
      </c>
      <c r="T383" s="47">
        <f t="shared" si="126"/>
        <v>2.7537187500000004</v>
      </c>
      <c r="U383" s="47">
        <f t="shared" si="126"/>
        <v>2.7537187500000004</v>
      </c>
      <c r="V383" s="47">
        <f t="shared" si="126"/>
        <v>2.7537187500000004</v>
      </c>
    </row>
    <row r="384" spans="2:22">
      <c r="G384"/>
    </row>
    <row r="385" spans="2:22">
      <c r="B385" s="2" t="s">
        <v>518</v>
      </c>
      <c r="E385" s="58" t="s">
        <v>514</v>
      </c>
      <c r="F385" s="58" t="s">
        <v>515</v>
      </c>
      <c r="G385"/>
      <c r="I385" s="22"/>
    </row>
    <row r="386" spans="2:22">
      <c r="B386" s="407" t="s">
        <v>516</v>
      </c>
      <c r="E386" s="16">
        <v>10</v>
      </c>
      <c r="F386" s="30">
        <f>Input!$J$1264</f>
        <v>3.7622963418383031</v>
      </c>
      <c r="G386" s="17" t="s">
        <v>315</v>
      </c>
    </row>
    <row r="387" spans="2:22">
      <c r="B387" s="407" t="s">
        <v>517</v>
      </c>
      <c r="F387" s="21">
        <f>100%-F382</f>
        <v>9.9999999999999978E-2</v>
      </c>
      <c r="G387" s="17" t="s">
        <v>315</v>
      </c>
    </row>
    <row r="388" spans="2:22">
      <c r="B388" s="28" t="s">
        <v>476</v>
      </c>
      <c r="C388" s="28"/>
      <c r="D388" s="28"/>
      <c r="E388" s="28"/>
      <c r="F388" s="28"/>
      <c r="G388" s="28"/>
      <c r="H388" s="28"/>
      <c r="I388" s="49">
        <f>SUM(J388:V388)</f>
        <v>6.7313124999999987</v>
      </c>
      <c r="J388" s="47">
        <f t="shared" ref="J388:V388" si="127">($F386*$F387*Million)/$E386*USD_IDR/Billion*J$365</f>
        <v>0</v>
      </c>
      <c r="K388" s="47">
        <f t="shared" si="127"/>
        <v>0</v>
      </c>
      <c r="L388" s="47">
        <f t="shared" si="127"/>
        <v>0.61193749999999991</v>
      </c>
      <c r="M388" s="47">
        <f t="shared" si="127"/>
        <v>0.61193749999999991</v>
      </c>
      <c r="N388" s="47">
        <f t="shared" si="127"/>
        <v>0.61193749999999991</v>
      </c>
      <c r="O388" s="47">
        <f t="shared" si="127"/>
        <v>0.61193749999999991</v>
      </c>
      <c r="P388" s="47">
        <f t="shared" si="127"/>
        <v>0.61193749999999991</v>
      </c>
      <c r="Q388" s="47">
        <f t="shared" si="127"/>
        <v>0.61193749999999991</v>
      </c>
      <c r="R388" s="47">
        <f t="shared" si="127"/>
        <v>0.61193749999999991</v>
      </c>
      <c r="S388" s="47">
        <f t="shared" si="127"/>
        <v>0.61193749999999991</v>
      </c>
      <c r="T388" s="47">
        <f t="shared" si="127"/>
        <v>0.61193749999999991</v>
      </c>
      <c r="U388" s="47">
        <f t="shared" si="127"/>
        <v>0.61193749999999991</v>
      </c>
      <c r="V388" s="47">
        <f t="shared" si="127"/>
        <v>0.61193749999999991</v>
      </c>
    </row>
    <row r="389" spans="2:22">
      <c r="G389"/>
    </row>
    <row r="390" spans="2:22">
      <c r="B390" s="2" t="s">
        <v>481</v>
      </c>
      <c r="G390"/>
    </row>
    <row r="391" spans="2:22">
      <c r="B391" s="407" t="s">
        <v>483</v>
      </c>
      <c r="G391" s="17" t="s">
        <v>485</v>
      </c>
      <c r="J391">
        <f>J$304</f>
        <v>2017.4871277524769</v>
      </c>
      <c r="K391">
        <f t="shared" ref="K391:V391" si="128">K$304</f>
        <v>2078.0117415850514</v>
      </c>
      <c r="L391">
        <f t="shared" si="128"/>
        <v>2140.3520938326028</v>
      </c>
      <c r="M391">
        <f t="shared" si="128"/>
        <v>2204.5626566475812</v>
      </c>
      <c r="N391">
        <f t="shared" si="128"/>
        <v>2270.6995363470082</v>
      </c>
      <c r="O391">
        <f t="shared" si="128"/>
        <v>2338.8205224374187</v>
      </c>
      <c r="P391">
        <f t="shared" si="128"/>
        <v>2408.9851381105414</v>
      </c>
      <c r="Q391">
        <f t="shared" si="128"/>
        <v>2481.2546922538577</v>
      </c>
      <c r="R391">
        <f t="shared" si="128"/>
        <v>2555.6923330214736</v>
      </c>
      <c r="S391">
        <f t="shared" si="128"/>
        <v>2632.3631030121178</v>
      </c>
      <c r="T391">
        <f t="shared" si="128"/>
        <v>2711.3339961024817</v>
      </c>
      <c r="U391">
        <f t="shared" si="128"/>
        <v>2792.6740159855558</v>
      </c>
      <c r="V391">
        <f t="shared" si="128"/>
        <v>2876.4542364651229</v>
      </c>
    </row>
    <row r="392" spans="2:22">
      <c r="B392" s="407" t="s">
        <v>519</v>
      </c>
      <c r="J392" s="74">
        <f>Input!K504</f>
        <v>0.5</v>
      </c>
      <c r="K392" s="74">
        <f>Input!L504</f>
        <v>0</v>
      </c>
      <c r="L392" s="74">
        <f>Input!M504</f>
        <v>0</v>
      </c>
      <c r="M392" s="74">
        <f>Input!N504</f>
        <v>0</v>
      </c>
      <c r="N392" s="74">
        <f>Input!O504</f>
        <v>0</v>
      </c>
      <c r="O392" s="74">
        <f>Input!P504</f>
        <v>0</v>
      </c>
      <c r="P392" s="74">
        <f>Input!Q504</f>
        <v>0</v>
      </c>
      <c r="Q392" s="74">
        <f>Input!R504</f>
        <v>0</v>
      </c>
      <c r="R392" s="74">
        <f>Input!S504</f>
        <v>0</v>
      </c>
      <c r="S392" s="74">
        <f>Input!T504</f>
        <v>0</v>
      </c>
      <c r="T392" s="74">
        <f>Input!U504</f>
        <v>0</v>
      </c>
      <c r="U392" s="74">
        <f>Input!V504</f>
        <v>0</v>
      </c>
      <c r="V392" s="74">
        <f>Input!W504</f>
        <v>0</v>
      </c>
    </row>
    <row r="393" spans="2:22">
      <c r="B393" s="407" t="s">
        <v>486</v>
      </c>
      <c r="G393" s="17" t="s">
        <v>315</v>
      </c>
    </row>
    <row r="394" spans="2:22">
      <c r="B394" s="28" t="s">
        <v>480</v>
      </c>
      <c r="C394" s="28"/>
      <c r="D394" s="28"/>
      <c r="E394" s="28"/>
      <c r="F394" s="28"/>
      <c r="G394" s="28"/>
      <c r="H394" s="28"/>
      <c r="I394" s="28"/>
      <c r="J394" s="47">
        <f>J391*J$333*J392/Billion</f>
        <v>0</v>
      </c>
      <c r="K394" s="47">
        <f t="shared" ref="K394:V394" si="129">K391*K$333*K392/Billion</f>
        <v>0</v>
      </c>
      <c r="L394" s="47">
        <f t="shared" si="129"/>
        <v>0</v>
      </c>
      <c r="M394" s="47">
        <f t="shared" si="129"/>
        <v>0</v>
      </c>
      <c r="N394" s="47">
        <f t="shared" si="129"/>
        <v>0</v>
      </c>
      <c r="O394" s="47">
        <f t="shared" si="129"/>
        <v>0</v>
      </c>
      <c r="P394" s="47">
        <f t="shared" si="129"/>
        <v>0</v>
      </c>
      <c r="Q394" s="47">
        <f t="shared" si="129"/>
        <v>0</v>
      </c>
      <c r="R394" s="47">
        <f t="shared" si="129"/>
        <v>0</v>
      </c>
      <c r="S394" s="47">
        <f t="shared" si="129"/>
        <v>0</v>
      </c>
      <c r="T394" s="47">
        <f t="shared" si="129"/>
        <v>0</v>
      </c>
      <c r="U394" s="47">
        <f t="shared" si="129"/>
        <v>0</v>
      </c>
      <c r="V394" s="47">
        <f t="shared" si="129"/>
        <v>0</v>
      </c>
    </row>
    <row r="395" spans="2:22">
      <c r="G395"/>
    </row>
    <row r="396" spans="2:22">
      <c r="B396" s="2" t="s">
        <v>520</v>
      </c>
      <c r="F396" s="58" t="s">
        <v>515</v>
      </c>
      <c r="G396"/>
      <c r="I396" s="22"/>
    </row>
    <row r="397" spans="2:22">
      <c r="B397" s="407" t="s">
        <v>516</v>
      </c>
      <c r="F397" s="30">
        <f>$F$342</f>
        <v>8</v>
      </c>
      <c r="G397" s="17" t="s">
        <v>176</v>
      </c>
    </row>
    <row r="398" spans="2:22">
      <c r="B398" s="407" t="s">
        <v>517</v>
      </c>
      <c r="F398" s="75">
        <f>Input!J515</f>
        <v>0</v>
      </c>
      <c r="G398" s="17" t="s">
        <v>315</v>
      </c>
    </row>
    <row r="399" spans="2:22">
      <c r="B399" s="28" t="s">
        <v>476</v>
      </c>
      <c r="C399" s="28"/>
      <c r="D399" s="28"/>
      <c r="E399" s="28"/>
      <c r="F399" s="28"/>
      <c r="G399" s="28"/>
      <c r="H399" s="28"/>
      <c r="I399" s="49">
        <f>SUM(J399:V399)</f>
        <v>0</v>
      </c>
      <c r="J399" s="47">
        <f t="shared" ref="J399:V399" si="130">$F397*USD_IDR*$F398*Million/Billion*J365</f>
        <v>0</v>
      </c>
      <c r="K399" s="47">
        <f t="shared" si="130"/>
        <v>0</v>
      </c>
      <c r="L399" s="47">
        <f t="shared" si="130"/>
        <v>0</v>
      </c>
      <c r="M399" s="47">
        <f t="shared" si="130"/>
        <v>0</v>
      </c>
      <c r="N399" s="47">
        <f t="shared" si="130"/>
        <v>0</v>
      </c>
      <c r="O399" s="47">
        <f t="shared" si="130"/>
        <v>0</v>
      </c>
      <c r="P399" s="47">
        <f t="shared" si="130"/>
        <v>0</v>
      </c>
      <c r="Q399" s="47">
        <f t="shared" si="130"/>
        <v>0</v>
      </c>
      <c r="R399" s="47">
        <f t="shared" si="130"/>
        <v>0</v>
      </c>
      <c r="S399" s="47">
        <f t="shared" si="130"/>
        <v>0</v>
      </c>
      <c r="T399" s="47">
        <f t="shared" si="130"/>
        <v>0</v>
      </c>
      <c r="U399" s="47">
        <f t="shared" si="130"/>
        <v>0</v>
      </c>
      <c r="V399" s="47">
        <f t="shared" si="130"/>
        <v>0</v>
      </c>
    </row>
    <row r="400" spans="2:22">
      <c r="G400"/>
    </row>
    <row r="401" spans="1:22">
      <c r="B401" s="2" t="s">
        <v>489</v>
      </c>
      <c r="G401"/>
    </row>
    <row r="402" spans="1:22">
      <c r="B402" s="407" t="s">
        <v>483</v>
      </c>
      <c r="G402" s="17" t="s">
        <v>485</v>
      </c>
      <c r="J402">
        <f>J$319</f>
        <v>720.26006080793991</v>
      </c>
      <c r="K402">
        <f t="shared" ref="K402:V402" si="131">K$319</f>
        <v>741.867862632178</v>
      </c>
      <c r="L402">
        <f t="shared" si="131"/>
        <v>764.12389851114347</v>
      </c>
      <c r="M402">
        <f t="shared" si="131"/>
        <v>787.04761546647785</v>
      </c>
      <c r="N402">
        <f t="shared" si="131"/>
        <v>810.65904393047208</v>
      </c>
      <c r="O402">
        <f t="shared" si="131"/>
        <v>834.97881524838624</v>
      </c>
      <c r="P402">
        <f t="shared" si="131"/>
        <v>860.02817970583794</v>
      </c>
      <c r="Q402">
        <f t="shared" si="131"/>
        <v>885.82902509701307</v>
      </c>
      <c r="R402">
        <f t="shared" si="131"/>
        <v>912.40389584992352</v>
      </c>
      <c r="S402">
        <f t="shared" si="131"/>
        <v>939.7760127254212</v>
      </c>
      <c r="T402">
        <f t="shared" si="131"/>
        <v>967.96929310718383</v>
      </c>
      <c r="U402">
        <f t="shared" si="131"/>
        <v>997.00837190039942</v>
      </c>
      <c r="V402">
        <f t="shared" si="131"/>
        <v>1026.9186230574114</v>
      </c>
    </row>
    <row r="403" spans="1:22">
      <c r="B403" s="407" t="s">
        <v>519</v>
      </c>
      <c r="J403" s="74">
        <f>Input!K510</f>
        <v>0</v>
      </c>
      <c r="K403" s="74">
        <f>Input!L510</f>
        <v>0</v>
      </c>
      <c r="L403" s="74">
        <f>Input!M510</f>
        <v>0</v>
      </c>
      <c r="M403" s="74">
        <f>Input!N510</f>
        <v>0</v>
      </c>
      <c r="N403" s="74">
        <f>Input!O510</f>
        <v>0</v>
      </c>
      <c r="O403" s="74">
        <f>Input!P510</f>
        <v>0</v>
      </c>
      <c r="P403" s="74">
        <f>Input!Q510</f>
        <v>0</v>
      </c>
      <c r="Q403" s="74">
        <f>Input!R510</f>
        <v>0</v>
      </c>
      <c r="R403" s="74">
        <f>Input!S510</f>
        <v>0</v>
      </c>
      <c r="S403" s="74">
        <f>Input!T510</f>
        <v>0</v>
      </c>
      <c r="T403" s="74">
        <f>Input!U510</f>
        <v>0</v>
      </c>
      <c r="U403" s="74">
        <f>Input!V510</f>
        <v>0</v>
      </c>
      <c r="V403" s="74">
        <f>Input!W510</f>
        <v>0</v>
      </c>
    </row>
    <row r="404" spans="1:22">
      <c r="B404" s="407" t="s">
        <v>521</v>
      </c>
      <c r="G404" s="17" t="s">
        <v>315</v>
      </c>
    </row>
    <row r="405" spans="1:22">
      <c r="B405" s="28" t="s">
        <v>480</v>
      </c>
      <c r="C405" s="28"/>
      <c r="D405" s="28"/>
      <c r="E405" s="28"/>
      <c r="F405" s="28"/>
      <c r="G405" s="28"/>
      <c r="H405" s="28"/>
      <c r="I405" s="28"/>
      <c r="J405" s="47">
        <f>J402*J$333*J403/Billion</f>
        <v>0</v>
      </c>
      <c r="K405" s="47">
        <f t="shared" ref="K405:V405" si="132">K402*K$333*K403/Billion</f>
        <v>0</v>
      </c>
      <c r="L405" s="47">
        <f t="shared" si="132"/>
        <v>0</v>
      </c>
      <c r="M405" s="47">
        <f t="shared" si="132"/>
        <v>0</v>
      </c>
      <c r="N405" s="47">
        <f t="shared" si="132"/>
        <v>0</v>
      </c>
      <c r="O405" s="47">
        <f t="shared" si="132"/>
        <v>0</v>
      </c>
      <c r="P405" s="47">
        <f t="shared" si="132"/>
        <v>0</v>
      </c>
      <c r="Q405" s="47">
        <f t="shared" si="132"/>
        <v>0</v>
      </c>
      <c r="R405" s="47">
        <f t="shared" si="132"/>
        <v>0</v>
      </c>
      <c r="S405" s="47">
        <f t="shared" si="132"/>
        <v>0</v>
      </c>
      <c r="T405" s="47">
        <f t="shared" si="132"/>
        <v>0</v>
      </c>
      <c r="U405" s="47">
        <f t="shared" si="132"/>
        <v>0</v>
      </c>
      <c r="V405" s="47">
        <f t="shared" si="132"/>
        <v>0</v>
      </c>
    </row>
    <row r="406" spans="1:22">
      <c r="G406"/>
    </row>
    <row r="407" spans="1:22" ht="24" thickBot="1">
      <c r="A407" s="257"/>
      <c r="B407" s="14" t="s">
        <v>548</v>
      </c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</row>
    <row r="408" spans="1:22">
      <c r="A408" s="257"/>
      <c r="G408"/>
    </row>
    <row r="409" spans="1:22">
      <c r="A409" s="257"/>
      <c r="B409" t="s">
        <v>37</v>
      </c>
      <c r="F409" s="19">
        <v>2028</v>
      </c>
      <c r="G409"/>
      <c r="J409" s="13">
        <f>IF(J$8&lt;$F409,0,1)*J$12</f>
        <v>0</v>
      </c>
      <c r="K409" s="13">
        <f t="shared" ref="K409:V409" si="133">IF(K$8&lt;$F409,0,1)*K$12</f>
        <v>0</v>
      </c>
      <c r="L409" s="13">
        <f t="shared" si="133"/>
        <v>0</v>
      </c>
      <c r="M409" s="13">
        <f t="shared" si="133"/>
        <v>0</v>
      </c>
      <c r="N409" s="13">
        <f t="shared" si="133"/>
        <v>1</v>
      </c>
      <c r="O409" s="13">
        <f t="shared" si="133"/>
        <v>1</v>
      </c>
      <c r="P409" s="13">
        <f t="shared" si="133"/>
        <v>1</v>
      </c>
      <c r="Q409" s="13">
        <f t="shared" si="133"/>
        <v>1</v>
      </c>
      <c r="R409" s="13">
        <f t="shared" si="133"/>
        <v>1</v>
      </c>
      <c r="S409" s="13">
        <f t="shared" si="133"/>
        <v>1</v>
      </c>
      <c r="T409" s="13">
        <f t="shared" si="133"/>
        <v>1</v>
      </c>
      <c r="U409" s="13">
        <f t="shared" si="133"/>
        <v>1</v>
      </c>
      <c r="V409" s="13">
        <f t="shared" si="133"/>
        <v>1</v>
      </c>
    </row>
    <row r="410" spans="1:22">
      <c r="A410" s="257"/>
      <c r="G410"/>
    </row>
    <row r="411" spans="1:22" ht="15.75">
      <c r="A411" s="257"/>
      <c r="B411" s="15" t="s">
        <v>549</v>
      </c>
      <c r="G411"/>
    </row>
    <row r="412" spans="1:22" ht="15.75">
      <c r="A412" s="257"/>
      <c r="B412" s="41" t="s">
        <v>511</v>
      </c>
      <c r="F412" s="19">
        <v>2028</v>
      </c>
      <c r="G412"/>
      <c r="I412">
        <v>1</v>
      </c>
      <c r="J412" s="70">
        <f>IF(J$8&lt;$F412,0,IF(J$8=$F412,1,I412*(1+Input!K485)*J$12))</f>
        <v>0</v>
      </c>
      <c r="K412" s="70">
        <f>IF(K$8&lt;$F412,0,IF(K$8=$F412,1,J412*(1+Input!L485)*K$12))</f>
        <v>0</v>
      </c>
      <c r="L412" s="77">
        <f>IF(L$8&lt;$F412,0,IF(L$8=$F412,1,K412*(1+Input!M485)*L$12))</f>
        <v>0</v>
      </c>
      <c r="M412" s="77">
        <f>IF(M$8&lt;$F412,0,IF(M$8=$F412,1,L412*(1+Input!N485)*M$12))</f>
        <v>0</v>
      </c>
      <c r="N412" s="70">
        <f>IF(N$8&lt;$F412,0,IF(N$8=$F412,1,M412*(1+Input!O485)*N$12))</f>
        <v>1</v>
      </c>
      <c r="O412" s="70">
        <f>IF(O$8&lt;$F412,0,IF(O$8=$F412,1,N412*(1+Input!P485)*O$12))</f>
        <v>1.1000000000000001</v>
      </c>
      <c r="P412" s="70">
        <f>IF(P$8&lt;$F412,0,IF(P$8=$F412,1,O412*(1+Input!Q485)*P$12))</f>
        <v>1.2100000000000002</v>
      </c>
      <c r="Q412" s="70">
        <f>IF(Q$8&lt;$F412,0,IF(Q$8=$F412,1,P412*(1+Input!R485)*Q$12))</f>
        <v>1.3310000000000004</v>
      </c>
      <c r="R412" s="70">
        <f>IF(R$8&lt;$F412,0,IF(R$8=$F412,1,Q412*(1+Input!S485)*R$12))</f>
        <v>1.4108600000000004</v>
      </c>
      <c r="S412" s="70">
        <f>IF(S$8&lt;$F412,0,IF(S$8=$F412,1,R412*(1+Input!T485)*S$12))</f>
        <v>1.4955116000000006</v>
      </c>
      <c r="T412" s="70">
        <f>IF(T$8&lt;$F412,0,IF(T$8=$F412,1,S412*(1+Input!U485)*T$12))</f>
        <v>1.5852422960000008</v>
      </c>
      <c r="U412" s="70">
        <f>IF(U$8&lt;$F412,0,IF(U$8=$F412,1,T412*(1+Input!V485)*U$12))</f>
        <v>1.680356833760001</v>
      </c>
      <c r="V412" s="70">
        <f>IF(V$8&lt;$F412,0,IF(V$8=$F412,1,U412*(1+Input!W485)*V$12))</f>
        <v>1.7811782437856012</v>
      </c>
    </row>
    <row r="413" spans="1:22">
      <c r="A413" s="257"/>
      <c r="B413" s="407" t="s">
        <v>407</v>
      </c>
      <c r="F413" s="6">
        <f>Input!J490</f>
        <v>1900000</v>
      </c>
      <c r="G413" s="17" t="s">
        <v>315</v>
      </c>
      <c r="J413">
        <f>$F$413*J412</f>
        <v>0</v>
      </c>
      <c r="K413">
        <f t="shared" ref="K413:V413" si="134">$F$413*K412</f>
        <v>0</v>
      </c>
      <c r="L413">
        <f t="shared" si="134"/>
        <v>0</v>
      </c>
      <c r="M413">
        <f t="shared" si="134"/>
        <v>0</v>
      </c>
      <c r="N413">
        <f t="shared" si="134"/>
        <v>1900000</v>
      </c>
      <c r="O413">
        <f t="shared" si="134"/>
        <v>2090000.0000000002</v>
      </c>
      <c r="P413">
        <f t="shared" si="134"/>
        <v>2299000.0000000005</v>
      </c>
      <c r="Q413">
        <f t="shared" si="134"/>
        <v>2528900.0000000009</v>
      </c>
      <c r="R413">
        <f t="shared" si="134"/>
        <v>2680634.0000000009</v>
      </c>
      <c r="S413">
        <f t="shared" si="134"/>
        <v>2841472.040000001</v>
      </c>
      <c r="T413">
        <f t="shared" si="134"/>
        <v>3011960.3624000014</v>
      </c>
      <c r="U413">
        <f t="shared" si="134"/>
        <v>3192677.9841440017</v>
      </c>
      <c r="V413">
        <f t="shared" si="134"/>
        <v>3384238.6631926424</v>
      </c>
    </row>
    <row r="414" spans="1:22">
      <c r="A414" s="257"/>
      <c r="B414" s="407" t="s">
        <v>465</v>
      </c>
      <c r="J414">
        <f>Input!K492</f>
        <v>0</v>
      </c>
      <c r="K414">
        <f>Input!L492</f>
        <v>0</v>
      </c>
      <c r="L414">
        <f>Input!M492</f>
        <v>0</v>
      </c>
      <c r="M414">
        <f>Input!N492</f>
        <v>0</v>
      </c>
      <c r="N414">
        <f>Input!O492</f>
        <v>36411.149742396541</v>
      </c>
      <c r="O414">
        <f>Input!P492</f>
        <v>43693.379690875852</v>
      </c>
      <c r="P414">
        <f>Input!Q492</f>
        <v>43693.379690875852</v>
      </c>
      <c r="Q414">
        <f>Input!R492</f>
        <v>48062.717659963433</v>
      </c>
      <c r="R414">
        <f>Input!S492</f>
        <v>48062.717659963433</v>
      </c>
      <c r="S414">
        <f>Input!T492</f>
        <v>50946.480719561245</v>
      </c>
      <c r="T414">
        <f>Input!U492</f>
        <v>50946.480719561245</v>
      </c>
      <c r="U414">
        <f>Input!V492</f>
        <v>54003.269562734924</v>
      </c>
      <c r="V414">
        <f>Input!W492</f>
        <v>54003.269562734924</v>
      </c>
    </row>
    <row r="415" spans="1:22">
      <c r="A415" s="257"/>
      <c r="B415" s="28" t="s">
        <v>9</v>
      </c>
      <c r="C415" s="28"/>
      <c r="D415" s="28"/>
      <c r="E415" s="28"/>
      <c r="F415" s="28"/>
      <c r="G415" s="28"/>
      <c r="H415" s="28"/>
      <c r="I415" s="48">
        <f>SUM(J415:V415)</f>
        <v>1164.722573385674</v>
      </c>
      <c r="J415" s="76">
        <f>J413*J414/Billion</f>
        <v>0</v>
      </c>
      <c r="K415" s="78">
        <f t="shared" ref="K415:V415" si="135">K413*K414/Billion</f>
        <v>0</v>
      </c>
      <c r="L415" s="76">
        <f t="shared" si="135"/>
        <v>0</v>
      </c>
      <c r="M415" s="76">
        <f t="shared" si="135"/>
        <v>0</v>
      </c>
      <c r="N415" s="78">
        <f t="shared" si="135"/>
        <v>69.181184510553422</v>
      </c>
      <c r="O415" s="76">
        <f t="shared" si="135"/>
        <v>91.319163553930537</v>
      </c>
      <c r="P415" s="76">
        <f t="shared" si="135"/>
        <v>100.45107990932361</v>
      </c>
      <c r="Q415" s="76">
        <f t="shared" si="135"/>
        <v>121.54580669028157</v>
      </c>
      <c r="R415" s="76">
        <f t="shared" si="135"/>
        <v>128.83855509169845</v>
      </c>
      <c r="S415" s="76">
        <f t="shared" si="135"/>
        <v>144.76300050103242</v>
      </c>
      <c r="T415" s="76">
        <f t="shared" si="135"/>
        <v>153.44878053109437</v>
      </c>
      <c r="U415" s="76">
        <f t="shared" si="135"/>
        <v>172.41504980473766</v>
      </c>
      <c r="V415" s="76">
        <f t="shared" si="135"/>
        <v>182.75995279302194</v>
      </c>
    </row>
    <row r="416" spans="1:22">
      <c r="G416"/>
      <c r="I416" s="21"/>
      <c r="K416" s="21"/>
      <c r="L416" s="21"/>
      <c r="M416" s="21"/>
      <c r="N416" s="21"/>
    </row>
    <row r="417" spans="1:22" s="2" customFormat="1">
      <c r="B417" s="2" t="s">
        <v>471</v>
      </c>
      <c r="I417" s="85"/>
      <c r="J417" s="2">
        <f>SUM(J413)</f>
        <v>0</v>
      </c>
      <c r="K417" s="2">
        <f t="shared" ref="K417:V417" si="136">SUM(K413)</f>
        <v>0</v>
      </c>
      <c r="L417" s="2">
        <f t="shared" si="136"/>
        <v>0</v>
      </c>
      <c r="M417" s="2">
        <f t="shared" si="136"/>
        <v>0</v>
      </c>
      <c r="N417" s="2">
        <f t="shared" si="136"/>
        <v>1900000</v>
      </c>
      <c r="O417" s="2">
        <f t="shared" si="136"/>
        <v>2090000.0000000002</v>
      </c>
      <c r="P417" s="2">
        <f t="shared" si="136"/>
        <v>2299000.0000000005</v>
      </c>
      <c r="Q417" s="2">
        <f t="shared" si="136"/>
        <v>2528900.0000000009</v>
      </c>
      <c r="R417" s="2">
        <f t="shared" si="136"/>
        <v>2680634.0000000009</v>
      </c>
      <c r="S417" s="2">
        <f t="shared" si="136"/>
        <v>2841472.040000001</v>
      </c>
      <c r="T417" s="2">
        <f t="shared" si="136"/>
        <v>3011960.3624000014</v>
      </c>
      <c r="U417" s="2">
        <f t="shared" si="136"/>
        <v>3192677.9841440017</v>
      </c>
      <c r="V417" s="2">
        <f t="shared" si="136"/>
        <v>3384238.6631926424</v>
      </c>
    </row>
    <row r="418" spans="1:22">
      <c r="G418"/>
      <c r="I418" s="21"/>
      <c r="K418" s="21"/>
      <c r="L418" s="21"/>
      <c r="M418" s="21"/>
      <c r="N418" s="21"/>
    </row>
    <row r="419" spans="1:22" s="2" customFormat="1">
      <c r="B419" s="2" t="s">
        <v>492</v>
      </c>
      <c r="I419" s="85"/>
      <c r="J419" s="2">
        <f>SUM(J425,J430)</f>
        <v>0</v>
      </c>
      <c r="K419" s="2">
        <f t="shared" ref="K419:V419" si="137">SUM(K425,K430)</f>
        <v>0</v>
      </c>
      <c r="L419" s="2">
        <f t="shared" si="137"/>
        <v>0</v>
      </c>
      <c r="M419" s="2">
        <f t="shared" si="137"/>
        <v>0</v>
      </c>
      <c r="N419" s="2">
        <f t="shared" si="137"/>
        <v>7.1509374999999995</v>
      </c>
      <c r="O419" s="2">
        <f t="shared" si="137"/>
        <v>7.1509374999999995</v>
      </c>
      <c r="P419" s="2">
        <f t="shared" si="137"/>
        <v>7.1509374999999995</v>
      </c>
      <c r="Q419" s="2">
        <f t="shared" si="137"/>
        <v>7.1509374999999995</v>
      </c>
      <c r="R419" s="2">
        <f t="shared" si="137"/>
        <v>7.1509374999999995</v>
      </c>
      <c r="S419" s="2">
        <f t="shared" si="137"/>
        <v>7.1509374999999995</v>
      </c>
      <c r="T419" s="2">
        <f t="shared" si="137"/>
        <v>7.1509374999999995</v>
      </c>
      <c r="U419" s="2">
        <f t="shared" si="137"/>
        <v>7.1509374999999995</v>
      </c>
      <c r="V419" s="2">
        <f t="shared" si="137"/>
        <v>7.1509374999999995</v>
      </c>
    </row>
    <row r="420" spans="1:22">
      <c r="G420"/>
      <c r="I420" s="21"/>
      <c r="K420" s="21"/>
      <c r="L420" s="21"/>
      <c r="M420" s="21"/>
      <c r="N420" s="21"/>
    </row>
    <row r="421" spans="1:22" ht="15.75">
      <c r="B421" s="15" t="s">
        <v>473</v>
      </c>
      <c r="G421"/>
      <c r="I421" s="21"/>
      <c r="J421">
        <f>J435</f>
        <v>0</v>
      </c>
      <c r="K421">
        <f t="shared" ref="K421:V421" si="138">K435</f>
        <v>0</v>
      </c>
      <c r="L421" s="23">
        <f t="shared" si="138"/>
        <v>0</v>
      </c>
      <c r="M421" s="23">
        <f t="shared" si="138"/>
        <v>0</v>
      </c>
      <c r="N421" s="23">
        <f t="shared" si="138"/>
        <v>8.6055500243779619</v>
      </c>
      <c r="O421" s="23">
        <f t="shared" si="138"/>
        <v>11.101400921657406</v>
      </c>
      <c r="P421" s="23">
        <f t="shared" si="138"/>
        <v>11.905316760132967</v>
      </c>
      <c r="Q421" s="23">
        <f t="shared" si="138"/>
        <v>13.623035540729386</v>
      </c>
      <c r="R421" s="23">
        <f t="shared" si="138"/>
        <v>14.071077573722661</v>
      </c>
      <c r="S421" s="23">
        <f t="shared" si="138"/>
        <v>15.366168324194115</v>
      </c>
      <c r="T421" s="23">
        <f t="shared" si="138"/>
        <v>15.810508546680484</v>
      </c>
      <c r="U421" s="23">
        <f t="shared" si="138"/>
        <v>19.611241380300164</v>
      </c>
      <c r="V421" s="23">
        <f t="shared" si="138"/>
        <v>20.506810602814983</v>
      </c>
    </row>
    <row r="422" spans="1:22">
      <c r="B422" s="2" t="s">
        <v>513</v>
      </c>
      <c r="E422" s="58" t="s">
        <v>514</v>
      </c>
      <c r="F422" s="58" t="s">
        <v>515</v>
      </c>
      <c r="G422"/>
      <c r="I422" s="22"/>
    </row>
    <row r="423" spans="1:22">
      <c r="B423" s="407" t="s">
        <v>516</v>
      </c>
      <c r="E423" s="16">
        <f>Input!J507</f>
        <v>20</v>
      </c>
      <c r="F423" s="30">
        <f>SUM(Calculation_SOEs!I1265:V1265)</f>
        <v>5.0245926836766062</v>
      </c>
      <c r="G423" s="17" t="s">
        <v>315</v>
      </c>
    </row>
    <row r="424" spans="1:22">
      <c r="B424" s="407" t="s">
        <v>517</v>
      </c>
      <c r="F424" s="73">
        <f>Input!J504</f>
        <v>0.5</v>
      </c>
      <c r="G424" s="17" t="s">
        <v>315</v>
      </c>
    </row>
    <row r="425" spans="1:22">
      <c r="B425" s="28" t="s">
        <v>476</v>
      </c>
      <c r="C425" s="28"/>
      <c r="D425" s="28"/>
      <c r="E425" s="28"/>
      <c r="F425" s="28"/>
      <c r="G425" s="28"/>
      <c r="H425" s="28"/>
      <c r="I425" s="49">
        <f>SUM(J425:V425)</f>
        <v>18.388124999999999</v>
      </c>
      <c r="J425" s="47">
        <f t="shared" ref="J425:V425" si="139">($F423*$F424*Million)/$E423*USD_IDR/Billion*J409</f>
        <v>0</v>
      </c>
      <c r="K425" s="47">
        <f t="shared" si="139"/>
        <v>0</v>
      </c>
      <c r="L425" s="47">
        <f t="shared" si="139"/>
        <v>0</v>
      </c>
      <c r="M425" s="47">
        <f t="shared" si="139"/>
        <v>0</v>
      </c>
      <c r="N425" s="47">
        <f t="shared" si="139"/>
        <v>2.0431249999999999</v>
      </c>
      <c r="O425" s="47">
        <f t="shared" si="139"/>
        <v>2.0431249999999999</v>
      </c>
      <c r="P425" s="47">
        <f t="shared" si="139"/>
        <v>2.0431249999999999</v>
      </c>
      <c r="Q425" s="47">
        <f t="shared" si="139"/>
        <v>2.0431249999999999</v>
      </c>
      <c r="R425" s="47">
        <f t="shared" si="139"/>
        <v>2.0431249999999999</v>
      </c>
      <c r="S425" s="47">
        <f t="shared" si="139"/>
        <v>2.0431249999999999</v>
      </c>
      <c r="T425" s="47">
        <f t="shared" si="139"/>
        <v>2.0431249999999999</v>
      </c>
      <c r="U425" s="47">
        <f t="shared" si="139"/>
        <v>2.0431249999999999</v>
      </c>
      <c r="V425" s="47">
        <f t="shared" si="139"/>
        <v>2.0431249999999999</v>
      </c>
    </row>
    <row r="426" spans="1:22">
      <c r="G426"/>
    </row>
    <row r="427" spans="1:22">
      <c r="B427" s="2" t="s">
        <v>518</v>
      </c>
      <c r="E427" s="58" t="s">
        <v>514</v>
      </c>
      <c r="F427" s="58" t="s">
        <v>515</v>
      </c>
      <c r="G427"/>
      <c r="I427" s="22"/>
    </row>
    <row r="428" spans="1:22">
      <c r="B428" s="407" t="s">
        <v>516</v>
      </c>
      <c r="E428" s="16">
        <f>Input!J508</f>
        <v>8</v>
      </c>
      <c r="F428" s="30">
        <f>F423</f>
        <v>5.0245926836766062</v>
      </c>
      <c r="G428" s="17" t="s">
        <v>315</v>
      </c>
    </row>
    <row r="429" spans="1:22">
      <c r="B429" s="407" t="s">
        <v>517</v>
      </c>
      <c r="F429" s="73">
        <f>Input!J505</f>
        <v>0.5</v>
      </c>
      <c r="G429" s="17" t="s">
        <v>315</v>
      </c>
    </row>
    <row r="430" spans="1:22">
      <c r="B430" s="28" t="s">
        <v>476</v>
      </c>
      <c r="C430" s="28"/>
      <c r="D430" s="28"/>
      <c r="E430" s="28"/>
      <c r="F430" s="28"/>
      <c r="G430" s="28"/>
      <c r="H430" s="28"/>
      <c r="I430" s="49">
        <f>SUM(J430:V430)</f>
        <v>45.970312500000006</v>
      </c>
      <c r="J430" s="47">
        <f t="shared" ref="J430:V430" si="140">($F428*$F429*Million)/$E428*USD_IDR/Billion*J409</f>
        <v>0</v>
      </c>
      <c r="K430" s="47">
        <f t="shared" si="140"/>
        <v>0</v>
      </c>
      <c r="L430" s="47">
        <f t="shared" si="140"/>
        <v>0</v>
      </c>
      <c r="M430" s="47">
        <f t="shared" si="140"/>
        <v>0</v>
      </c>
      <c r="N430" s="47">
        <f t="shared" si="140"/>
        <v>5.1078124999999996</v>
      </c>
      <c r="O430" s="47">
        <f t="shared" si="140"/>
        <v>5.1078124999999996</v>
      </c>
      <c r="P430" s="47">
        <f t="shared" si="140"/>
        <v>5.1078124999999996</v>
      </c>
      <c r="Q430" s="47">
        <f t="shared" si="140"/>
        <v>5.1078124999999996</v>
      </c>
      <c r="R430" s="47">
        <f t="shared" si="140"/>
        <v>5.1078124999999996</v>
      </c>
      <c r="S430" s="47">
        <f t="shared" si="140"/>
        <v>5.1078124999999996</v>
      </c>
      <c r="T430" s="47">
        <f t="shared" si="140"/>
        <v>5.1078124999999996</v>
      </c>
      <c r="U430" s="47">
        <f t="shared" si="140"/>
        <v>5.1078124999999996</v>
      </c>
      <c r="V430" s="47">
        <f t="shared" si="140"/>
        <v>5.1078124999999996</v>
      </c>
    </row>
    <row r="431" spans="1:22">
      <c r="G431"/>
    </row>
    <row r="432" spans="1:22">
      <c r="A432" s="258"/>
      <c r="B432" s="2" t="s">
        <v>550</v>
      </c>
      <c r="G432"/>
    </row>
    <row r="433" spans="1:22">
      <c r="A433" s="258"/>
      <c r="B433" s="407" t="s">
        <v>519</v>
      </c>
      <c r="J433" s="74">
        <f t="shared" ref="J433:V433" si="141">IFERROR(J189/J185,0)</f>
        <v>0.24805482641156248</v>
      </c>
      <c r="K433" s="74">
        <f t="shared" si="141"/>
        <v>0.24401557200932278</v>
      </c>
      <c r="L433" s="86">
        <f t="shared" si="141"/>
        <v>0.2405459260438117</v>
      </c>
      <c r="M433" s="87">
        <f t="shared" si="141"/>
        <v>0.13639369528846307</v>
      </c>
      <c r="N433" s="86">
        <f t="shared" si="141"/>
        <v>0.12439148137258631</v>
      </c>
      <c r="O433" s="86">
        <f t="shared" si="141"/>
        <v>0.12156704561908553</v>
      </c>
      <c r="P433" s="86">
        <f t="shared" si="141"/>
        <v>0.11851855421444749</v>
      </c>
      <c r="Q433" s="86">
        <f t="shared" si="141"/>
        <v>0.11208149348535809</v>
      </c>
      <c r="R433" s="86">
        <f t="shared" si="141"/>
        <v>0.10921480424635183</v>
      </c>
      <c r="S433" s="86">
        <f t="shared" si="141"/>
        <v>0.10614706983836333</v>
      </c>
      <c r="T433" s="86">
        <f t="shared" si="141"/>
        <v>0.1030344359333419</v>
      </c>
      <c r="U433" s="86">
        <f t="shared" si="141"/>
        <v>0.11374437093809477</v>
      </c>
      <c r="V433" s="86">
        <f t="shared" si="141"/>
        <v>0.11220625902677496</v>
      </c>
    </row>
    <row r="434" spans="1:22">
      <c r="A434" s="258"/>
      <c r="B434" s="407" t="s">
        <v>472</v>
      </c>
      <c r="G434" s="17" t="s">
        <v>315</v>
      </c>
      <c r="J434">
        <f>J415</f>
        <v>0</v>
      </c>
      <c r="K434">
        <f t="shared" ref="K434:V434" si="142">K415</f>
        <v>0</v>
      </c>
      <c r="L434" s="1">
        <f t="shared" si="142"/>
        <v>0</v>
      </c>
      <c r="M434" s="1">
        <f t="shared" si="142"/>
        <v>0</v>
      </c>
      <c r="N434" s="1">
        <f t="shared" si="142"/>
        <v>69.181184510553422</v>
      </c>
      <c r="O434" s="1">
        <f t="shared" si="142"/>
        <v>91.319163553930537</v>
      </c>
      <c r="P434" s="1">
        <f t="shared" si="142"/>
        <v>100.45107990932361</v>
      </c>
      <c r="Q434" s="1">
        <f t="shared" si="142"/>
        <v>121.54580669028157</v>
      </c>
      <c r="R434" s="1">
        <f t="shared" si="142"/>
        <v>128.83855509169845</v>
      </c>
      <c r="S434" s="1">
        <f t="shared" si="142"/>
        <v>144.76300050103242</v>
      </c>
      <c r="T434" s="1">
        <f t="shared" si="142"/>
        <v>153.44878053109437</v>
      </c>
      <c r="U434" s="1">
        <f t="shared" si="142"/>
        <v>172.41504980473766</v>
      </c>
      <c r="V434" s="1">
        <f t="shared" si="142"/>
        <v>182.75995279302194</v>
      </c>
    </row>
    <row r="435" spans="1:22">
      <c r="A435" s="258"/>
      <c r="B435" s="28" t="s">
        <v>480</v>
      </c>
      <c r="C435" s="28"/>
      <c r="D435" s="28"/>
      <c r="E435" s="28"/>
      <c r="F435" s="28"/>
      <c r="G435" s="28"/>
      <c r="H435" s="28"/>
      <c r="I435" s="28"/>
      <c r="J435" s="47">
        <f>J433*J434</f>
        <v>0</v>
      </c>
      <c r="K435" s="47">
        <f t="shared" ref="K435:V435" si="143">K433*K434</f>
        <v>0</v>
      </c>
      <c r="L435" s="47">
        <f t="shared" si="143"/>
        <v>0</v>
      </c>
      <c r="M435" s="47">
        <f t="shared" si="143"/>
        <v>0</v>
      </c>
      <c r="N435" s="47">
        <f t="shared" si="143"/>
        <v>8.6055500243779619</v>
      </c>
      <c r="O435" s="47">
        <f t="shared" si="143"/>
        <v>11.101400921657406</v>
      </c>
      <c r="P435" s="47">
        <f t="shared" si="143"/>
        <v>11.905316760132967</v>
      </c>
      <c r="Q435" s="47">
        <f t="shared" si="143"/>
        <v>13.623035540729386</v>
      </c>
      <c r="R435" s="47">
        <f t="shared" si="143"/>
        <v>14.071077573722661</v>
      </c>
      <c r="S435" s="47">
        <f t="shared" si="143"/>
        <v>15.366168324194115</v>
      </c>
      <c r="T435" s="47">
        <f t="shared" si="143"/>
        <v>15.810508546680484</v>
      </c>
      <c r="U435" s="47">
        <f t="shared" si="143"/>
        <v>19.611241380300164</v>
      </c>
      <c r="V435" s="47">
        <f t="shared" si="143"/>
        <v>20.506810602814983</v>
      </c>
    </row>
    <row r="436" spans="1:22">
      <c r="A436" s="258"/>
      <c r="G436"/>
    </row>
    <row r="437" spans="1:22" ht="15.75">
      <c r="A437" s="258"/>
      <c r="B437" s="15" t="s">
        <v>535</v>
      </c>
      <c r="G437"/>
    </row>
    <row r="438" spans="1:22">
      <c r="A438" s="258"/>
      <c r="B438" s="2"/>
      <c r="G438"/>
    </row>
    <row r="439" spans="1:22">
      <c r="A439" s="258"/>
      <c r="B439" s="407" t="s">
        <v>551</v>
      </c>
      <c r="J439" s="87">
        <f>IFERROR((J265+J272)/J185,0)</f>
        <v>0.1367064205045028</v>
      </c>
      <c r="K439" s="87">
        <f t="shared" ref="K439:V439" si="144">IFERROR((K265+K272)/K185,0)</f>
        <v>0.13300652337040114</v>
      </c>
      <c r="L439" s="87">
        <f t="shared" si="144"/>
        <v>0.12940786535178295</v>
      </c>
      <c r="M439" s="87">
        <f t="shared" si="144"/>
        <v>7.2537234285067392E-2</v>
      </c>
      <c r="N439" s="87">
        <f t="shared" si="144"/>
        <v>6.5379460571094852E-2</v>
      </c>
      <c r="O439" s="87">
        <f t="shared" si="144"/>
        <v>6.3029695555301912E-2</v>
      </c>
      <c r="P439" s="87">
        <f t="shared" si="144"/>
        <v>6.0700863344891588E-2</v>
      </c>
      <c r="Q439" s="87">
        <f t="shared" si="144"/>
        <v>5.6689952453920646E-2</v>
      </c>
      <c r="R439" s="87">
        <f t="shared" si="144"/>
        <v>5.446315750682456E-2</v>
      </c>
      <c r="S439" s="87">
        <f t="shared" si="144"/>
        <v>5.2250903762528604E-2</v>
      </c>
      <c r="T439" s="87">
        <f t="shared" si="144"/>
        <v>5.0052028689498727E-2</v>
      </c>
      <c r="U439" s="87">
        <f t="shared" si="144"/>
        <v>5.4514685821915911E-2</v>
      </c>
      <c r="V439" s="87">
        <f t="shared" si="144"/>
        <v>5.3044165536608907E-2</v>
      </c>
    </row>
    <row r="440" spans="1:22">
      <c r="A440" s="258"/>
      <c r="B440" s="407" t="s">
        <v>552</v>
      </c>
      <c r="G440" s="17" t="s">
        <v>315</v>
      </c>
      <c r="J440">
        <f>J434</f>
        <v>0</v>
      </c>
      <c r="K440">
        <f t="shared" ref="K440:V440" si="145">K434</f>
        <v>0</v>
      </c>
      <c r="L440">
        <f t="shared" si="145"/>
        <v>0</v>
      </c>
      <c r="M440">
        <f t="shared" si="145"/>
        <v>0</v>
      </c>
      <c r="N440">
        <f t="shared" si="145"/>
        <v>69.181184510553422</v>
      </c>
      <c r="O440">
        <f t="shared" si="145"/>
        <v>91.319163553930537</v>
      </c>
      <c r="P440">
        <f t="shared" si="145"/>
        <v>100.45107990932361</v>
      </c>
      <c r="Q440">
        <f t="shared" si="145"/>
        <v>121.54580669028157</v>
      </c>
      <c r="R440">
        <f t="shared" si="145"/>
        <v>128.83855509169845</v>
      </c>
      <c r="S440">
        <f t="shared" si="145"/>
        <v>144.76300050103242</v>
      </c>
      <c r="T440">
        <f t="shared" si="145"/>
        <v>153.44878053109437</v>
      </c>
      <c r="U440">
        <f t="shared" si="145"/>
        <v>172.41504980473766</v>
      </c>
      <c r="V440">
        <f t="shared" si="145"/>
        <v>182.75995279302194</v>
      </c>
    </row>
    <row r="441" spans="1:22">
      <c r="A441" s="258"/>
      <c r="B441" s="28" t="s">
        <v>480</v>
      </c>
      <c r="C441" s="28"/>
      <c r="D441" s="28"/>
      <c r="E441" s="28"/>
      <c r="F441" s="28"/>
      <c r="G441" s="28"/>
      <c r="H441" s="28"/>
      <c r="I441" s="28"/>
      <c r="J441" s="47">
        <f>J439*J440</f>
        <v>0</v>
      </c>
      <c r="K441" s="47">
        <f t="shared" ref="K441:V441" si="146">K439*K440</f>
        <v>0</v>
      </c>
      <c r="L441" s="47">
        <f t="shared" si="146"/>
        <v>0</v>
      </c>
      <c r="M441" s="47">
        <f t="shared" si="146"/>
        <v>0</v>
      </c>
      <c r="N441" s="47">
        <f t="shared" si="146"/>
        <v>4.5230285249693658</v>
      </c>
      <c r="O441" s="47">
        <f t="shared" si="146"/>
        <v>5.7558190771690638</v>
      </c>
      <c r="P441" s="47">
        <f t="shared" si="146"/>
        <v>6.0974672744226375</v>
      </c>
      <c r="Q441" s="47">
        <f t="shared" si="146"/>
        <v>6.8904260022454915</v>
      </c>
      <c r="R441" s="47">
        <f t="shared" si="146"/>
        <v>7.0169545189108664</v>
      </c>
      <c r="S441" s="47">
        <f t="shared" si="146"/>
        <v>7.5639976075543256</v>
      </c>
      <c r="T441" s="47">
        <f t="shared" si="146"/>
        <v>7.6804227655109294</v>
      </c>
      <c r="U441" s="47">
        <f t="shared" si="146"/>
        <v>9.3991522710752573</v>
      </c>
      <c r="V441" s="47">
        <f t="shared" si="146"/>
        <v>9.6943491894158846</v>
      </c>
    </row>
    <row r="442" spans="1:22">
      <c r="G442"/>
    </row>
    <row r="443" spans="1:22" ht="24" thickBot="1">
      <c r="B443" s="14" t="s">
        <v>553</v>
      </c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</row>
    <row r="444" spans="1:22">
      <c r="G444"/>
    </row>
    <row r="445" spans="1:22">
      <c r="B445" t="s">
        <v>37</v>
      </c>
      <c r="F445" s="19">
        <v>2026</v>
      </c>
      <c r="G445"/>
      <c r="J445" s="13">
        <f>IF(J$8&lt;$F445,0,1)*J$12</f>
        <v>0</v>
      </c>
      <c r="K445" s="13">
        <f t="shared" ref="K445:V445" si="147">IF(K$8&lt;$F445,0,1)*K$12</f>
        <v>0</v>
      </c>
      <c r="L445" s="13">
        <f t="shared" si="147"/>
        <v>1</v>
      </c>
      <c r="M445" s="13">
        <f t="shared" si="147"/>
        <v>1</v>
      </c>
      <c r="N445" s="13">
        <f t="shared" si="147"/>
        <v>1</v>
      </c>
      <c r="O445" s="13">
        <f t="shared" si="147"/>
        <v>1</v>
      </c>
      <c r="P445" s="13">
        <f t="shared" si="147"/>
        <v>1</v>
      </c>
      <c r="Q445" s="13">
        <f t="shared" si="147"/>
        <v>1</v>
      </c>
      <c r="R445" s="13">
        <f t="shared" si="147"/>
        <v>1</v>
      </c>
      <c r="S445" s="13">
        <f t="shared" si="147"/>
        <v>1</v>
      </c>
      <c r="T445" s="13">
        <f t="shared" si="147"/>
        <v>1</v>
      </c>
      <c r="U445" s="13">
        <f t="shared" si="147"/>
        <v>1</v>
      </c>
      <c r="V445" s="13">
        <f t="shared" si="147"/>
        <v>1</v>
      </c>
    </row>
    <row r="446" spans="1:22">
      <c r="G446"/>
    </row>
    <row r="447" spans="1:22" ht="15.75">
      <c r="B447" s="15" t="s">
        <v>554</v>
      </c>
      <c r="G447"/>
    </row>
    <row r="448" spans="1:22" ht="15.75">
      <c r="B448" s="41" t="s">
        <v>511</v>
      </c>
      <c r="G448"/>
      <c r="I448">
        <v>1</v>
      </c>
      <c r="J448" s="77">
        <f>I448*(1+Input!K532)*J$12</f>
        <v>1</v>
      </c>
      <c r="K448" s="77">
        <f>J448*(1+Input!L532)*K$12</f>
        <v>1.03</v>
      </c>
      <c r="L448" s="70">
        <f>K448*(1+Input!M532)*L$12</f>
        <v>1.0609</v>
      </c>
      <c r="M448" s="70">
        <f>L448*(1+Input!N532)*M$12</f>
        <v>1.092727</v>
      </c>
      <c r="N448" s="70">
        <f>M448*(1+Input!O532)*N$12</f>
        <v>1.1255088100000001</v>
      </c>
      <c r="O448" s="70">
        <f>N448*(1+Input!P532)*O$12</f>
        <v>1.1592740743000001</v>
      </c>
      <c r="P448" s="70">
        <f>O448*(1+Input!Q532)*P$12</f>
        <v>1.1940522965290001</v>
      </c>
      <c r="Q448" s="70">
        <f>P448*(1+Input!R532)*Q$12</f>
        <v>1.2298738654248702</v>
      </c>
      <c r="R448" s="70">
        <f>Q448*(1+Input!S532)*R$12</f>
        <v>1.2667700813876164</v>
      </c>
      <c r="S448" s="70">
        <f>R448*(1+Input!T532)*S$12</f>
        <v>1.3047731838292449</v>
      </c>
      <c r="T448" s="70">
        <f>S448*(1+Input!U532)*T$12</f>
        <v>1.3439163793441222</v>
      </c>
      <c r="U448" s="70">
        <f>T448*(1+Input!V532)*U$12</f>
        <v>1.3842338707244459</v>
      </c>
      <c r="V448" s="70">
        <f>U448*(1+Input!W532)*V$12</f>
        <v>1.4257608868461793</v>
      </c>
    </row>
    <row r="449" spans="2:22">
      <c r="B449" s="407" t="s">
        <v>407</v>
      </c>
      <c r="F449" s="6">
        <f>Input!J537</f>
        <v>750000</v>
      </c>
      <c r="G449" s="17" t="s">
        <v>315</v>
      </c>
      <c r="J449">
        <f>J448*$F449*J$12</f>
        <v>750000</v>
      </c>
      <c r="K449">
        <f t="shared" ref="K449:V449" si="148">K448*$F449*K$12</f>
        <v>772500</v>
      </c>
      <c r="L449">
        <f t="shared" si="148"/>
        <v>795675</v>
      </c>
      <c r="M449">
        <f t="shared" si="148"/>
        <v>819545.25</v>
      </c>
      <c r="N449">
        <f t="shared" si="148"/>
        <v>844131.60750000016</v>
      </c>
      <c r="O449">
        <f t="shared" si="148"/>
        <v>869455.5557250001</v>
      </c>
      <c r="P449">
        <f t="shared" si="148"/>
        <v>895539.22239675012</v>
      </c>
      <c r="Q449">
        <f t="shared" si="148"/>
        <v>922405.39906865265</v>
      </c>
      <c r="R449">
        <f t="shared" si="148"/>
        <v>950077.56104071229</v>
      </c>
      <c r="S449">
        <f t="shared" si="148"/>
        <v>978579.88787193364</v>
      </c>
      <c r="T449">
        <f t="shared" si="148"/>
        <v>1007937.2845080916</v>
      </c>
      <c r="U449">
        <f t="shared" si="148"/>
        <v>1038175.4030433345</v>
      </c>
      <c r="V449">
        <f t="shared" si="148"/>
        <v>1069320.6651346346</v>
      </c>
    </row>
    <row r="450" spans="2:22">
      <c r="B450" s="407" t="s">
        <v>440</v>
      </c>
      <c r="F450" s="6"/>
      <c r="J450" s="462"/>
      <c r="M450" s="19">
        <v>200000</v>
      </c>
      <c r="N450" s="19">
        <f>M450+50000</f>
        <v>250000</v>
      </c>
      <c r="O450" s="19">
        <f t="shared" ref="O450:T450" si="149">N450+50000</f>
        <v>300000</v>
      </c>
      <c r="P450" s="19">
        <f t="shared" si="149"/>
        <v>350000</v>
      </c>
      <c r="Q450" s="19">
        <f t="shared" si="149"/>
        <v>400000</v>
      </c>
      <c r="R450" s="19">
        <f t="shared" si="149"/>
        <v>450000</v>
      </c>
      <c r="S450" s="19">
        <f t="shared" si="149"/>
        <v>500000</v>
      </c>
      <c r="T450" s="19">
        <f t="shared" si="149"/>
        <v>550000</v>
      </c>
    </row>
    <row r="451" spans="2:22">
      <c r="B451" s="407" t="s">
        <v>465</v>
      </c>
      <c r="J451">
        <f>Input!K539</f>
        <v>29658</v>
      </c>
      <c r="K451">
        <f>Input!L539</f>
        <v>29658</v>
      </c>
      <c r="L451">
        <f>Input!M539</f>
        <v>43947.5</v>
      </c>
      <c r="M451">
        <f>Input!N539</f>
        <v>43947.5</v>
      </c>
      <c r="N451">
        <f>Input!O539</f>
        <v>45265.925000000003</v>
      </c>
      <c r="O451">
        <f>Input!P539</f>
        <v>46623.902750000001</v>
      </c>
      <c r="P451">
        <f>Input!Q539</f>
        <v>48022.6198325</v>
      </c>
      <c r="Q451">
        <f>Input!R539</f>
        <v>49463.298427475005</v>
      </c>
      <c r="R451">
        <f>Input!S539</f>
        <v>50947.197380299258</v>
      </c>
      <c r="S451">
        <f>Input!T539</f>
        <v>52475.613301708239</v>
      </c>
      <c r="T451">
        <f>Input!U539</f>
        <v>54049.881700759484</v>
      </c>
      <c r="U451">
        <f>Input!V539</f>
        <v>55671.378151782272</v>
      </c>
      <c r="V451">
        <f>Input!W539</f>
        <v>57341.519496335743</v>
      </c>
    </row>
    <row r="452" spans="2:22">
      <c r="B452" s="28" t="s">
        <v>9</v>
      </c>
      <c r="C452" s="28"/>
      <c r="D452" s="28"/>
      <c r="E452" s="28"/>
      <c r="F452" s="28"/>
      <c r="G452" s="28"/>
      <c r="H452" s="28"/>
      <c r="I452" s="48">
        <f>SUM(J452:V452)</f>
        <v>706.44361520747429</v>
      </c>
      <c r="J452" s="28">
        <f>SUM(J449:J450)*J451/Billion</f>
        <v>22.243500000000001</v>
      </c>
      <c r="K452" s="28">
        <f t="shared" ref="K452:V452" si="150">SUM(K449:K450)*K451/Billion</f>
        <v>22.910805</v>
      </c>
      <c r="L452" s="28">
        <f t="shared" si="150"/>
        <v>34.967927062500003</v>
      </c>
      <c r="M452" s="28">
        <f t="shared" si="150"/>
        <v>44.806464874375003</v>
      </c>
      <c r="N452" s="28">
        <f t="shared" si="150"/>
        <v>49.526879285224446</v>
      </c>
      <c r="O452" s="28">
        <f t="shared" si="150"/>
        <v>54.52458210056961</v>
      </c>
      <c r="P452" s="28">
        <f t="shared" si="150"/>
        <v>59.814056563626792</v>
      </c>
      <c r="Q452" s="28">
        <f t="shared" si="150"/>
        <v>65.410532896236944</v>
      </c>
      <c r="R452" s="28">
        <f t="shared" si="150"/>
        <v>71.330027850069158</v>
      </c>
      <c r="S452" s="28">
        <f t="shared" si="150"/>
        <v>77.589386431650709</v>
      </c>
      <c r="T452" s="28">
        <f t="shared" si="150"/>
        <v>84.206325924864828</v>
      </c>
      <c r="U452" s="28">
        <f t="shared" si="150"/>
        <v>57.796655450704442</v>
      </c>
      <c r="V452" s="28">
        <f t="shared" si="150"/>
        <v>61.316471767652352</v>
      </c>
    </row>
    <row r="453" spans="2:22">
      <c r="G453"/>
      <c r="I453" s="21"/>
      <c r="K453" s="21"/>
      <c r="L453" s="21"/>
      <c r="M453" s="21"/>
      <c r="N453" s="21"/>
    </row>
    <row r="454" spans="2:22">
      <c r="B454" t="s">
        <v>471</v>
      </c>
      <c r="G454"/>
      <c r="I454" s="21"/>
      <c r="J454">
        <f>SUM(J449:J450)</f>
        <v>750000</v>
      </c>
      <c r="K454">
        <f t="shared" ref="K454:V454" si="151">SUM(K449:K450)</f>
        <v>772500</v>
      </c>
      <c r="L454">
        <f t="shared" si="151"/>
        <v>795675</v>
      </c>
      <c r="M454">
        <f t="shared" si="151"/>
        <v>1019545.25</v>
      </c>
      <c r="N454">
        <f t="shared" si="151"/>
        <v>1094131.6075000002</v>
      </c>
      <c r="O454">
        <f t="shared" si="151"/>
        <v>1169455.5557250001</v>
      </c>
      <c r="P454">
        <f t="shared" si="151"/>
        <v>1245539.22239675</v>
      </c>
      <c r="Q454">
        <f t="shared" si="151"/>
        <v>1322405.3990686527</v>
      </c>
      <c r="R454">
        <f t="shared" si="151"/>
        <v>1400077.5610407123</v>
      </c>
      <c r="S454">
        <f t="shared" si="151"/>
        <v>1478579.8878719336</v>
      </c>
      <c r="T454">
        <f t="shared" si="151"/>
        <v>1557937.2845080916</v>
      </c>
      <c r="U454">
        <f t="shared" si="151"/>
        <v>1038175.4030433345</v>
      </c>
      <c r="V454">
        <f t="shared" si="151"/>
        <v>1069320.6651346346</v>
      </c>
    </row>
    <row r="455" spans="2:22">
      <c r="G455"/>
      <c r="I455" s="21"/>
      <c r="K455" s="21"/>
      <c r="L455" s="21"/>
      <c r="M455" s="21"/>
      <c r="N455" s="21"/>
    </row>
    <row r="456" spans="2:22" ht="15.75">
      <c r="B456" s="15" t="s">
        <v>526</v>
      </c>
      <c r="G456"/>
      <c r="I456" s="21"/>
      <c r="J456">
        <f>SUM(J477,J482,J488,J494,J500,J506,J512,J518,J523,J529,J535)</f>
        <v>8.0261410826860775</v>
      </c>
      <c r="K456">
        <f t="shared" ref="K456:V456" si="152">SUM(K477,K482,K488,K494,K500,K506,K512,K518,K523,K529,K535)</f>
        <v>8.3557264915943001</v>
      </c>
      <c r="L456">
        <f t="shared" si="152"/>
        <v>9.4119430636882591</v>
      </c>
      <c r="M456">
        <f t="shared" si="152"/>
        <v>10.561176925417943</v>
      </c>
      <c r="N456">
        <f t="shared" si="152"/>
        <v>11.206909748880113</v>
      </c>
      <c r="O456">
        <f t="shared" si="152"/>
        <v>11.88586605478376</v>
      </c>
      <c r="P456">
        <f t="shared" si="152"/>
        <v>12.599669717917289</v>
      </c>
      <c r="Q456">
        <f t="shared" si="152"/>
        <v>13.350024865096492</v>
      </c>
      <c r="R456">
        <f t="shared" si="152"/>
        <v>14.138720000852699</v>
      </c>
      <c r="S456">
        <f t="shared" si="152"/>
        <v>14.967632355585613</v>
      </c>
      <c r="T456">
        <f t="shared" si="152"/>
        <v>15.838732468706866</v>
      </c>
      <c r="U456">
        <f t="shared" si="152"/>
        <v>13.668153307503623</v>
      </c>
      <c r="V456">
        <f t="shared" si="152"/>
        <v>14.271116133757836</v>
      </c>
    </row>
    <row r="457" spans="2:22">
      <c r="B457" s="2" t="s">
        <v>555</v>
      </c>
      <c r="G457"/>
      <c r="I457" s="22"/>
    </row>
    <row r="458" spans="2:22">
      <c r="B458" s="407" t="s">
        <v>475</v>
      </c>
      <c r="F458" s="30">
        <f>Input!J442</f>
        <v>0</v>
      </c>
      <c r="G458" s="17" t="s">
        <v>315</v>
      </c>
      <c r="J458">
        <f>Input!K546</f>
        <v>5.2339742134300007</v>
      </c>
      <c r="K458">
        <f>Input!L546</f>
        <v>5.2339742134300007</v>
      </c>
      <c r="L458">
        <f>Input!M546</f>
        <v>2.6169871067150003</v>
      </c>
      <c r="M458">
        <f>Input!N546</f>
        <v>0</v>
      </c>
      <c r="N458">
        <f>Input!O546</f>
        <v>0</v>
      </c>
      <c r="O458">
        <f>Input!P546</f>
        <v>0</v>
      </c>
      <c r="P458">
        <f>Input!Q546</f>
        <v>0</v>
      </c>
      <c r="Q458">
        <f>Input!R546</f>
        <v>0</v>
      </c>
      <c r="R458">
        <f>Input!S546</f>
        <v>0</v>
      </c>
      <c r="S458">
        <f>Input!T546</f>
        <v>0</v>
      </c>
      <c r="T458">
        <f>Input!U546</f>
        <v>0</v>
      </c>
      <c r="U458">
        <f>Input!V546</f>
        <v>0</v>
      </c>
      <c r="V458">
        <f>Input!W546</f>
        <v>0</v>
      </c>
    </row>
    <row r="459" spans="2:22">
      <c r="B459" s="407" t="s">
        <v>58</v>
      </c>
      <c r="G459" s="17" t="s">
        <v>315</v>
      </c>
      <c r="J459">
        <f>Input!K437</f>
        <v>0</v>
      </c>
      <c r="K459">
        <f>Input!L437</f>
        <v>0</v>
      </c>
      <c r="L459">
        <f>Input!M437</f>
        <v>0</v>
      </c>
      <c r="M459">
        <f>Input!N437</f>
        <v>0</v>
      </c>
      <c r="N459">
        <f>Input!O437</f>
        <v>0</v>
      </c>
      <c r="O459">
        <f>Input!P437</f>
        <v>0</v>
      </c>
      <c r="P459">
        <f>Input!Q437</f>
        <v>0</v>
      </c>
      <c r="Q459">
        <f>Input!R437</f>
        <v>0</v>
      </c>
      <c r="R459">
        <f>Input!S437</f>
        <v>0</v>
      </c>
      <c r="S459">
        <f>Input!T437</f>
        <v>0</v>
      </c>
      <c r="T459">
        <f>Input!U437</f>
        <v>0</v>
      </c>
      <c r="U459">
        <f>Input!V437</f>
        <v>0</v>
      </c>
      <c r="V459">
        <f>Input!W437</f>
        <v>0</v>
      </c>
    </row>
    <row r="460" spans="2:22">
      <c r="B460" s="28" t="s">
        <v>476</v>
      </c>
      <c r="C460" s="28"/>
      <c r="D460" s="28"/>
      <c r="E460" s="28"/>
      <c r="F460" s="28"/>
      <c r="G460" s="28"/>
      <c r="H460" s="28"/>
      <c r="I460" s="49">
        <f>SUM(J460:V460)</f>
        <v>13.084935533575003</v>
      </c>
      <c r="J460" s="47">
        <f>SUM(J458:J459)</f>
        <v>5.2339742134300007</v>
      </c>
      <c r="K460" s="47">
        <f t="shared" ref="K460:V460" si="153">SUM(K458:K459)</f>
        <v>5.2339742134300007</v>
      </c>
      <c r="L460" s="47">
        <f t="shared" si="153"/>
        <v>2.6169871067150003</v>
      </c>
      <c r="M460" s="47">
        <f t="shared" si="153"/>
        <v>0</v>
      </c>
      <c r="N460" s="47">
        <f t="shared" si="153"/>
        <v>0</v>
      </c>
      <c r="O460" s="47">
        <f t="shared" si="153"/>
        <v>0</v>
      </c>
      <c r="P460" s="47">
        <f t="shared" si="153"/>
        <v>0</v>
      </c>
      <c r="Q460" s="47">
        <f t="shared" si="153"/>
        <v>0</v>
      </c>
      <c r="R460" s="47">
        <f t="shared" si="153"/>
        <v>0</v>
      </c>
      <c r="S460" s="47">
        <f t="shared" si="153"/>
        <v>0</v>
      </c>
      <c r="T460" s="47">
        <f t="shared" si="153"/>
        <v>0</v>
      </c>
      <c r="U460" s="47">
        <f t="shared" si="153"/>
        <v>0</v>
      </c>
      <c r="V460" s="47">
        <f t="shared" si="153"/>
        <v>0</v>
      </c>
    </row>
    <row r="461" spans="2:22">
      <c r="G461"/>
    </row>
    <row r="462" spans="2:22">
      <c r="B462" s="2" t="s">
        <v>556</v>
      </c>
      <c r="E462" s="58" t="s">
        <v>514</v>
      </c>
      <c r="F462" s="58" t="s">
        <v>515</v>
      </c>
      <c r="G462"/>
      <c r="I462" s="22"/>
    </row>
    <row r="463" spans="2:22">
      <c r="B463" s="407" t="s">
        <v>516</v>
      </c>
      <c r="E463" s="16">
        <f>Input!J559</f>
        <v>20</v>
      </c>
      <c r="F463" s="30">
        <f>SUM(Input!K551:N551)</f>
        <v>14.024592683676605</v>
      </c>
      <c r="G463" s="17" t="s">
        <v>176</v>
      </c>
    </row>
    <row r="464" spans="2:22">
      <c r="B464" s="407" t="s">
        <v>517</v>
      </c>
      <c r="F464" s="73">
        <f>Input!J556</f>
        <v>0.9</v>
      </c>
      <c r="G464" s="17" t="s">
        <v>315</v>
      </c>
    </row>
    <row r="465" spans="2:22">
      <c r="B465" s="28" t="s">
        <v>476</v>
      </c>
      <c r="C465" s="28"/>
      <c r="D465" s="28"/>
      <c r="E465" s="28"/>
      <c r="F465" s="28"/>
      <c r="G465" s="28"/>
      <c r="H465" s="28"/>
      <c r="I465" s="49">
        <f>SUM(J465:V465)</f>
        <v>112.91444999999999</v>
      </c>
      <c r="J465" s="47">
        <f t="shared" ref="J465:V465" si="154">($F463*$F464*Million)/$E463*USD_IDR/Billion*J$282*J445</f>
        <v>0</v>
      </c>
      <c r="K465" s="47">
        <f t="shared" si="154"/>
        <v>0</v>
      </c>
      <c r="L465" s="47">
        <f t="shared" si="154"/>
        <v>10.264949999999999</v>
      </c>
      <c r="M465" s="47">
        <f t="shared" si="154"/>
        <v>10.264949999999999</v>
      </c>
      <c r="N465" s="47">
        <f t="shared" si="154"/>
        <v>10.264949999999999</v>
      </c>
      <c r="O465" s="47">
        <f t="shared" si="154"/>
        <v>10.264949999999999</v>
      </c>
      <c r="P465" s="47">
        <f t="shared" si="154"/>
        <v>10.264949999999999</v>
      </c>
      <c r="Q465" s="47">
        <f t="shared" si="154"/>
        <v>10.264949999999999</v>
      </c>
      <c r="R465" s="47">
        <f t="shared" si="154"/>
        <v>10.264949999999999</v>
      </c>
      <c r="S465" s="47">
        <f t="shared" si="154"/>
        <v>10.264949999999999</v>
      </c>
      <c r="T465" s="47">
        <f t="shared" si="154"/>
        <v>10.264949999999999</v>
      </c>
      <c r="U465" s="47">
        <f t="shared" si="154"/>
        <v>10.264949999999999</v>
      </c>
      <c r="V465" s="47">
        <f t="shared" si="154"/>
        <v>10.264949999999999</v>
      </c>
    </row>
    <row r="466" spans="2:22">
      <c r="G466"/>
    </row>
    <row r="467" spans="2:22">
      <c r="B467" s="2" t="s">
        <v>557</v>
      </c>
      <c r="E467" s="58" t="s">
        <v>514</v>
      </c>
      <c r="F467" s="58" t="s">
        <v>515</v>
      </c>
      <c r="G467"/>
      <c r="I467" s="22"/>
    </row>
    <row r="468" spans="2:22">
      <c r="B468" s="407" t="s">
        <v>516</v>
      </c>
      <c r="E468" s="16">
        <f>Input!J560</f>
        <v>8</v>
      </c>
      <c r="F468" s="30">
        <f>F463</f>
        <v>14.024592683676605</v>
      </c>
      <c r="G468" s="17" t="s">
        <v>315</v>
      </c>
    </row>
    <row r="469" spans="2:22">
      <c r="B469" s="407" t="s">
        <v>517</v>
      </c>
      <c r="F469" s="73">
        <f>Input!J557</f>
        <v>9.9999999999999978E-2</v>
      </c>
      <c r="G469" s="17" t="s">
        <v>315</v>
      </c>
    </row>
    <row r="470" spans="2:22">
      <c r="B470" s="28" t="s">
        <v>476</v>
      </c>
      <c r="C470" s="28"/>
      <c r="D470" s="28"/>
      <c r="E470" s="28"/>
      <c r="F470" s="28"/>
      <c r="G470" s="28"/>
      <c r="H470" s="28"/>
      <c r="I470" s="49">
        <f>SUM(J470:V470)</f>
        <v>31.365124999999985</v>
      </c>
      <c r="J470" s="47">
        <f t="shared" ref="J470:V470" si="155">($F468*$F469*Million)/$E468*USD_IDR/Billion*J$282*J445</f>
        <v>0</v>
      </c>
      <c r="K470" s="47">
        <f t="shared" si="155"/>
        <v>0</v>
      </c>
      <c r="L470" s="47">
        <f t="shared" si="155"/>
        <v>2.8513749999999991</v>
      </c>
      <c r="M470" s="47">
        <f t="shared" si="155"/>
        <v>2.8513749999999991</v>
      </c>
      <c r="N470" s="47">
        <f t="shared" si="155"/>
        <v>2.8513749999999991</v>
      </c>
      <c r="O470" s="47">
        <f t="shared" si="155"/>
        <v>2.8513749999999991</v>
      </c>
      <c r="P470" s="47">
        <f t="shared" si="155"/>
        <v>2.8513749999999991</v>
      </c>
      <c r="Q470" s="47">
        <f t="shared" si="155"/>
        <v>2.8513749999999991</v>
      </c>
      <c r="R470" s="47">
        <f t="shared" si="155"/>
        <v>2.8513749999999991</v>
      </c>
      <c r="S470" s="47">
        <f t="shared" si="155"/>
        <v>2.8513749999999991</v>
      </c>
      <c r="T470" s="47">
        <f t="shared" si="155"/>
        <v>2.8513749999999991</v>
      </c>
      <c r="U470" s="47">
        <f t="shared" si="155"/>
        <v>2.8513749999999991</v>
      </c>
      <c r="V470" s="47">
        <f t="shared" si="155"/>
        <v>2.8513749999999991</v>
      </c>
    </row>
    <row r="471" spans="2:22">
      <c r="G471"/>
    </row>
    <row r="472" spans="2:22">
      <c r="B472" t="s">
        <v>558</v>
      </c>
      <c r="G472"/>
      <c r="J472">
        <f>SUM(J470,J465,J460)</f>
        <v>5.2339742134300007</v>
      </c>
      <c r="K472">
        <f t="shared" ref="K472:V472" si="156">SUM(K470,K465,K460)</f>
        <v>5.2339742134300007</v>
      </c>
      <c r="L472">
        <f t="shared" si="156"/>
        <v>15.733312106714997</v>
      </c>
      <c r="M472">
        <f t="shared" si="156"/>
        <v>13.116324999999998</v>
      </c>
      <c r="N472">
        <f t="shared" si="156"/>
        <v>13.116324999999998</v>
      </c>
      <c r="O472">
        <f t="shared" si="156"/>
        <v>13.116324999999998</v>
      </c>
      <c r="P472">
        <f t="shared" si="156"/>
        <v>13.116324999999998</v>
      </c>
      <c r="Q472">
        <f t="shared" si="156"/>
        <v>13.116324999999998</v>
      </c>
      <c r="R472">
        <f t="shared" si="156"/>
        <v>13.116324999999998</v>
      </c>
      <c r="S472">
        <f t="shared" si="156"/>
        <v>13.116324999999998</v>
      </c>
      <c r="T472">
        <f t="shared" si="156"/>
        <v>13.116324999999998</v>
      </c>
      <c r="U472">
        <f t="shared" si="156"/>
        <v>13.116324999999998</v>
      </c>
      <c r="V472">
        <f t="shared" si="156"/>
        <v>13.116324999999998</v>
      </c>
    </row>
    <row r="473" spans="2:22">
      <c r="G473"/>
    </row>
    <row r="474" spans="2:22">
      <c r="B474" s="2" t="s">
        <v>559</v>
      </c>
      <c r="G474"/>
    </row>
    <row r="475" spans="2:22">
      <c r="B475" s="407" t="s">
        <v>478</v>
      </c>
      <c r="G475"/>
      <c r="I475" s="13">
        <v>1</v>
      </c>
      <c r="J475" s="71">
        <f>I475*(1+Input!K563)*J$12</f>
        <v>1.0349999999999999</v>
      </c>
      <c r="K475" s="13">
        <f>J475*(1+Input!L563)*K$12</f>
        <v>1.0712249999999999</v>
      </c>
      <c r="L475" s="13">
        <f>K475*(1+Input!M563)*L$12</f>
        <v>1.1087178749999997</v>
      </c>
      <c r="M475" s="13">
        <f>L475*(1+Input!N563)*M$12</f>
        <v>1.1475230006249997</v>
      </c>
      <c r="N475" s="13">
        <f>M475*(1+Input!O563)*N$12</f>
        <v>1.1876863056468745</v>
      </c>
      <c r="O475" s="13">
        <f>N475*(1+Input!P563)*O$12</f>
        <v>1.229255326344515</v>
      </c>
      <c r="P475" s="13">
        <f>O475*(1+Input!Q563)*P$12</f>
        <v>1.2722792627665729</v>
      </c>
      <c r="Q475" s="13">
        <f>P475*(1+Input!R563)*Q$12</f>
        <v>1.3168090369634029</v>
      </c>
      <c r="R475" s="13">
        <f>Q475*(1+Input!S563)*R$12</f>
        <v>1.3628973532571218</v>
      </c>
      <c r="S475" s="13">
        <f>R475*(1+Input!T563)*S$12</f>
        <v>1.410598760621121</v>
      </c>
      <c r="T475" s="13">
        <f>S475*(1+Input!U563)*T$12</f>
        <v>1.4599697172428601</v>
      </c>
      <c r="U475" s="13">
        <f>T475*(1+Input!V563)*U$12</f>
        <v>1.5110686573463601</v>
      </c>
      <c r="V475" s="13">
        <f>U475*(1+Input!W563)*V$12</f>
        <v>1.5639560603534826</v>
      </c>
    </row>
    <row r="476" spans="2:22">
      <c r="B476" t="s">
        <v>479</v>
      </c>
      <c r="F476" s="19">
        <f>Input!J568</f>
        <v>3.2796205180000002</v>
      </c>
      <c r="G476" s="17" t="s">
        <v>315</v>
      </c>
    </row>
    <row r="477" spans="2:22">
      <c r="B477" s="28" t="s">
        <v>480</v>
      </c>
      <c r="C477" s="28"/>
      <c r="D477" s="28"/>
      <c r="E477" s="28"/>
      <c r="F477" s="28"/>
      <c r="G477" s="28"/>
      <c r="H477" s="28"/>
      <c r="I477" s="28"/>
      <c r="J477" s="47">
        <f>$F476*J475</f>
        <v>3.3944072361300002</v>
      </c>
      <c r="K477" s="47">
        <f t="shared" ref="K477:V477" si="157">$F476*K475</f>
        <v>3.5132114893945499</v>
      </c>
      <c r="L477" s="47">
        <f t="shared" si="157"/>
        <v>3.6361738915233586</v>
      </c>
      <c r="M477" s="47">
        <f t="shared" si="157"/>
        <v>3.763439977726676</v>
      </c>
      <c r="N477" s="47">
        <f t="shared" si="157"/>
        <v>3.8951603769471093</v>
      </c>
      <c r="O477" s="47">
        <f t="shared" si="157"/>
        <v>4.0314909901402576</v>
      </c>
      <c r="P477" s="47">
        <f t="shared" si="157"/>
        <v>4.1725931747951659</v>
      </c>
      <c r="Q477" s="47">
        <f t="shared" si="157"/>
        <v>4.318633935912997</v>
      </c>
      <c r="R477" s="47">
        <f t="shared" si="157"/>
        <v>4.4697861236699508</v>
      </c>
      <c r="S477" s="47">
        <f t="shared" si="157"/>
        <v>4.6262286379983992</v>
      </c>
      <c r="T477" s="47">
        <f t="shared" si="157"/>
        <v>4.7881466403283426</v>
      </c>
      <c r="U477" s="47">
        <f t="shared" si="157"/>
        <v>4.955731772739834</v>
      </c>
      <c r="V477" s="47">
        <f t="shared" si="157"/>
        <v>5.1291823847857279</v>
      </c>
    </row>
    <row r="478" spans="2:22">
      <c r="G478"/>
    </row>
    <row r="479" spans="2:22">
      <c r="B479" s="2" t="s">
        <v>527</v>
      </c>
      <c r="G479"/>
    </row>
    <row r="480" spans="2:22">
      <c r="B480" s="407" t="s">
        <v>478</v>
      </c>
      <c r="G480"/>
      <c r="I480" s="13">
        <v>1</v>
      </c>
      <c r="J480" s="13">
        <f>I480*(1+Input!K570)*J$12</f>
        <v>1.0349999999999999</v>
      </c>
      <c r="K480" s="13">
        <f>J480*(1+Input!L570)*K$12</f>
        <v>1.0712249999999999</v>
      </c>
      <c r="L480" s="13">
        <f>K480*(1+Input!M570)*L$12</f>
        <v>1.1087178749999997</v>
      </c>
      <c r="M480" s="13">
        <f>L480*(1+Input!N570)*M$12</f>
        <v>1.1475230006249997</v>
      </c>
      <c r="N480" s="13">
        <f>M480*(1+Input!O570)*N$12</f>
        <v>1.1876863056468745</v>
      </c>
      <c r="O480" s="13">
        <f>N480*(1+Input!P570)*O$12</f>
        <v>1.229255326344515</v>
      </c>
      <c r="P480" s="13">
        <f>O480*(1+Input!Q570)*P$12</f>
        <v>1.2722792627665729</v>
      </c>
      <c r="Q480" s="13">
        <f>P480*(1+Input!R570)*Q$12</f>
        <v>1.3168090369634029</v>
      </c>
      <c r="R480" s="13">
        <f>Q480*(1+Input!S570)*R$12</f>
        <v>1.3628973532571218</v>
      </c>
      <c r="S480" s="13">
        <f>R480*(1+Input!T570)*S$12</f>
        <v>1.410598760621121</v>
      </c>
      <c r="T480" s="13">
        <f>S480*(1+Input!U570)*T$12</f>
        <v>1.4599697172428601</v>
      </c>
      <c r="U480" s="13">
        <f>T480*(1+Input!V570)*U$12</f>
        <v>1.5110686573463601</v>
      </c>
      <c r="V480" s="13">
        <f>U480*(1+Input!W570)*V$12</f>
        <v>1.5639560603534826</v>
      </c>
    </row>
    <row r="481" spans="2:22">
      <c r="B481" t="s">
        <v>479</v>
      </c>
      <c r="F481" s="19">
        <f>Input!J575</f>
        <v>1.9301774279999999</v>
      </c>
      <c r="G481" s="17" t="s">
        <v>315</v>
      </c>
    </row>
    <row r="482" spans="2:22">
      <c r="B482" s="28" t="s">
        <v>480</v>
      </c>
      <c r="C482" s="28"/>
      <c r="D482" s="28"/>
      <c r="E482" s="28"/>
      <c r="F482" s="28"/>
      <c r="G482" s="28"/>
      <c r="H482" s="28"/>
      <c r="I482" s="28"/>
      <c r="J482" s="47">
        <f>$F481*J480</f>
        <v>1.9977336379799997</v>
      </c>
      <c r="K482" s="47">
        <f t="shared" ref="K482:V482" si="158">$F481*K480</f>
        <v>2.0676543153092997</v>
      </c>
      <c r="L482" s="47">
        <f t="shared" si="158"/>
        <v>2.140022216345125</v>
      </c>
      <c r="M482" s="47">
        <f t="shared" si="158"/>
        <v>2.2149229939172042</v>
      </c>
      <c r="N482" s="47">
        <f t="shared" si="158"/>
        <v>2.292445298704306</v>
      </c>
      <c r="O482" s="47">
        <f t="shared" si="158"/>
        <v>2.3726808841589566</v>
      </c>
      <c r="P482" s="47">
        <f t="shared" si="158"/>
        <v>2.4557247151045196</v>
      </c>
      <c r="Q482" s="47">
        <f t="shared" si="158"/>
        <v>2.541675080133178</v>
      </c>
      <c r="R482" s="47">
        <f t="shared" si="158"/>
        <v>2.6306337079378386</v>
      </c>
      <c r="S482" s="47">
        <f t="shared" si="158"/>
        <v>2.7227058877156627</v>
      </c>
      <c r="T482" s="47">
        <f t="shared" si="158"/>
        <v>2.8180005937857109</v>
      </c>
      <c r="U482" s="47">
        <f t="shared" si="158"/>
        <v>2.9166306145682106</v>
      </c>
      <c r="V482" s="47">
        <f t="shared" si="158"/>
        <v>3.0187126860780977</v>
      </c>
    </row>
    <row r="483" spans="2:22">
      <c r="G483"/>
    </row>
    <row r="484" spans="2:22">
      <c r="B484" s="2" t="s">
        <v>560</v>
      </c>
      <c r="G484"/>
    </row>
    <row r="485" spans="2:22">
      <c r="B485" s="407" t="s">
        <v>478</v>
      </c>
      <c r="E485" s="58" t="s">
        <v>482</v>
      </c>
      <c r="F485" s="58" t="s">
        <v>483</v>
      </c>
      <c r="G485"/>
      <c r="I485" s="13">
        <v>1</v>
      </c>
      <c r="J485" s="13">
        <f>I485*(1+Input!K577)*J$12</f>
        <v>1.03</v>
      </c>
      <c r="K485" s="13">
        <f>J485*(1+Input!L577)*K$12</f>
        <v>1.0609</v>
      </c>
      <c r="L485" s="13">
        <f>K485*(1+Input!M577)*L$12</f>
        <v>1.092727</v>
      </c>
      <c r="M485" s="13">
        <f>L485*(1+Input!N577)*M$12</f>
        <v>1.1255088100000001</v>
      </c>
      <c r="N485" s="13">
        <f>M485*(1+Input!O577)*N$12</f>
        <v>1.1592740743000001</v>
      </c>
      <c r="O485" s="13">
        <f>N485*(1+Input!P577)*O$12</f>
        <v>1.1940522965290001</v>
      </c>
      <c r="P485" s="13">
        <f>O485*(1+Input!Q577)*P$12</f>
        <v>1.2298738654248702</v>
      </c>
      <c r="Q485" s="13">
        <f>P485*(1+Input!R577)*Q$12</f>
        <v>1.2667700813876164</v>
      </c>
      <c r="R485" s="13">
        <f>Q485*(1+Input!S577)*R$12</f>
        <v>1.3047731838292449</v>
      </c>
      <c r="S485" s="13">
        <f>R485*(1+Input!T577)*S$12</f>
        <v>1.3439163793441222</v>
      </c>
      <c r="T485" s="13">
        <f>S485*(1+Input!U577)*T$12</f>
        <v>1.3842338707244459</v>
      </c>
      <c r="U485" s="13">
        <f>T485*(1+Input!V577)*U$12</f>
        <v>1.4257608868461793</v>
      </c>
      <c r="V485" s="13">
        <f>U485*(1+Input!W577)*V$12</f>
        <v>1.4685337134515648</v>
      </c>
    </row>
    <row r="486" spans="2:22">
      <c r="B486" s="407" t="s">
        <v>484</v>
      </c>
      <c r="E486" s="19">
        <v>922782</v>
      </c>
      <c r="F486" s="19">
        <f>F487/E486*Billion</f>
        <v>894.79011497840224</v>
      </c>
      <c r="G486" s="17" t="s">
        <v>485</v>
      </c>
      <c r="J486">
        <f>$F486*J485</f>
        <v>921.63381842775436</v>
      </c>
      <c r="K486">
        <f t="shared" ref="K486:V486" si="159">$F486*K485</f>
        <v>949.28283298058693</v>
      </c>
      <c r="L486">
        <f t="shared" si="159"/>
        <v>977.7613179700046</v>
      </c>
      <c r="M486">
        <f t="shared" si="159"/>
        <v>1007.0941575091048</v>
      </c>
      <c r="N486">
        <f t="shared" si="159"/>
        <v>1037.306982234378</v>
      </c>
      <c r="O486">
        <f t="shared" si="159"/>
        <v>1068.4261917014094</v>
      </c>
      <c r="P486">
        <f t="shared" si="159"/>
        <v>1100.4789774524515</v>
      </c>
      <c r="Q486">
        <f t="shared" si="159"/>
        <v>1133.4933467760252</v>
      </c>
      <c r="R486">
        <f t="shared" si="159"/>
        <v>1167.498147179306</v>
      </c>
      <c r="S486">
        <f t="shared" si="159"/>
        <v>1202.5230915946852</v>
      </c>
      <c r="T486">
        <f t="shared" si="159"/>
        <v>1238.5987843425257</v>
      </c>
      <c r="U486">
        <f t="shared" si="159"/>
        <v>1275.7567478728015</v>
      </c>
      <c r="V486">
        <f t="shared" si="159"/>
        <v>1314.0294503089856</v>
      </c>
    </row>
    <row r="487" spans="2:22">
      <c r="B487" s="407" t="s">
        <v>486</v>
      </c>
      <c r="F487" s="19">
        <f>Input!J582</f>
        <v>0.82569621187999998</v>
      </c>
      <c r="G487" s="17" t="s">
        <v>315</v>
      </c>
    </row>
    <row r="488" spans="2:22">
      <c r="B488" s="28" t="s">
        <v>480</v>
      </c>
      <c r="C488" s="28"/>
      <c r="D488" s="28"/>
      <c r="E488" s="28"/>
      <c r="F488" s="28"/>
      <c r="G488" s="28"/>
      <c r="H488" s="28"/>
      <c r="I488" s="28"/>
      <c r="J488" s="47">
        <f>J486*J$454/Billion</f>
        <v>0.69122536382081579</v>
      </c>
      <c r="K488" s="47">
        <f t="shared" ref="K488:V488" si="160">K486*K$454/Billion</f>
        <v>0.73332098847750338</v>
      </c>
      <c r="L488" s="47">
        <f t="shared" si="160"/>
        <v>0.77798023667578342</v>
      </c>
      <c r="M488" s="47">
        <f t="shared" si="160"/>
        <v>1.0267780645911595</v>
      </c>
      <c r="N488" s="47">
        <f t="shared" si="160"/>
        <v>1.134950355943074</v>
      </c>
      <c r="O488" s="47">
        <f t="shared" si="160"/>
        <v>1.2494769457673174</v>
      </c>
      <c r="P488" s="47">
        <f t="shared" si="160"/>
        <v>1.3706897298400973</v>
      </c>
      <c r="Q488" s="47">
        <f t="shared" si="160"/>
        <v>1.4989377215850122</v>
      </c>
      <c r="R488" s="47">
        <f t="shared" si="160"/>
        <v>1.6345879584223533</v>
      </c>
      <c r="S488" s="47">
        <f t="shared" si="160"/>
        <v>1.7780264579334806</v>
      </c>
      <c r="T488" s="47">
        <f t="shared" si="160"/>
        <v>1.9296592266736179</v>
      </c>
      <c r="U488" s="47">
        <f t="shared" si="160"/>
        <v>1.3244592759080993</v>
      </c>
      <c r="V488" s="47">
        <f t="shared" si="160"/>
        <v>1.4051188458109027</v>
      </c>
    </row>
    <row r="489" spans="2:22">
      <c r="G489"/>
    </row>
    <row r="490" spans="2:22">
      <c r="B490" s="2" t="s">
        <v>561</v>
      </c>
      <c r="G490"/>
    </row>
    <row r="491" spans="2:22">
      <c r="B491" s="407" t="s">
        <v>478</v>
      </c>
      <c r="E491" s="58" t="s">
        <v>482</v>
      </c>
      <c r="F491" s="58" t="s">
        <v>483</v>
      </c>
      <c r="G491"/>
      <c r="I491" s="13">
        <v>1</v>
      </c>
      <c r="J491" s="13">
        <f>I491*(1+Input!K584)*J$12</f>
        <v>1.03</v>
      </c>
      <c r="K491" s="13">
        <f>J491*(1+Input!L584)*K$12</f>
        <v>1.0609</v>
      </c>
      <c r="L491" s="13">
        <f>K491*(1+Input!M584)*L$12</f>
        <v>1.092727</v>
      </c>
      <c r="M491" s="13">
        <f>L491*(1+Input!N584)*M$12</f>
        <v>1.1255088100000001</v>
      </c>
      <c r="N491" s="13">
        <f>M491*(1+Input!O584)*N$12</f>
        <v>1.1592740743000001</v>
      </c>
      <c r="O491" s="13">
        <f>N491*(1+Input!P584)*O$12</f>
        <v>1.1940522965290001</v>
      </c>
      <c r="P491" s="13">
        <f>O491*(1+Input!Q584)*P$12</f>
        <v>1.2298738654248702</v>
      </c>
      <c r="Q491" s="13">
        <f>P491*(1+Input!R584)*Q$12</f>
        <v>1.2667700813876164</v>
      </c>
      <c r="R491" s="13">
        <f>Q491*(1+Input!S584)*R$12</f>
        <v>1.3047731838292449</v>
      </c>
      <c r="S491" s="13">
        <f>R491*(1+Input!T584)*S$12</f>
        <v>1.3439163793441222</v>
      </c>
      <c r="T491" s="13">
        <f>S491*(1+Input!U584)*T$12</f>
        <v>1.3842338707244459</v>
      </c>
      <c r="U491" s="13">
        <f>T491*(1+Input!V584)*U$12</f>
        <v>1.4257608868461793</v>
      </c>
      <c r="V491" s="13">
        <f>U491*(1+Input!W584)*V$12</f>
        <v>1.4685337134515648</v>
      </c>
    </row>
    <row r="492" spans="2:22">
      <c r="B492" s="407" t="s">
        <v>484</v>
      </c>
      <c r="E492" s="19">
        <v>922782</v>
      </c>
      <c r="F492" s="19">
        <f>F493/E492*Billion</f>
        <v>683.82504318463089</v>
      </c>
      <c r="G492" s="17" t="s">
        <v>485</v>
      </c>
      <c r="J492">
        <f>$F492*J491</f>
        <v>704.33979448016987</v>
      </c>
      <c r="K492">
        <f t="shared" ref="K492:V492" si="161">$F492*K491</f>
        <v>725.46998831457483</v>
      </c>
      <c r="L492">
        <f t="shared" si="161"/>
        <v>747.23408796401213</v>
      </c>
      <c r="M492">
        <f t="shared" si="161"/>
        <v>769.65111060293259</v>
      </c>
      <c r="N492">
        <f t="shared" si="161"/>
        <v>792.74064392102059</v>
      </c>
      <c r="O492">
        <f t="shared" si="161"/>
        <v>816.52286323865121</v>
      </c>
      <c r="P492">
        <f t="shared" si="161"/>
        <v>841.01854913581076</v>
      </c>
      <c r="Q492">
        <f t="shared" si="161"/>
        <v>866.24910560988519</v>
      </c>
      <c r="R492">
        <f t="shared" si="161"/>
        <v>892.23657877818175</v>
      </c>
      <c r="S492">
        <f t="shared" si="161"/>
        <v>919.00367614152719</v>
      </c>
      <c r="T492">
        <f t="shared" si="161"/>
        <v>946.57378642577305</v>
      </c>
      <c r="U492">
        <f t="shared" si="161"/>
        <v>974.97100001854619</v>
      </c>
      <c r="V492">
        <f t="shared" si="161"/>
        <v>1004.2201300191026</v>
      </c>
    </row>
    <row r="493" spans="2:22">
      <c r="B493" s="407" t="s">
        <v>486</v>
      </c>
      <c r="F493" s="19">
        <f>Input!J589</f>
        <v>0.63102144100000002</v>
      </c>
      <c r="G493" s="17" t="s">
        <v>315</v>
      </c>
    </row>
    <row r="494" spans="2:22">
      <c r="B494" s="28" t="s">
        <v>480</v>
      </c>
      <c r="C494" s="28"/>
      <c r="D494" s="28"/>
      <c r="E494" s="28"/>
      <c r="F494" s="28"/>
      <c r="G494" s="28"/>
      <c r="H494" s="28"/>
      <c r="I494" s="28"/>
      <c r="J494" s="47">
        <f>J492*J$454/Billion</f>
        <v>0.52825484586012739</v>
      </c>
      <c r="K494" s="47">
        <f t="shared" ref="K494:V494" si="162">K492*K$454/Billion</f>
        <v>0.56042556597300908</v>
      </c>
      <c r="L494" s="47">
        <f t="shared" si="162"/>
        <v>0.59455548294076543</v>
      </c>
      <c r="M494" s="47">
        <f t="shared" si="162"/>
        <v>0.78469413397244459</v>
      </c>
      <c r="N494" s="47">
        <f t="shared" si="162"/>
        <v>0.86736259506389157</v>
      </c>
      <c r="O494" s="47">
        <f t="shared" si="162"/>
        <v>0.9548871987909251</v>
      </c>
      <c r="P494" s="47">
        <f t="shared" si="162"/>
        <v>1.0475215897118606</v>
      </c>
      <c r="Q494" s="47">
        <f t="shared" si="162"/>
        <v>1.1455324941969036</v>
      </c>
      <c r="R494" s="47">
        <f t="shared" si="162"/>
        <v>1.2492004130870662</v>
      </c>
      <c r="S494" s="47">
        <f t="shared" si="162"/>
        <v>1.3588203524232341</v>
      </c>
      <c r="T494" s="47">
        <f t="shared" si="162"/>
        <v>1.4747025944107111</v>
      </c>
      <c r="U494" s="47">
        <f t="shared" si="162"/>
        <v>1.0121909108998171</v>
      </c>
      <c r="V494" s="47">
        <f t="shared" si="162"/>
        <v>1.073833337373616</v>
      </c>
    </row>
    <row r="495" spans="2:22">
      <c r="G495"/>
    </row>
    <row r="496" spans="2:22">
      <c r="B496" s="2" t="s">
        <v>562</v>
      </c>
      <c r="G496"/>
    </row>
    <row r="497" spans="2:22">
      <c r="B497" s="407" t="s">
        <v>478</v>
      </c>
      <c r="G497"/>
      <c r="I497" s="13">
        <v>1</v>
      </c>
      <c r="J497" s="13">
        <f>I497*(1+Input!K591)*J$12</f>
        <v>1.0249999999999999</v>
      </c>
      <c r="K497" s="13">
        <f>J497*(1+Input!L591)*K$12</f>
        <v>1.0506249999999999</v>
      </c>
      <c r="L497" s="13">
        <f>K497*(1+Input!M591)*L$12</f>
        <v>1.0768906249999999</v>
      </c>
      <c r="M497" s="13">
        <f>L497*(1+Input!N591)*M$12</f>
        <v>1.1038128906249998</v>
      </c>
      <c r="N497" s="13">
        <f>M497*(1+Input!O591)*N$12</f>
        <v>1.1314082128906247</v>
      </c>
      <c r="O497" s="13">
        <f>N497*(1+Input!P591)*O$12</f>
        <v>1.1596934182128902</v>
      </c>
      <c r="P497" s="13">
        <f>O497*(1+Input!Q591)*P$12</f>
        <v>1.1886857536682123</v>
      </c>
      <c r="Q497" s="13">
        <f>P497*(1+Input!R591)*Q$12</f>
        <v>1.2184028975099175</v>
      </c>
      <c r="R497" s="13">
        <f>Q497*(1+Input!S591)*R$12</f>
        <v>1.2488629699476652</v>
      </c>
      <c r="S497" s="13">
        <f>R497*(1+Input!T591)*S$12</f>
        <v>1.2800845441963566</v>
      </c>
      <c r="T497" s="13">
        <f>S497*(1+Input!U591)*T$12</f>
        <v>1.3120866578012655</v>
      </c>
      <c r="U497" s="13">
        <f>T497*(1+Input!V591)*U$12</f>
        <v>1.3448888242462971</v>
      </c>
      <c r="V497" s="13">
        <f>U497*(1+Input!W591)*V$12</f>
        <v>1.3785110448524545</v>
      </c>
    </row>
    <row r="498" spans="2:22">
      <c r="B498" s="407" t="s">
        <v>484</v>
      </c>
      <c r="G498" s="17" t="s">
        <v>485</v>
      </c>
      <c r="J498">
        <f>J452</f>
        <v>22.243500000000001</v>
      </c>
      <c r="K498">
        <f t="shared" ref="K498:V498" si="163">K452</f>
        <v>22.910805</v>
      </c>
      <c r="L498">
        <f t="shared" si="163"/>
        <v>34.967927062500003</v>
      </c>
      <c r="M498">
        <f t="shared" si="163"/>
        <v>44.806464874375003</v>
      </c>
      <c r="N498">
        <f t="shared" si="163"/>
        <v>49.526879285224446</v>
      </c>
      <c r="O498">
        <f t="shared" si="163"/>
        <v>54.52458210056961</v>
      </c>
      <c r="P498">
        <f t="shared" si="163"/>
        <v>59.814056563626792</v>
      </c>
      <c r="Q498">
        <f t="shared" si="163"/>
        <v>65.410532896236944</v>
      </c>
      <c r="R498">
        <f t="shared" si="163"/>
        <v>71.330027850069158</v>
      </c>
      <c r="S498">
        <f t="shared" si="163"/>
        <v>77.589386431650709</v>
      </c>
      <c r="T498">
        <f t="shared" si="163"/>
        <v>84.206325924864828</v>
      </c>
      <c r="U498">
        <f t="shared" si="163"/>
        <v>57.796655450704442</v>
      </c>
      <c r="V498">
        <f t="shared" si="163"/>
        <v>61.316471767652352</v>
      </c>
    </row>
    <row r="499" spans="2:22">
      <c r="B499" s="407" t="s">
        <v>563</v>
      </c>
      <c r="F499" s="19">
        <f>Input!J596</f>
        <v>0.55135566199999997</v>
      </c>
      <c r="G499" s="17" t="s">
        <v>315</v>
      </c>
      <c r="J499" s="21">
        <f>Input!K591</f>
        <v>2.5000000000000001E-2</v>
      </c>
      <c r="K499" s="21">
        <f>Input!L591</f>
        <v>2.5000000000000001E-2</v>
      </c>
      <c r="L499" s="21">
        <f>Input!M591</f>
        <v>2.5000000000000001E-2</v>
      </c>
      <c r="M499" s="21">
        <f>Input!N591</f>
        <v>2.5000000000000001E-2</v>
      </c>
      <c r="N499" s="21">
        <f>Input!O591</f>
        <v>2.5000000000000001E-2</v>
      </c>
      <c r="O499" s="21">
        <f>Input!P591</f>
        <v>2.5000000000000001E-2</v>
      </c>
      <c r="P499" s="21">
        <f>Input!Q591</f>
        <v>2.5000000000000001E-2</v>
      </c>
      <c r="Q499" s="21">
        <f>Input!R591</f>
        <v>2.5000000000000001E-2</v>
      </c>
      <c r="R499" s="21">
        <f>Input!S591</f>
        <v>2.5000000000000001E-2</v>
      </c>
      <c r="S499" s="21">
        <f>Input!T591</f>
        <v>2.5000000000000001E-2</v>
      </c>
      <c r="T499" s="21">
        <f>Input!U591</f>
        <v>2.5000000000000001E-2</v>
      </c>
      <c r="U499" s="21">
        <f>Input!V591</f>
        <v>2.5000000000000001E-2</v>
      </c>
      <c r="V499" s="21">
        <f>Input!W591</f>
        <v>2.5000000000000001E-2</v>
      </c>
    </row>
    <row r="500" spans="2:22">
      <c r="B500" s="28" t="s">
        <v>480</v>
      </c>
      <c r="C500" s="28"/>
      <c r="D500" s="28"/>
      <c r="E500" s="28"/>
      <c r="F500" s="28"/>
      <c r="G500" s="28"/>
      <c r="H500" s="28"/>
      <c r="I500" s="28"/>
      <c r="J500" s="47">
        <f>J498*J499</f>
        <v>0.55608750000000007</v>
      </c>
      <c r="K500" s="47">
        <f t="shared" ref="K500:V500" si="164">K498*K499</f>
        <v>0.57277012500000002</v>
      </c>
      <c r="L500" s="47">
        <f t="shared" si="164"/>
        <v>0.8741981765625001</v>
      </c>
      <c r="M500" s="47">
        <f t="shared" si="164"/>
        <v>1.1201616218593751</v>
      </c>
      <c r="N500" s="47">
        <f t="shared" si="164"/>
        <v>1.2381719821306112</v>
      </c>
      <c r="O500" s="47">
        <f t="shared" si="164"/>
        <v>1.3631145525142403</v>
      </c>
      <c r="P500" s="47">
        <f t="shared" si="164"/>
        <v>1.4953514140906699</v>
      </c>
      <c r="Q500" s="47">
        <f t="shared" si="164"/>
        <v>1.6352633224059236</v>
      </c>
      <c r="R500" s="47">
        <f t="shared" si="164"/>
        <v>1.7832506962517289</v>
      </c>
      <c r="S500" s="47">
        <f t="shared" si="164"/>
        <v>1.9397346607912678</v>
      </c>
      <c r="T500" s="47">
        <f t="shared" si="164"/>
        <v>2.1051581481216206</v>
      </c>
      <c r="U500" s="47">
        <f t="shared" si="164"/>
        <v>1.4449163862676111</v>
      </c>
      <c r="V500" s="47">
        <f t="shared" si="164"/>
        <v>1.5329117941913089</v>
      </c>
    </row>
    <row r="501" spans="2:22">
      <c r="G501"/>
    </row>
    <row r="502" spans="2:22">
      <c r="B502" s="2" t="s">
        <v>531</v>
      </c>
      <c r="G502"/>
    </row>
    <row r="503" spans="2:22">
      <c r="B503" s="407" t="s">
        <v>478</v>
      </c>
      <c r="E503" s="58" t="s">
        <v>482</v>
      </c>
      <c r="F503" s="58" t="s">
        <v>483</v>
      </c>
      <c r="G503"/>
      <c r="I503" s="13">
        <v>1</v>
      </c>
      <c r="J503" s="13">
        <f>I503*(1+Input!K598)*J$12</f>
        <v>1.03</v>
      </c>
      <c r="K503" s="13">
        <f>J503*(1+Input!L598)*K$12</f>
        <v>1.0609</v>
      </c>
      <c r="L503" s="13">
        <f>K503*(1+Input!M598)*L$12</f>
        <v>1.092727</v>
      </c>
      <c r="M503" s="13">
        <f>L503*(1+Input!N598)*M$12</f>
        <v>1.1255088100000001</v>
      </c>
      <c r="N503" s="13">
        <f>M503*(1+Input!O598)*N$12</f>
        <v>1.1592740743000001</v>
      </c>
      <c r="O503" s="13">
        <f>N503*(1+Input!P598)*O$12</f>
        <v>1.1940522965290001</v>
      </c>
      <c r="P503" s="13">
        <f>O503*(1+Input!Q598)*P$12</f>
        <v>1.2298738654248702</v>
      </c>
      <c r="Q503" s="13">
        <f>P503*(1+Input!R598)*Q$12</f>
        <v>1.2667700813876164</v>
      </c>
      <c r="R503" s="13">
        <f>Q503*(1+Input!S598)*R$12</f>
        <v>1.3047731838292449</v>
      </c>
      <c r="S503" s="13">
        <f>R503*(1+Input!T598)*S$12</f>
        <v>1.3439163793441222</v>
      </c>
      <c r="T503" s="13">
        <f>S503*(1+Input!U598)*T$12</f>
        <v>1.3842338707244459</v>
      </c>
      <c r="U503" s="13">
        <f>T503*(1+Input!V598)*U$12</f>
        <v>1.4257608868461793</v>
      </c>
      <c r="V503" s="13">
        <f>U503*(1+Input!W598)*V$12</f>
        <v>1.4685337134515648</v>
      </c>
    </row>
    <row r="504" spans="2:22">
      <c r="B504" s="407" t="s">
        <v>484</v>
      </c>
      <c r="E504" s="19">
        <v>922782</v>
      </c>
      <c r="F504" s="19">
        <f>F505/E504*Billion</f>
        <v>446.8115443951009</v>
      </c>
      <c r="G504" s="17" t="s">
        <v>485</v>
      </c>
      <c r="J504">
        <f>$F504*J503</f>
        <v>460.21589072695394</v>
      </c>
      <c r="K504">
        <f t="shared" ref="K504:V504" si="165">$F504*K503</f>
        <v>474.02236744876251</v>
      </c>
      <c r="L504">
        <f t="shared" si="165"/>
        <v>488.24303847222541</v>
      </c>
      <c r="M504">
        <f t="shared" si="165"/>
        <v>502.89032962639226</v>
      </c>
      <c r="N504">
        <f t="shared" si="165"/>
        <v>517.97703951518395</v>
      </c>
      <c r="O504">
        <f t="shared" si="165"/>
        <v>533.51635070063958</v>
      </c>
      <c r="P504">
        <f t="shared" si="165"/>
        <v>549.52184122165875</v>
      </c>
      <c r="Q504">
        <f t="shared" si="165"/>
        <v>566.00749645830854</v>
      </c>
      <c r="R504">
        <f t="shared" si="165"/>
        <v>582.98772135205775</v>
      </c>
      <c r="S504">
        <f t="shared" si="165"/>
        <v>600.47735299261956</v>
      </c>
      <c r="T504">
        <f t="shared" si="165"/>
        <v>618.49167358239811</v>
      </c>
      <c r="U504">
        <f t="shared" si="165"/>
        <v>637.04642378987012</v>
      </c>
      <c r="V504">
        <f t="shared" si="165"/>
        <v>656.15781650356621</v>
      </c>
    </row>
    <row r="505" spans="2:22">
      <c r="B505" s="407" t="s">
        <v>486</v>
      </c>
      <c r="F505" s="19">
        <f>Input!J603</f>
        <v>0.41230965056000002</v>
      </c>
      <c r="G505" s="17" t="s">
        <v>315</v>
      </c>
    </row>
    <row r="506" spans="2:22">
      <c r="B506" s="28" t="s">
        <v>480</v>
      </c>
      <c r="C506" s="28"/>
      <c r="D506" s="28"/>
      <c r="E506" s="28"/>
      <c r="F506" s="28"/>
      <c r="G506" s="28"/>
      <c r="H506" s="28"/>
      <c r="I506" s="28"/>
      <c r="J506" s="47">
        <f>J504*J$454/Billion</f>
        <v>0.34516191804521551</v>
      </c>
      <c r="K506" s="47">
        <f t="shared" ref="K506:V506" si="166">K504*K$454/Billion</f>
        <v>0.36618227885416899</v>
      </c>
      <c r="L506" s="47">
        <f t="shared" si="166"/>
        <v>0.38848277963638794</v>
      </c>
      <c r="M506" s="47">
        <f t="shared" si="166"/>
        <v>0.51271944684152249</v>
      </c>
      <c r="N506" s="47">
        <f t="shared" si="166"/>
        <v>0.56673505089283926</v>
      </c>
      <c r="O506" s="47">
        <f t="shared" si="166"/>
        <v>0.62392366039699054</v>
      </c>
      <c r="P506" s="47">
        <f t="shared" si="166"/>
        <v>0.68445100680525517</v>
      </c>
      <c r="Q506" s="47">
        <f t="shared" si="166"/>
        <v>0.74849136922979853</v>
      </c>
      <c r="R506" s="47">
        <f t="shared" si="166"/>
        <v>0.81622802702727137</v>
      </c>
      <c r="S506" s="47">
        <f t="shared" si="166"/>
        <v>0.88785373725746297</v>
      </c>
      <c r="T506" s="47">
        <f t="shared" si="166"/>
        <v>0.96357123843182635</v>
      </c>
      <c r="U506" s="47">
        <f t="shared" si="166"/>
        <v>0.66136592777536329</v>
      </c>
      <c r="V506" s="47">
        <f t="shared" si="166"/>
        <v>0.70164311277688285</v>
      </c>
    </row>
    <row r="507" spans="2:22">
      <c r="G507"/>
    </row>
    <row r="508" spans="2:22">
      <c r="B508" s="2" t="s">
        <v>564</v>
      </c>
      <c r="G508"/>
    </row>
    <row r="509" spans="2:22">
      <c r="B509" s="407" t="s">
        <v>478</v>
      </c>
      <c r="E509" s="58" t="s">
        <v>482</v>
      </c>
      <c r="F509" s="58" t="s">
        <v>483</v>
      </c>
      <c r="G509"/>
      <c r="I509" s="13">
        <v>1</v>
      </c>
      <c r="J509" s="13">
        <f>I509*(1+Input!K605)*J$12</f>
        <v>1.03</v>
      </c>
      <c r="K509" s="13">
        <f>J509*(1+Input!L605)*K$12</f>
        <v>1.0609</v>
      </c>
      <c r="L509" s="13">
        <f>K509*(1+Input!M605)*L$12</f>
        <v>1.092727</v>
      </c>
      <c r="M509" s="13">
        <f>L509*(1+Input!N605)*M$12</f>
        <v>1.1255088100000001</v>
      </c>
      <c r="N509" s="13">
        <f>M509*(1+Input!O605)*N$12</f>
        <v>1.1592740743000001</v>
      </c>
      <c r="O509" s="13">
        <f>N509*(1+Input!P605)*O$12</f>
        <v>1.1940522965290001</v>
      </c>
      <c r="P509" s="13">
        <f>O509*(1+Input!Q605)*P$12</f>
        <v>1.2298738654248702</v>
      </c>
      <c r="Q509" s="13">
        <f>P509*(1+Input!R605)*Q$12</f>
        <v>1.2667700813876164</v>
      </c>
      <c r="R509" s="13">
        <f>Q509*(1+Input!S605)*R$12</f>
        <v>1.3047731838292449</v>
      </c>
      <c r="S509" s="13">
        <f>R509*(1+Input!T605)*S$12</f>
        <v>1.3439163793441222</v>
      </c>
      <c r="T509" s="13">
        <f>S509*(1+Input!U605)*T$12</f>
        <v>1.3842338707244459</v>
      </c>
      <c r="U509" s="13">
        <f>T509*(1+Input!V605)*U$12</f>
        <v>1.4257608868461793</v>
      </c>
      <c r="V509" s="13">
        <f>U509*(1+Input!W605)*V$12</f>
        <v>1.4685337134515648</v>
      </c>
    </row>
    <row r="510" spans="2:22">
      <c r="B510" s="407" t="s">
        <v>484</v>
      </c>
      <c r="E510" s="19">
        <v>922782</v>
      </c>
      <c r="F510" s="19">
        <f>F511/E510*Billion</f>
        <v>310.56291024315601</v>
      </c>
      <c r="G510" s="17" t="s">
        <v>485</v>
      </c>
      <c r="J510">
        <f>$F510*J509</f>
        <v>319.87979755045069</v>
      </c>
      <c r="K510">
        <f t="shared" ref="K510:V510" si="167">$F510*K509</f>
        <v>329.47619147696417</v>
      </c>
      <c r="L510">
        <f t="shared" si="167"/>
        <v>339.36047722127313</v>
      </c>
      <c r="M510">
        <f t="shared" si="167"/>
        <v>349.54129153791138</v>
      </c>
      <c r="N510">
        <f t="shared" si="167"/>
        <v>360.02753028404868</v>
      </c>
      <c r="O510">
        <f t="shared" si="167"/>
        <v>370.8283561925702</v>
      </c>
      <c r="P510">
        <f t="shared" si="167"/>
        <v>381.95320687834732</v>
      </c>
      <c r="Q510">
        <f t="shared" si="167"/>
        <v>393.41180308469774</v>
      </c>
      <c r="R510">
        <f t="shared" si="167"/>
        <v>405.21415717723869</v>
      </c>
      <c r="S510">
        <f t="shared" si="167"/>
        <v>417.37058189255583</v>
      </c>
      <c r="T510">
        <f t="shared" si="167"/>
        <v>429.8916993493325</v>
      </c>
      <c r="U510">
        <f t="shared" si="167"/>
        <v>442.78845032981252</v>
      </c>
      <c r="V510">
        <f t="shared" si="167"/>
        <v>456.07210383970693</v>
      </c>
    </row>
    <row r="511" spans="2:22">
      <c r="B511" s="407" t="s">
        <v>486</v>
      </c>
      <c r="F511" s="19">
        <f>Input!J610</f>
        <v>0.28658186343999997</v>
      </c>
      <c r="G511" s="17" t="s">
        <v>315</v>
      </c>
    </row>
    <row r="512" spans="2:22">
      <c r="B512" s="28" t="s">
        <v>480</v>
      </c>
      <c r="C512" s="28"/>
      <c r="D512" s="28"/>
      <c r="E512" s="28"/>
      <c r="F512" s="28"/>
      <c r="G512" s="28"/>
      <c r="H512" s="28"/>
      <c r="I512" s="28"/>
      <c r="J512" s="47">
        <f>J510*J$454/Billion</f>
        <v>0.239909848162838</v>
      </c>
      <c r="K512" s="47">
        <f t="shared" ref="K512:V512" si="168">K510*K$454/Billion</f>
        <v>0.25452035791595484</v>
      </c>
      <c r="L512" s="47">
        <f t="shared" si="168"/>
        <v>0.27002064771303647</v>
      </c>
      <c r="M512" s="47">
        <f t="shared" si="168"/>
        <v>0.35637316346634274</v>
      </c>
      <c r="N512" s="47">
        <f t="shared" si="168"/>
        <v>0.39391750045394119</v>
      </c>
      <c r="O512" s="47">
        <f t="shared" si="168"/>
        <v>0.43366728136977045</v>
      </c>
      <c r="P512" s="47">
        <f t="shared" si="168"/>
        <v>0.47573770028720169</v>
      </c>
      <c r="Q512" s="47">
        <f t="shared" si="168"/>
        <v>0.52024989245653785</v>
      </c>
      <c r="R512" s="47">
        <f t="shared" si="168"/>
        <v>0.56733124887987618</v>
      </c>
      <c r="S512" s="47">
        <f t="shared" si="168"/>
        <v>0.61711574817573889</v>
      </c>
      <c r="T512" s="47">
        <f t="shared" si="168"/>
        <v>0.66974430671686802</v>
      </c>
      <c r="U512" s="47">
        <f t="shared" si="168"/>
        <v>0.45969207788408661</v>
      </c>
      <c r="V512" s="47">
        <f t="shared" si="168"/>
        <v>0.48768732542722754</v>
      </c>
    </row>
    <row r="513" spans="2:22">
      <c r="G513"/>
    </row>
    <row r="514" spans="2:22">
      <c r="B514" s="2" t="s">
        <v>565</v>
      </c>
      <c r="G514"/>
    </row>
    <row r="515" spans="2:22">
      <c r="B515" s="407" t="s">
        <v>478</v>
      </c>
      <c r="E515" s="58" t="s">
        <v>482</v>
      </c>
      <c r="F515" s="58" t="s">
        <v>483</v>
      </c>
      <c r="G515"/>
      <c r="I515" s="13">
        <v>1</v>
      </c>
      <c r="J515" s="13">
        <f>I515*(1+Input!K612)*J$12</f>
        <v>1.0349999999999999</v>
      </c>
      <c r="K515" s="13">
        <f>J515*(1+Input!L612)*K$12</f>
        <v>1.0712249999999999</v>
      </c>
      <c r="L515" s="13">
        <f>K515*(1+Input!M612)*L$12</f>
        <v>1.1087178749999997</v>
      </c>
      <c r="M515" s="13">
        <f>L515*(1+Input!N612)*M$12</f>
        <v>1.1475230006249997</v>
      </c>
      <c r="N515" s="13">
        <f>M515*(1+Input!O612)*N$12</f>
        <v>1.1876863056468745</v>
      </c>
      <c r="O515" s="13">
        <f>N515*(1+Input!P612)*O$12</f>
        <v>1.229255326344515</v>
      </c>
      <c r="P515" s="13">
        <f>O515*(1+Input!Q612)*P$12</f>
        <v>1.2722792627665729</v>
      </c>
      <c r="Q515" s="13">
        <f>P515*(1+Input!R612)*Q$12</f>
        <v>1.3168090369634029</v>
      </c>
      <c r="R515" s="13">
        <f>Q515*(1+Input!S612)*R$12</f>
        <v>1.3628973532571218</v>
      </c>
      <c r="S515" s="13">
        <f>R515*(1+Input!T612)*S$12</f>
        <v>1.410598760621121</v>
      </c>
      <c r="T515" s="13">
        <f>S515*(1+Input!U612)*T$12</f>
        <v>1.4599697172428601</v>
      </c>
      <c r="U515" s="13">
        <f>T515*(1+Input!V612)*U$12</f>
        <v>1.5110686573463601</v>
      </c>
      <c r="V515" s="13">
        <f>U515*(1+Input!W612)*V$12</f>
        <v>1.5639560603534826</v>
      </c>
    </row>
    <row r="516" spans="2:22">
      <c r="B516" s="407" t="s">
        <v>484</v>
      </c>
      <c r="E516" s="19">
        <v>922782</v>
      </c>
      <c r="F516" s="19">
        <f>F517/E516*Billion</f>
        <v>265.96008374675705</v>
      </c>
      <c r="G516" s="17" t="s">
        <v>485</v>
      </c>
      <c r="J516">
        <f>$F516*J515</f>
        <v>275.26868667789353</v>
      </c>
      <c r="K516">
        <f t="shared" ref="K516:V516" si="169">$F516*K515</f>
        <v>284.90309071161977</v>
      </c>
      <c r="L516">
        <f t="shared" si="169"/>
        <v>294.87469888652646</v>
      </c>
      <c r="M516">
        <f t="shared" si="169"/>
        <v>305.19531334755487</v>
      </c>
      <c r="N516">
        <f t="shared" si="169"/>
        <v>315.87714931471925</v>
      </c>
      <c r="O516">
        <f t="shared" si="169"/>
        <v>326.93284954073437</v>
      </c>
      <c r="P516">
        <f t="shared" si="169"/>
        <v>338.37549927466006</v>
      </c>
      <c r="Q516">
        <f t="shared" si="169"/>
        <v>350.21864174927316</v>
      </c>
      <c r="R516">
        <f t="shared" si="169"/>
        <v>362.47629421049766</v>
      </c>
      <c r="S516">
        <f t="shared" si="169"/>
        <v>375.16296450786501</v>
      </c>
      <c r="T516">
        <f t="shared" si="169"/>
        <v>388.29366826564029</v>
      </c>
      <c r="U516">
        <f t="shared" si="169"/>
        <v>401.88394665493769</v>
      </c>
      <c r="V516">
        <f t="shared" si="169"/>
        <v>415.94988478786047</v>
      </c>
    </row>
    <row r="517" spans="2:22">
      <c r="B517" s="407" t="s">
        <v>486</v>
      </c>
      <c r="F517" s="19">
        <f>Input!J617</f>
        <v>0.24542317799999999</v>
      </c>
      <c r="G517" s="17" t="s">
        <v>315</v>
      </c>
    </row>
    <row r="518" spans="2:22">
      <c r="B518" s="28" t="s">
        <v>480</v>
      </c>
      <c r="C518" s="28"/>
      <c r="D518" s="28"/>
      <c r="E518" s="28"/>
      <c r="F518" s="28"/>
      <c r="G518" s="28"/>
      <c r="H518" s="28"/>
      <c r="I518" s="28"/>
      <c r="J518" s="47">
        <f>J516*J$454/Billion</f>
        <v>0.20645151500842013</v>
      </c>
      <c r="K518" s="47">
        <f t="shared" ref="K518:V518" si="170">K516*K$454/Billion</f>
        <v>0.2200876375747263</v>
      </c>
      <c r="L518" s="47">
        <f t="shared" si="170"/>
        <v>0.23462442603653694</v>
      </c>
      <c r="M518" s="47">
        <f t="shared" si="170"/>
        <v>0.31116043204576116</v>
      </c>
      <c r="N518" s="47">
        <f t="shared" si="170"/>
        <v>0.34561117315223133</v>
      </c>
      <c r="O518" s="47">
        <f t="shared" si="170"/>
        <v>0.38233343724441737</v>
      </c>
      <c r="P518" s="47">
        <f t="shared" si="170"/>
        <v>0.42145995624467214</v>
      </c>
      <c r="Q518" s="47">
        <f t="shared" si="170"/>
        <v>0.46313102270372908</v>
      </c>
      <c r="R518" s="47">
        <f t="shared" si="170"/>
        <v>0.50749492593330925</v>
      </c>
      <c r="S518" s="47">
        <f t="shared" si="170"/>
        <v>0.55470841399574122</v>
      </c>
      <c r="T518" s="47">
        <f t="shared" si="170"/>
        <v>0.60493718312945732</v>
      </c>
      <c r="U518" s="47">
        <f t="shared" si="170"/>
        <v>0.41722602829513583</v>
      </c>
      <c r="V518" s="47">
        <f t="shared" si="170"/>
        <v>0.44478380746402962</v>
      </c>
    </row>
    <row r="519" spans="2:22">
      <c r="G519"/>
    </row>
    <row r="520" spans="2:22">
      <c r="B520" s="2" t="s">
        <v>566</v>
      </c>
      <c r="G520"/>
    </row>
    <row r="521" spans="2:22">
      <c r="B521" s="407" t="s">
        <v>478</v>
      </c>
      <c r="G521"/>
      <c r="J521" s="39">
        <v>1.0919279054404601E-2</v>
      </c>
      <c r="K521" s="39">
        <v>1.0919279054404601E-2</v>
      </c>
      <c r="L521" s="39">
        <v>1.0919279054404601E-2</v>
      </c>
      <c r="M521" s="43">
        <f>Input!N619</f>
        <v>2E-3</v>
      </c>
      <c r="N521" s="43">
        <f>Input!O619</f>
        <v>2E-3</v>
      </c>
      <c r="O521" s="43">
        <f>Input!P619</f>
        <v>2E-3</v>
      </c>
      <c r="P521" s="43">
        <f>Input!Q619</f>
        <v>2E-3</v>
      </c>
      <c r="Q521" s="43">
        <f>Input!R619</f>
        <v>2E-3</v>
      </c>
      <c r="R521" s="43">
        <f>Input!S619</f>
        <v>2E-3</v>
      </c>
      <c r="S521" s="43">
        <f>Input!T619</f>
        <v>2E-3</v>
      </c>
      <c r="T521" s="43">
        <f>Input!U619</f>
        <v>2E-3</v>
      </c>
      <c r="U521" s="43">
        <f>Input!V619</f>
        <v>2E-3</v>
      </c>
      <c r="V521" s="43">
        <f>Input!W619</f>
        <v>2E-3</v>
      </c>
    </row>
    <row r="522" spans="2:22">
      <c r="B522" s="407" t="s">
        <v>492</v>
      </c>
      <c r="G522" s="17" t="s">
        <v>315</v>
      </c>
      <c r="J522">
        <f>J460</f>
        <v>5.2339742134300007</v>
      </c>
      <c r="K522">
        <f t="shared" ref="K522:V522" si="171">K460</f>
        <v>5.2339742134300007</v>
      </c>
      <c r="L522">
        <f t="shared" si="171"/>
        <v>2.6169871067150003</v>
      </c>
      <c r="M522">
        <f t="shared" si="171"/>
        <v>0</v>
      </c>
      <c r="N522">
        <f t="shared" si="171"/>
        <v>0</v>
      </c>
      <c r="O522">
        <f t="shared" si="171"/>
        <v>0</v>
      </c>
      <c r="P522">
        <f t="shared" si="171"/>
        <v>0</v>
      </c>
      <c r="Q522">
        <f t="shared" si="171"/>
        <v>0</v>
      </c>
      <c r="R522">
        <f t="shared" si="171"/>
        <v>0</v>
      </c>
      <c r="S522">
        <f t="shared" si="171"/>
        <v>0</v>
      </c>
      <c r="T522">
        <f t="shared" si="171"/>
        <v>0</v>
      </c>
      <c r="U522">
        <f t="shared" si="171"/>
        <v>0</v>
      </c>
      <c r="V522">
        <f t="shared" si="171"/>
        <v>0</v>
      </c>
    </row>
    <row r="523" spans="2:22">
      <c r="B523" s="28" t="s">
        <v>480</v>
      </c>
      <c r="C523" s="28"/>
      <c r="D523" s="28"/>
      <c r="E523" s="28"/>
      <c r="F523" s="28"/>
      <c r="G523" s="28"/>
      <c r="H523" s="28"/>
      <c r="I523" s="28"/>
      <c r="J523" s="47">
        <f>J521*J522</f>
        <v>5.7151225000000007E-2</v>
      </c>
      <c r="K523" s="47">
        <f t="shared" ref="K523:V523" si="172">K521*K522</f>
        <v>5.7151225000000007E-2</v>
      </c>
      <c r="L523" s="47">
        <f t="shared" si="172"/>
        <v>2.8575612500000003E-2</v>
      </c>
      <c r="M523" s="47">
        <f t="shared" si="172"/>
        <v>0</v>
      </c>
      <c r="N523" s="47">
        <f t="shared" si="172"/>
        <v>0</v>
      </c>
      <c r="O523" s="47">
        <f t="shared" si="172"/>
        <v>0</v>
      </c>
      <c r="P523" s="47">
        <f t="shared" si="172"/>
        <v>0</v>
      </c>
      <c r="Q523" s="47">
        <f t="shared" si="172"/>
        <v>0</v>
      </c>
      <c r="R523" s="47">
        <f t="shared" si="172"/>
        <v>0</v>
      </c>
      <c r="S523" s="47">
        <f t="shared" si="172"/>
        <v>0</v>
      </c>
      <c r="T523" s="47">
        <f t="shared" si="172"/>
        <v>0</v>
      </c>
      <c r="U523" s="47">
        <f t="shared" si="172"/>
        <v>0</v>
      </c>
      <c r="V523" s="47">
        <f t="shared" si="172"/>
        <v>0</v>
      </c>
    </row>
    <row r="524" spans="2:22">
      <c r="G524"/>
    </row>
    <row r="525" spans="2:22">
      <c r="B525" s="2" t="s">
        <v>567</v>
      </c>
      <c r="G525"/>
    </row>
    <row r="526" spans="2:22">
      <c r="B526" s="407" t="s">
        <v>478</v>
      </c>
      <c r="F526" s="58" t="s">
        <v>324</v>
      </c>
      <c r="G526"/>
    </row>
    <row r="527" spans="2:22">
      <c r="B527" s="407" t="s">
        <v>324</v>
      </c>
      <c r="F527" s="19">
        <f>F468</f>
        <v>14.024592683676605</v>
      </c>
      <c r="G527" s="17" t="s">
        <v>176</v>
      </c>
      <c r="J527">
        <f>$F$527</f>
        <v>14.024592683676605</v>
      </c>
      <c r="K527">
        <f t="shared" ref="K527:V527" si="173">$F$527</f>
        <v>14.024592683676605</v>
      </c>
      <c r="L527">
        <f t="shared" si="173"/>
        <v>14.024592683676605</v>
      </c>
      <c r="M527">
        <f t="shared" si="173"/>
        <v>14.024592683676605</v>
      </c>
      <c r="N527">
        <f t="shared" si="173"/>
        <v>14.024592683676605</v>
      </c>
      <c r="O527">
        <f t="shared" si="173"/>
        <v>14.024592683676605</v>
      </c>
      <c r="P527">
        <f t="shared" si="173"/>
        <v>14.024592683676605</v>
      </c>
      <c r="Q527">
        <f t="shared" si="173"/>
        <v>14.024592683676605</v>
      </c>
      <c r="R527">
        <f t="shared" si="173"/>
        <v>14.024592683676605</v>
      </c>
      <c r="S527">
        <f t="shared" si="173"/>
        <v>14.024592683676605</v>
      </c>
      <c r="T527">
        <f t="shared" si="173"/>
        <v>14.024592683676605</v>
      </c>
      <c r="U527">
        <f t="shared" si="173"/>
        <v>14.024592683676605</v>
      </c>
      <c r="V527">
        <f t="shared" si="173"/>
        <v>14.024592683676605</v>
      </c>
    </row>
    <row r="528" spans="2:22">
      <c r="B528" s="407" t="s">
        <v>486</v>
      </c>
      <c r="F528" s="19">
        <f>Input!J628</f>
        <v>0</v>
      </c>
      <c r="G528" s="17" t="s">
        <v>315</v>
      </c>
      <c r="J528" s="21">
        <f>Input!K619</f>
        <v>0</v>
      </c>
      <c r="K528" s="21">
        <f>Input!L619</f>
        <v>0</v>
      </c>
      <c r="L528" s="74">
        <f>Input!M619</f>
        <v>2E-3</v>
      </c>
      <c r="M528" s="21">
        <f>Input!N619</f>
        <v>2E-3</v>
      </c>
      <c r="N528" s="21">
        <f>Input!O619</f>
        <v>2E-3</v>
      </c>
      <c r="O528" s="21">
        <f>Input!P619</f>
        <v>2E-3</v>
      </c>
      <c r="P528" s="21">
        <f>Input!Q619</f>
        <v>2E-3</v>
      </c>
      <c r="Q528" s="21">
        <f>Input!R619</f>
        <v>2E-3</v>
      </c>
      <c r="R528" s="21">
        <f>Input!S619</f>
        <v>2E-3</v>
      </c>
      <c r="S528" s="21">
        <f>Input!T619</f>
        <v>2E-3</v>
      </c>
      <c r="T528" s="21">
        <f>Input!U619</f>
        <v>2E-3</v>
      </c>
      <c r="U528" s="21">
        <f>Input!V619</f>
        <v>2E-3</v>
      </c>
      <c r="V528" s="21">
        <f>Input!W619</f>
        <v>2E-3</v>
      </c>
    </row>
    <row r="529" spans="2:22">
      <c r="B529" s="28" t="s">
        <v>480</v>
      </c>
      <c r="C529" s="28"/>
      <c r="D529" s="28"/>
      <c r="E529" s="28"/>
      <c r="F529" s="28"/>
      <c r="G529" s="28"/>
      <c r="H529" s="28"/>
      <c r="I529" s="28"/>
      <c r="J529" s="47">
        <f t="shared" ref="J529:V529" si="174">J527*Million*USD_IDR*J528/Billion</f>
        <v>0</v>
      </c>
      <c r="K529" s="47">
        <f t="shared" si="174"/>
        <v>0</v>
      </c>
      <c r="L529" s="47">
        <f t="shared" si="174"/>
        <v>0.45622000000000001</v>
      </c>
      <c r="M529" s="47">
        <f t="shared" si="174"/>
        <v>0.45622000000000001</v>
      </c>
      <c r="N529" s="47">
        <f t="shared" si="174"/>
        <v>0.45622000000000001</v>
      </c>
      <c r="O529" s="47">
        <f t="shared" si="174"/>
        <v>0.45622000000000001</v>
      </c>
      <c r="P529" s="47">
        <f t="shared" si="174"/>
        <v>0.45622000000000001</v>
      </c>
      <c r="Q529" s="47">
        <f t="shared" si="174"/>
        <v>0.45622000000000001</v>
      </c>
      <c r="R529" s="47">
        <f t="shared" si="174"/>
        <v>0.45622000000000001</v>
      </c>
      <c r="S529" s="47">
        <f t="shared" si="174"/>
        <v>0.45622000000000001</v>
      </c>
      <c r="T529" s="47">
        <f t="shared" si="174"/>
        <v>0.45622000000000001</v>
      </c>
      <c r="U529" s="47">
        <f t="shared" si="174"/>
        <v>0.45622000000000001</v>
      </c>
      <c r="V529" s="47">
        <f t="shared" si="174"/>
        <v>0.45622000000000001</v>
      </c>
    </row>
    <row r="530" spans="2:22">
      <c r="G530"/>
    </row>
    <row r="531" spans="2:22">
      <c r="B531" s="2" t="s">
        <v>568</v>
      </c>
      <c r="G531"/>
    </row>
    <row r="532" spans="2:22">
      <c r="B532" s="407" t="s">
        <v>478</v>
      </c>
      <c r="E532" s="58" t="s">
        <v>482</v>
      </c>
      <c r="F532" s="58" t="s">
        <v>483</v>
      </c>
      <c r="G532"/>
      <c r="I532" s="13">
        <v>1</v>
      </c>
      <c r="J532" s="13">
        <f>I532*(1+Input!K626)*J$12</f>
        <v>1.0349999999999999</v>
      </c>
      <c r="K532" s="13">
        <f>J532*(1+Input!L626)*K$12</f>
        <v>1.0712249999999999</v>
      </c>
      <c r="L532" s="13">
        <f>K532*(1+Input!M626)*L$12</f>
        <v>1.1087178749999997</v>
      </c>
      <c r="M532" s="13">
        <f>L532*(1+Input!N626)*M$12</f>
        <v>1.1475230006249997</v>
      </c>
      <c r="N532" s="13">
        <f>M532*(1+Input!O626)*N$12</f>
        <v>1.1876863056468745</v>
      </c>
      <c r="O532" s="13">
        <f>N532*(1+Input!P626)*O$12</f>
        <v>1.229255326344515</v>
      </c>
      <c r="P532" s="13">
        <f>O532*(1+Input!Q626)*P$12</f>
        <v>1.2722792627665729</v>
      </c>
      <c r="Q532" s="13">
        <f>P532*(1+Input!R626)*Q$12</f>
        <v>1.3168090369634029</v>
      </c>
      <c r="R532" s="13">
        <f>Q532*(1+Input!S626)*R$12</f>
        <v>1.3628973532571218</v>
      </c>
      <c r="S532" s="13">
        <f>R532*(1+Input!T626)*S$12</f>
        <v>1.410598760621121</v>
      </c>
      <c r="T532" s="13">
        <f>S532*(1+Input!U626)*T$12</f>
        <v>1.4599697172428601</v>
      </c>
      <c r="U532" s="13">
        <f>T532*(1+Input!V626)*U$12</f>
        <v>1.5110686573463601</v>
      </c>
      <c r="V532" s="13">
        <f>U532*(1+Input!W626)*V$12</f>
        <v>1.5639560603534826</v>
      </c>
    </row>
    <row r="533" spans="2:22">
      <c r="B533" s="407" t="s">
        <v>484</v>
      </c>
      <c r="E533" s="19">
        <v>922782</v>
      </c>
      <c r="F533" s="19">
        <f>F534/E533*Billion</f>
        <v>12.570682999885129</v>
      </c>
      <c r="G533" s="17" t="s">
        <v>485</v>
      </c>
      <c r="J533">
        <f>$F533*J532</f>
        <v>13.010656904881108</v>
      </c>
      <c r="K533">
        <f t="shared" ref="K533:V533" si="175">$F533*K532</f>
        <v>13.466029896551946</v>
      </c>
      <c r="L533">
        <f t="shared" si="175"/>
        <v>13.937340942931263</v>
      </c>
      <c r="M533">
        <f t="shared" si="175"/>
        <v>14.425147875933856</v>
      </c>
      <c r="N533">
        <f t="shared" si="175"/>
        <v>14.930028051591538</v>
      </c>
      <c r="O533">
        <f t="shared" si="175"/>
        <v>15.452579033397241</v>
      </c>
      <c r="P533">
        <f t="shared" si="175"/>
        <v>15.993419299566142</v>
      </c>
      <c r="Q533">
        <f t="shared" si="175"/>
        <v>16.553188975050958</v>
      </c>
      <c r="R533">
        <f t="shared" si="175"/>
        <v>17.13255058917774</v>
      </c>
      <c r="S533">
        <f t="shared" si="175"/>
        <v>17.732189859798957</v>
      </c>
      <c r="T533">
        <f t="shared" si="175"/>
        <v>18.352816504891919</v>
      </c>
      <c r="U533">
        <f t="shared" si="175"/>
        <v>18.995165082563137</v>
      </c>
      <c r="V533">
        <f t="shared" si="175"/>
        <v>19.659995860452845</v>
      </c>
    </row>
    <row r="534" spans="2:22">
      <c r="B534" s="407" t="s">
        <v>486</v>
      </c>
      <c r="F534" s="19">
        <f>Input!J631</f>
        <v>1.1599999999999999E-2</v>
      </c>
      <c r="G534" s="17" t="s">
        <v>315</v>
      </c>
    </row>
    <row r="535" spans="2:22">
      <c r="B535" s="28" t="s">
        <v>480</v>
      </c>
      <c r="C535" s="28"/>
      <c r="D535" s="28"/>
      <c r="E535" s="28"/>
      <c r="F535" s="28"/>
      <c r="G535" s="28"/>
      <c r="H535" s="28"/>
      <c r="I535" s="28"/>
      <c r="J535" s="47">
        <f>J533*J$454/Billion</f>
        <v>9.7579926786608307E-3</v>
      </c>
      <c r="K535" s="47">
        <f t="shared" ref="K535:V535" si="176">K533*K$454/Billion</f>
        <v>1.0402508095086379E-2</v>
      </c>
      <c r="L535" s="47">
        <f t="shared" si="176"/>
        <v>1.1089593754766832E-2</v>
      </c>
      <c r="M535" s="47">
        <f t="shared" si="176"/>
        <v>1.4707090997455952E-2</v>
      </c>
      <c r="N535" s="47">
        <f t="shared" si="176"/>
        <v>1.6335415592107945E-2</v>
      </c>
      <c r="O535" s="47">
        <f t="shared" si="176"/>
        <v>1.8071104400886055E-2</v>
      </c>
      <c r="P535" s="47">
        <f t="shared" si="176"/>
        <v>1.9920431037846784E-2</v>
      </c>
      <c r="Q535" s="47">
        <f t="shared" si="176"/>
        <v>2.1890026472411086E-2</v>
      </c>
      <c r="R535" s="47">
        <f t="shared" si="176"/>
        <v>2.3986899643302591E-2</v>
      </c>
      <c r="S535" s="47">
        <f t="shared" si="176"/>
        <v>2.6218459294625379E-2</v>
      </c>
      <c r="T535" s="47">
        <f t="shared" si="176"/>
        <v>2.85925371087066E-2</v>
      </c>
      <c r="U535" s="47">
        <f t="shared" si="176"/>
        <v>1.9720313165464659E-2</v>
      </c>
      <c r="V535" s="47">
        <f t="shared" si="176"/>
        <v>2.10228398500436E-2</v>
      </c>
    </row>
    <row r="536" spans="2:22">
      <c r="G536"/>
    </row>
    <row r="537" spans="2:22" ht="15.75">
      <c r="B537" s="15" t="s">
        <v>535</v>
      </c>
      <c r="G537"/>
    </row>
    <row r="538" spans="2:22">
      <c r="B538" s="2" t="s">
        <v>465</v>
      </c>
      <c r="G538"/>
    </row>
    <row r="539" spans="2:22">
      <c r="B539" t="s">
        <v>496</v>
      </c>
      <c r="G539"/>
      <c r="I539">
        <v>1</v>
      </c>
      <c r="J539">
        <f>I539*(1+Input!K649)*J$12</f>
        <v>1.03</v>
      </c>
      <c r="K539">
        <f>J539*(1+Input!L649)*K$12</f>
        <v>1.0609</v>
      </c>
      <c r="L539">
        <f>K539*(1+Input!M649)*L$12</f>
        <v>1.092727</v>
      </c>
      <c r="M539">
        <f>L539*(1+Input!N649)*M$12</f>
        <v>1.1255088100000001</v>
      </c>
      <c r="N539">
        <f>M539*(1+Input!O649)*N$12</f>
        <v>1.1592740743000001</v>
      </c>
      <c r="O539">
        <f>N539*(1+Input!P649)*O$12</f>
        <v>1.1940522965290001</v>
      </c>
      <c r="P539">
        <f>O539*(1+Input!Q649)*P$12</f>
        <v>1.2298738654248702</v>
      </c>
      <c r="Q539">
        <f>P539*(1+Input!R649)*Q$12</f>
        <v>1.2667700813876164</v>
      </c>
      <c r="R539">
        <f>Q539*(1+Input!S649)*R$12</f>
        <v>1.3047731838292449</v>
      </c>
      <c r="S539">
        <f>R539*(1+Input!T649)*S$12</f>
        <v>1.3439163793441222</v>
      </c>
      <c r="T539">
        <f>S539*(1+Input!U649)*T$12</f>
        <v>1.3842338707244459</v>
      </c>
      <c r="U539">
        <f>T539*(1+Input!V649)*U$12</f>
        <v>1.4257608868461793</v>
      </c>
      <c r="V539">
        <f>U539*(1+Input!W649)*V$12</f>
        <v>1.4685337134515648</v>
      </c>
    </row>
    <row r="540" spans="2:22">
      <c r="B540" t="s">
        <v>500</v>
      </c>
      <c r="G540"/>
      <c r="I540">
        <v>1</v>
      </c>
      <c r="J540">
        <f>I540*(1+Input!K654)*J$12</f>
        <v>1.02</v>
      </c>
      <c r="K540">
        <f>J540*(1+Input!L654)*K$12</f>
        <v>1.0404</v>
      </c>
      <c r="L540">
        <f>K540*(1+Input!M654)*L$12</f>
        <v>1.0612079999999999</v>
      </c>
      <c r="M540">
        <f>L540*(1+Input!N654)*M$12</f>
        <v>1.08243216</v>
      </c>
      <c r="N540">
        <f>M540*(1+Input!O654)*N$12</f>
        <v>1.1040808032</v>
      </c>
      <c r="O540">
        <f>N540*(1+Input!P654)*O$12</f>
        <v>1.1261624192640001</v>
      </c>
      <c r="P540">
        <f>O540*(1+Input!Q654)*P$12</f>
        <v>1.14868566764928</v>
      </c>
      <c r="Q540">
        <f>P540*(1+Input!R654)*Q$12</f>
        <v>1.1716593810022657</v>
      </c>
      <c r="R540">
        <f>Q540*(1+Input!S654)*R$12</f>
        <v>1.1950925686223111</v>
      </c>
      <c r="S540">
        <f>R540*(1+Input!T654)*S$12</f>
        <v>1.2189944199947573</v>
      </c>
      <c r="T540">
        <f>S540*(1+Input!U654)*T$12</f>
        <v>1.2433743083946525</v>
      </c>
      <c r="U540">
        <f>T540*(1+Input!V654)*U$12</f>
        <v>1.2682417945625455</v>
      </c>
      <c r="V540">
        <f>U540*(1+Input!W654)*V$12</f>
        <v>1.2936066304537963</v>
      </c>
    </row>
    <row r="541" spans="2:22">
      <c r="B541" t="s">
        <v>499</v>
      </c>
      <c r="G541"/>
      <c r="I541">
        <v>1</v>
      </c>
      <c r="J541">
        <f>I541*(1+Input!K659)*J$12</f>
        <v>1.03</v>
      </c>
      <c r="K541">
        <f>J541*(1+Input!L659)*K$12</f>
        <v>1.0609</v>
      </c>
      <c r="L541">
        <f>K541*(1+Input!M659)*L$12</f>
        <v>1.092727</v>
      </c>
      <c r="M541">
        <f>L541*(1+Input!N659)*M$12</f>
        <v>1.1255088100000001</v>
      </c>
      <c r="N541">
        <f>M541*(1+Input!O659)*N$12</f>
        <v>1.1592740743000001</v>
      </c>
      <c r="O541">
        <f>N541*(1+Input!P659)*O$12</f>
        <v>1.1940522965290001</v>
      </c>
      <c r="P541">
        <f>O541*(1+Input!Q659)*P$12</f>
        <v>1.2298738654248702</v>
      </c>
      <c r="Q541">
        <f>P541*(1+Input!R659)*Q$12</f>
        <v>1.2667700813876164</v>
      </c>
      <c r="R541">
        <f>Q541*(1+Input!S659)*R$12</f>
        <v>1.3047731838292449</v>
      </c>
      <c r="S541">
        <f>R541*(1+Input!T659)*S$12</f>
        <v>1.3439163793441222</v>
      </c>
      <c r="T541">
        <f>S541*(1+Input!U659)*T$12</f>
        <v>1.3842338707244459</v>
      </c>
      <c r="U541">
        <f>T541*(1+Input!V659)*U$12</f>
        <v>1.4257608868461793</v>
      </c>
      <c r="V541">
        <f>U541*(1+Input!W659)*V$12</f>
        <v>1.4685337134515648</v>
      </c>
    </row>
    <row r="542" spans="2:22">
      <c r="B542" t="s">
        <v>506</v>
      </c>
      <c r="G542"/>
      <c r="I542">
        <v>1</v>
      </c>
      <c r="J542">
        <f>I542*(1+Input!K665)*J$12</f>
        <v>1.03</v>
      </c>
      <c r="K542">
        <f>J542*(1+Input!L665)*K$12</f>
        <v>1.0609</v>
      </c>
      <c r="L542">
        <f>K542*(1+Input!M665)*L$12</f>
        <v>1.092727</v>
      </c>
      <c r="M542">
        <f>L542*(1+Input!N665)*M$12</f>
        <v>1.1255088100000001</v>
      </c>
      <c r="N542">
        <f>M542*(1+Input!O665)*N$12</f>
        <v>1.1592740743000001</v>
      </c>
      <c r="O542">
        <f>N542*(1+Input!P665)*O$12</f>
        <v>1.1940522965290001</v>
      </c>
      <c r="P542">
        <f>O542*(1+Input!Q665)*P$12</f>
        <v>1.2298738654248702</v>
      </c>
      <c r="Q542">
        <f>P542*(1+Input!R665)*Q$12</f>
        <v>1.2667700813876164</v>
      </c>
      <c r="R542">
        <f>Q542*(1+Input!S665)*R$12</f>
        <v>1.3047731838292449</v>
      </c>
      <c r="S542">
        <f>R542*(1+Input!T665)*S$12</f>
        <v>1.3439163793441222</v>
      </c>
      <c r="T542">
        <f>S542*(1+Input!U665)*T$12</f>
        <v>1.3842338707244459</v>
      </c>
      <c r="U542">
        <f>T542*(1+Input!V665)*U$12</f>
        <v>1.4257608868461793</v>
      </c>
      <c r="V542">
        <f>U542*(1+Input!W665)*V$12</f>
        <v>1.4685337134515648</v>
      </c>
    </row>
    <row r="543" spans="2:22">
      <c r="B543" t="s">
        <v>502</v>
      </c>
      <c r="G543"/>
      <c r="I543">
        <v>1</v>
      </c>
      <c r="J543">
        <f>I543*(1+Input!K670)*J$12</f>
        <v>1.02</v>
      </c>
      <c r="K543">
        <f>J543*(1+Input!L670)*K$12</f>
        <v>1.0404</v>
      </c>
      <c r="L543">
        <f>K543*(1+Input!M670)*L$12</f>
        <v>1.0612079999999999</v>
      </c>
      <c r="M543">
        <f>L543*(1+Input!N670)*M$12</f>
        <v>1.08243216</v>
      </c>
      <c r="N543">
        <f>M543*(1+Input!O670)*N$12</f>
        <v>1.1040808032</v>
      </c>
      <c r="O543">
        <f>N543*(1+Input!P670)*O$12</f>
        <v>1.1261624192640001</v>
      </c>
      <c r="P543">
        <f>O543*(1+Input!Q670)*P$12</f>
        <v>1.14868566764928</v>
      </c>
      <c r="Q543">
        <f>P543*(1+Input!R670)*Q$12</f>
        <v>1.1716593810022657</v>
      </c>
      <c r="R543">
        <f>Q543*(1+Input!S670)*R$12</f>
        <v>1.1950925686223111</v>
      </c>
      <c r="S543">
        <f>R543*(1+Input!T670)*S$12</f>
        <v>1.2189944199947573</v>
      </c>
      <c r="T543">
        <f>S543*(1+Input!U670)*T$12</f>
        <v>1.2433743083946525</v>
      </c>
      <c r="U543">
        <f>T543*(1+Input!V670)*U$12</f>
        <v>1.2682417945625455</v>
      </c>
      <c r="V543">
        <f>U543*(1+Input!W670)*V$12</f>
        <v>1.2936066304537963</v>
      </c>
    </row>
    <row r="544" spans="2:22">
      <c r="B544" t="s">
        <v>504</v>
      </c>
      <c r="G544"/>
      <c r="I544">
        <v>1</v>
      </c>
      <c r="J544">
        <f>I544*(1+Input!K675)*J$12</f>
        <v>1.02</v>
      </c>
      <c r="K544">
        <f>J544*(1+Input!L675)*K$12</f>
        <v>1.0404</v>
      </c>
      <c r="L544">
        <f>K544*(1+Input!M675)*L$12</f>
        <v>1.0612079999999999</v>
      </c>
      <c r="M544">
        <f>L544*(1+Input!N675)*M$12</f>
        <v>1.08243216</v>
      </c>
      <c r="N544">
        <f>M544*(1+Input!O675)*N$12</f>
        <v>1.1040808032</v>
      </c>
      <c r="O544">
        <f>N544*(1+Input!P675)*O$12</f>
        <v>1.1261624192640001</v>
      </c>
      <c r="P544">
        <f>O544*(1+Input!Q675)*P$12</f>
        <v>1.14868566764928</v>
      </c>
      <c r="Q544">
        <f>P544*(1+Input!R675)*Q$12</f>
        <v>1.1716593810022657</v>
      </c>
      <c r="R544">
        <f>Q544*(1+Input!S675)*R$12</f>
        <v>1.1950925686223111</v>
      </c>
      <c r="S544">
        <f>R544*(1+Input!T675)*S$12</f>
        <v>1.2189944199947573</v>
      </c>
      <c r="T544">
        <f>S544*(1+Input!U675)*T$12</f>
        <v>1.2433743083946525</v>
      </c>
      <c r="U544">
        <f>T544*(1+Input!V675)*U$12</f>
        <v>1.2682417945625455</v>
      </c>
      <c r="V544">
        <f>U544*(1+Input!W675)*V$12</f>
        <v>1.2936066304537963</v>
      </c>
    </row>
    <row r="545" spans="2:22">
      <c r="B545" t="s">
        <v>497</v>
      </c>
      <c r="G545"/>
      <c r="I545">
        <v>1</v>
      </c>
      <c r="J545">
        <f>I545*(1+Input!K680)*J$12</f>
        <v>1.0349999999999999</v>
      </c>
      <c r="K545">
        <f>J545*(1+Input!L680)*K$12</f>
        <v>1.0712249999999999</v>
      </c>
      <c r="L545">
        <f>K545*(1+Input!M680)*L$12</f>
        <v>1.1087178749999997</v>
      </c>
      <c r="M545">
        <f>L545*(1+Input!N680)*M$12</f>
        <v>1.1475230006249997</v>
      </c>
      <c r="N545">
        <f>M545*(1+Input!O680)*N$12</f>
        <v>1.1876863056468745</v>
      </c>
      <c r="O545">
        <f>N545*(1+Input!P680)*O$12</f>
        <v>1.229255326344515</v>
      </c>
      <c r="P545">
        <f>O545*(1+Input!Q680)*P$12</f>
        <v>1.2722792627665729</v>
      </c>
      <c r="Q545">
        <f>P545*(1+Input!R680)*Q$12</f>
        <v>1.3168090369634029</v>
      </c>
      <c r="R545">
        <f>Q545*(1+Input!S680)*R$12</f>
        <v>1.3628973532571218</v>
      </c>
      <c r="S545">
        <f>R545*(1+Input!T680)*S$12</f>
        <v>1.410598760621121</v>
      </c>
      <c r="T545">
        <f>S545*(1+Input!U680)*T$12</f>
        <v>1.4599697172428601</v>
      </c>
      <c r="U545">
        <f>T545*(1+Input!V680)*U$12</f>
        <v>1.5110686573463601</v>
      </c>
      <c r="V545">
        <f>U545*(1+Input!W680)*V$12</f>
        <v>1.5639560603534826</v>
      </c>
    </row>
    <row r="546" spans="2:22">
      <c r="B546" t="s">
        <v>505</v>
      </c>
      <c r="G546"/>
      <c r="I546">
        <v>1</v>
      </c>
      <c r="J546">
        <f>I546*(1+Input!K685)*J$12</f>
        <v>1.03</v>
      </c>
      <c r="K546">
        <f>J546*(1+Input!L685)*K$12</f>
        <v>1.0609</v>
      </c>
      <c r="L546">
        <f>K546*(1+Input!M685)*L$12</f>
        <v>1.092727</v>
      </c>
      <c r="M546">
        <f>L546*(1+Input!N685)*M$12</f>
        <v>1.1255088100000001</v>
      </c>
      <c r="N546">
        <f>M546*(1+Input!O685)*N$12</f>
        <v>1.1592740743000001</v>
      </c>
      <c r="O546">
        <f>N546*(1+Input!P685)*O$12</f>
        <v>1.1940522965290001</v>
      </c>
      <c r="P546">
        <f>O546*(1+Input!Q685)*P$12</f>
        <v>1.2298738654248702</v>
      </c>
      <c r="Q546">
        <f>P546*(1+Input!R685)*Q$12</f>
        <v>1.2667700813876164</v>
      </c>
      <c r="R546">
        <f>Q546*(1+Input!S685)*R$12</f>
        <v>1.3047731838292449</v>
      </c>
      <c r="S546">
        <f>R546*(1+Input!T685)*S$12</f>
        <v>1.3439163793441222</v>
      </c>
      <c r="T546">
        <f>S546*(1+Input!U685)*T$12</f>
        <v>1.3842338707244459</v>
      </c>
      <c r="U546">
        <f>T546*(1+Input!V685)*U$12</f>
        <v>1.4257608868461793</v>
      </c>
      <c r="V546">
        <f>U546*(1+Input!W685)*V$12</f>
        <v>1.4685337134515648</v>
      </c>
    </row>
    <row r="547" spans="2:22">
      <c r="B547" t="s">
        <v>569</v>
      </c>
      <c r="G547"/>
      <c r="I547">
        <v>1</v>
      </c>
      <c r="J547">
        <f>I547*(1+Input!K690)*J$12</f>
        <v>1.03</v>
      </c>
      <c r="K547">
        <f>J547*(1+Input!L690)*K$12</f>
        <v>1.0609</v>
      </c>
      <c r="L547">
        <f>K547*(1+Input!M690)*L$12</f>
        <v>1.092727</v>
      </c>
      <c r="M547">
        <f>L547*(1+Input!N690)*M$12</f>
        <v>1.1255088100000001</v>
      </c>
      <c r="N547">
        <f>M547*(1+Input!O690)*N$12</f>
        <v>1.1592740743000001</v>
      </c>
      <c r="O547">
        <f>N547*(1+Input!P690)*O$12</f>
        <v>1.1940522965290001</v>
      </c>
      <c r="P547">
        <f>O547*(1+Input!Q690)*P$12</f>
        <v>1.2298738654248702</v>
      </c>
      <c r="Q547">
        <f>P547*(1+Input!R690)*Q$12</f>
        <v>1.2667700813876164</v>
      </c>
      <c r="R547">
        <f>Q547*(1+Input!S690)*R$12</f>
        <v>1.3047731838292449</v>
      </c>
      <c r="S547">
        <f>R547*(1+Input!T690)*S$12</f>
        <v>1.3439163793441222</v>
      </c>
      <c r="T547">
        <f>S547*(1+Input!U690)*T$12</f>
        <v>1.3842338707244459</v>
      </c>
      <c r="U547">
        <f>T547*(1+Input!V690)*U$12</f>
        <v>1.4257608868461793</v>
      </c>
      <c r="V547">
        <f>U547*(1+Input!W690)*V$12</f>
        <v>1.4685337134515648</v>
      </c>
    </row>
    <row r="548" spans="2:22">
      <c r="G548"/>
    </row>
    <row r="549" spans="2:22">
      <c r="B549" s="2" t="s">
        <v>570</v>
      </c>
      <c r="G549"/>
      <c r="J549" s="88">
        <f t="shared" ref="J549:V549" si="177">SUM(J550:J558)</f>
        <v>3.0717537533632</v>
      </c>
      <c r="K549" s="22">
        <f t="shared" si="177"/>
        <v>3.1589970459708727</v>
      </c>
      <c r="L549" s="22">
        <f t="shared" si="177"/>
        <v>3.2487703955550709</v>
      </c>
      <c r="M549" s="22">
        <f t="shared" si="177"/>
        <v>3.341148342049991</v>
      </c>
      <c r="N549" s="22">
        <f t="shared" si="177"/>
        <v>3.4362076477594869</v>
      </c>
      <c r="O549" s="22">
        <f t="shared" si="177"/>
        <v>3.5340273642208411</v>
      </c>
      <c r="P549" s="22">
        <f t="shared" si="177"/>
        <v>3.6346889010947288</v>
      </c>
      <c r="Q549" s="22">
        <f t="shared" si="177"/>
        <v>3.7382760971431308</v>
      </c>
      <c r="R549" s="22">
        <f t="shared" si="177"/>
        <v>3.844875293358879</v>
      </c>
      <c r="S549" s="22">
        <f t="shared" si="177"/>
        <v>3.9545754083124058</v>
      </c>
      <c r="T549" s="22">
        <f t="shared" si="177"/>
        <v>4.0674680157833558</v>
      </c>
      <c r="U549" s="22">
        <f t="shared" si="177"/>
        <v>4.1836474247467281</v>
      </c>
      <c r="V549" s="22">
        <f t="shared" si="177"/>
        <v>4.3032107617853992</v>
      </c>
    </row>
    <row r="550" spans="2:22">
      <c r="B550" t="s">
        <v>496</v>
      </c>
      <c r="F550" s="72">
        <f>Input!J637</f>
        <v>1.7023670040000001</v>
      </c>
      <c r="G550"/>
      <c r="J550" s="22">
        <f t="shared" ref="J550:V558" si="178">$F550*J539</f>
        <v>1.7534380141200001</v>
      </c>
      <c r="K550" s="22">
        <f t="shared" si="178"/>
        <v>1.8060411545435999</v>
      </c>
      <c r="L550" s="22">
        <f t="shared" si="178"/>
        <v>1.8602223891799081</v>
      </c>
      <c r="M550" s="22">
        <f t="shared" si="178"/>
        <v>1.9160290608553057</v>
      </c>
      <c r="N550" s="22">
        <f t="shared" si="178"/>
        <v>1.9735099326809646</v>
      </c>
      <c r="O550" s="22">
        <f t="shared" si="178"/>
        <v>2.0327152306613936</v>
      </c>
      <c r="P550" s="22">
        <f t="shared" si="178"/>
        <v>2.0936966875812355</v>
      </c>
      <c r="Q550" s="22">
        <f t="shared" si="178"/>
        <v>2.1565075882086728</v>
      </c>
      <c r="R550" s="22">
        <f t="shared" si="178"/>
        <v>2.2212028158549328</v>
      </c>
      <c r="S550" s="22">
        <f t="shared" si="178"/>
        <v>2.287838900330581</v>
      </c>
      <c r="T550" s="22">
        <f t="shared" si="178"/>
        <v>2.3564740673404985</v>
      </c>
      <c r="U550" s="22">
        <f t="shared" si="178"/>
        <v>2.4271682893607132</v>
      </c>
      <c r="V550" s="22">
        <f t="shared" si="178"/>
        <v>2.4999833380415351</v>
      </c>
    </row>
    <row r="551" spans="2:22">
      <c r="B551" t="s">
        <v>500</v>
      </c>
      <c r="F551" s="72">
        <f>Input!J638</f>
        <v>0.25867063399000001</v>
      </c>
      <c r="G551"/>
      <c r="J551" s="22">
        <f t="shared" si="178"/>
        <v>0.26384404666979999</v>
      </c>
      <c r="K551" s="22">
        <f t="shared" si="178"/>
        <v>0.269120927603196</v>
      </c>
      <c r="L551" s="22">
        <f t="shared" si="178"/>
        <v>0.2745033461552599</v>
      </c>
      <c r="M551" s="22">
        <f t="shared" si="178"/>
        <v>0.27999341307836512</v>
      </c>
      <c r="N551" s="22">
        <f t="shared" si="178"/>
        <v>0.28559328133993245</v>
      </c>
      <c r="O551" s="22">
        <f t="shared" si="178"/>
        <v>0.2913051469667311</v>
      </c>
      <c r="P551" s="22">
        <f t="shared" si="178"/>
        <v>0.29713124990606571</v>
      </c>
      <c r="Q551" s="22">
        <f t="shared" si="178"/>
        <v>0.30307387490418708</v>
      </c>
      <c r="R551" s="22">
        <f t="shared" si="178"/>
        <v>0.3091353524022708</v>
      </c>
      <c r="S551" s="22">
        <f t="shared" si="178"/>
        <v>0.31531805945031621</v>
      </c>
      <c r="T551" s="22">
        <f t="shared" si="178"/>
        <v>0.32162442063932256</v>
      </c>
      <c r="U551" s="22">
        <f t="shared" si="178"/>
        <v>0.32805690905210899</v>
      </c>
      <c r="V551" s="22">
        <f t="shared" si="178"/>
        <v>0.33461804723315114</v>
      </c>
    </row>
    <row r="552" spans="2:22">
      <c r="B552" t="s">
        <v>499</v>
      </c>
      <c r="F552" s="72">
        <f>Input!J639</f>
        <v>0.23960182307999997</v>
      </c>
      <c r="G552"/>
      <c r="J552" s="22">
        <f t="shared" si="178"/>
        <v>0.24678987777239997</v>
      </c>
      <c r="K552" s="22">
        <f t="shared" si="178"/>
        <v>0.25419357410557197</v>
      </c>
      <c r="L552" s="22">
        <f t="shared" si="178"/>
        <v>0.26181938132873911</v>
      </c>
      <c r="M552" s="22">
        <f t="shared" si="178"/>
        <v>0.26967396276860134</v>
      </c>
      <c r="N552" s="22">
        <f t="shared" si="178"/>
        <v>0.27776418165165934</v>
      </c>
      <c r="O552" s="22">
        <f t="shared" si="178"/>
        <v>0.28609710710120917</v>
      </c>
      <c r="P552" s="22">
        <f t="shared" si="178"/>
        <v>0.29468002031424545</v>
      </c>
      <c r="Q552" s="22">
        <f t="shared" si="178"/>
        <v>0.30352042092367282</v>
      </c>
      <c r="R552" s="22">
        <f t="shared" si="178"/>
        <v>0.31262603355138302</v>
      </c>
      <c r="S552" s="22">
        <f t="shared" si="178"/>
        <v>0.32200481455792451</v>
      </c>
      <c r="T552" s="22">
        <f t="shared" si="178"/>
        <v>0.33166495899466225</v>
      </c>
      <c r="U552" s="22">
        <f t="shared" si="178"/>
        <v>0.3416149077645021</v>
      </c>
      <c r="V552" s="22">
        <f t="shared" si="178"/>
        <v>0.35186335499743721</v>
      </c>
    </row>
    <row r="553" spans="2:22">
      <c r="B553" t="s">
        <v>506</v>
      </c>
      <c r="F553" s="72">
        <f>Input!J640</f>
        <v>0.17580518881999999</v>
      </c>
      <c r="G553"/>
      <c r="J553" s="22">
        <f t="shared" si="178"/>
        <v>0.1810793444846</v>
      </c>
      <c r="K553" s="22">
        <f t="shared" si="178"/>
        <v>0.18651172481913797</v>
      </c>
      <c r="L553" s="22">
        <f t="shared" si="178"/>
        <v>0.19210707656371212</v>
      </c>
      <c r="M553" s="22">
        <f t="shared" si="178"/>
        <v>0.19787028886062352</v>
      </c>
      <c r="N553" s="22">
        <f t="shared" si="178"/>
        <v>0.2038063975264422</v>
      </c>
      <c r="O553" s="22">
        <f t="shared" si="178"/>
        <v>0.20992058945223549</v>
      </c>
      <c r="P553" s="22">
        <f t="shared" si="178"/>
        <v>0.21621820713580256</v>
      </c>
      <c r="Q553" s="22">
        <f t="shared" si="178"/>
        <v>0.22270475334987663</v>
      </c>
      <c r="R553" s="22">
        <f t="shared" si="178"/>
        <v>0.22938589595037295</v>
      </c>
      <c r="S553" s="22">
        <f t="shared" si="178"/>
        <v>0.23626747282888413</v>
      </c>
      <c r="T553" s="22">
        <f t="shared" si="178"/>
        <v>0.24335549701375067</v>
      </c>
      <c r="U553" s="22">
        <f t="shared" si="178"/>
        <v>0.25065616192416318</v>
      </c>
      <c r="V553" s="22">
        <f t="shared" si="178"/>
        <v>0.2581758467818881</v>
      </c>
    </row>
    <row r="554" spans="2:22">
      <c r="B554" t="s">
        <v>502</v>
      </c>
      <c r="F554" s="72">
        <f>Input!J641</f>
        <v>0.14777611399999999</v>
      </c>
      <c r="G554"/>
      <c r="J554" s="22">
        <f t="shared" si="178"/>
        <v>0.15073163628</v>
      </c>
      <c r="K554" s="22">
        <f t="shared" si="178"/>
        <v>0.15374626900559998</v>
      </c>
      <c r="L554" s="22">
        <f t="shared" si="178"/>
        <v>0.15682119438571199</v>
      </c>
      <c r="M554" s="22">
        <f t="shared" si="178"/>
        <v>0.15995761827342622</v>
      </c>
      <c r="N554" s="22">
        <f t="shared" si="178"/>
        <v>0.16315677063889475</v>
      </c>
      <c r="O554" s="22">
        <f t="shared" si="178"/>
        <v>0.16641990605167264</v>
      </c>
      <c r="P554" s="22">
        <f t="shared" si="178"/>
        <v>0.16974830417270612</v>
      </c>
      <c r="Q554" s="22">
        <f t="shared" si="178"/>
        <v>0.17314327025616025</v>
      </c>
      <c r="R554" s="22">
        <f t="shared" si="178"/>
        <v>0.17660613566128344</v>
      </c>
      <c r="S554" s="22">
        <f t="shared" si="178"/>
        <v>0.18013825837450911</v>
      </c>
      <c r="T554" s="22">
        <f t="shared" si="178"/>
        <v>0.18374102354199931</v>
      </c>
      <c r="U554" s="22">
        <f t="shared" si="178"/>
        <v>0.18741584401283928</v>
      </c>
      <c r="V554" s="22">
        <f t="shared" si="178"/>
        <v>0.19116416089309607</v>
      </c>
    </row>
    <row r="555" spans="2:22">
      <c r="B555" t="s">
        <v>504</v>
      </c>
      <c r="F555" s="72">
        <f>Input!J642</f>
        <v>0.146392455</v>
      </c>
      <c r="G555"/>
      <c r="J555" s="22">
        <f t="shared" si="178"/>
        <v>0.1493203041</v>
      </c>
      <c r="K555" s="22">
        <f t="shared" si="178"/>
        <v>0.15230671018200001</v>
      </c>
      <c r="L555" s="22">
        <f t="shared" si="178"/>
        <v>0.15535284438563998</v>
      </c>
      <c r="M555" s="22">
        <f t="shared" si="178"/>
        <v>0.1584599012733528</v>
      </c>
      <c r="N555" s="22">
        <f t="shared" si="178"/>
        <v>0.16162909929881986</v>
      </c>
      <c r="O555" s="22">
        <f t="shared" si="178"/>
        <v>0.16486168128479628</v>
      </c>
      <c r="P555" s="22">
        <f t="shared" si="178"/>
        <v>0.1681589149104922</v>
      </c>
      <c r="Q555" s="22">
        <f t="shared" si="178"/>
        <v>0.17152209320870204</v>
      </c>
      <c r="R555" s="22">
        <f t="shared" si="178"/>
        <v>0.17495253507287609</v>
      </c>
      <c r="S555" s="22">
        <f t="shared" si="178"/>
        <v>0.17845158577433362</v>
      </c>
      <c r="T555" s="22">
        <f t="shared" si="178"/>
        <v>0.18202061748982029</v>
      </c>
      <c r="U555" s="22">
        <f t="shared" si="178"/>
        <v>0.18566102983961669</v>
      </c>
      <c r="V555" s="22">
        <f t="shared" si="178"/>
        <v>0.18937425043640901</v>
      </c>
    </row>
    <row r="556" spans="2:22">
      <c r="B556" t="s">
        <v>497</v>
      </c>
      <c r="F556" s="72">
        <f>Input!J643</f>
        <v>0.14099321300000001</v>
      </c>
      <c r="G556"/>
      <c r="J556" s="22">
        <f t="shared" si="178"/>
        <v>0.145927975455</v>
      </c>
      <c r="K556" s="22">
        <f t="shared" si="178"/>
        <v>0.15103545459592499</v>
      </c>
      <c r="L556" s="22">
        <f t="shared" si="178"/>
        <v>0.15632169550678235</v>
      </c>
      <c r="M556" s="22">
        <f t="shared" si="178"/>
        <v>0.16179295484951972</v>
      </c>
      <c r="N556" s="22">
        <f t="shared" si="178"/>
        <v>0.16745570826925288</v>
      </c>
      <c r="O556" s="22">
        <f t="shared" si="178"/>
        <v>0.17331665805867671</v>
      </c>
      <c r="P556" s="22">
        <f t="shared" si="178"/>
        <v>0.17938274109073038</v>
      </c>
      <c r="Q556" s="22">
        <f t="shared" si="178"/>
        <v>0.18566113702890594</v>
      </c>
      <c r="R556" s="22">
        <f t="shared" si="178"/>
        <v>0.19215927682491762</v>
      </c>
      <c r="S556" s="22">
        <f t="shared" si="178"/>
        <v>0.19888485151378973</v>
      </c>
      <c r="T556" s="22">
        <f t="shared" si="178"/>
        <v>0.20584582131677234</v>
      </c>
      <c r="U556" s="22">
        <f t="shared" si="178"/>
        <v>0.21305042506285937</v>
      </c>
      <c r="V556" s="22">
        <f t="shared" si="178"/>
        <v>0.22050718994005944</v>
      </c>
    </row>
    <row r="557" spans="2:22">
      <c r="B557" t="s">
        <v>505</v>
      </c>
      <c r="F557" s="72">
        <f>Input!J644</f>
        <v>0.13922671138000001</v>
      </c>
      <c r="G557"/>
      <c r="J557" s="22">
        <f t="shared" si="178"/>
        <v>0.14340351272140001</v>
      </c>
      <c r="K557" s="22">
        <f t="shared" si="178"/>
        <v>0.147705618103042</v>
      </c>
      <c r="L557" s="22">
        <f t="shared" si="178"/>
        <v>0.15213678664613325</v>
      </c>
      <c r="M557" s="22">
        <f t="shared" si="178"/>
        <v>0.15670089024551728</v>
      </c>
      <c r="N557" s="22">
        <f t="shared" si="178"/>
        <v>0.16140191695288278</v>
      </c>
      <c r="O557" s="22">
        <f t="shared" si="178"/>
        <v>0.1662439744614693</v>
      </c>
      <c r="P557" s="22">
        <f t="shared" si="178"/>
        <v>0.17123129369531337</v>
      </c>
      <c r="Q557" s="22">
        <f t="shared" si="178"/>
        <v>0.17636823250617278</v>
      </c>
      <c r="R557" s="22">
        <f t="shared" si="178"/>
        <v>0.18165927948135796</v>
      </c>
      <c r="S557" s="22">
        <f t="shared" si="178"/>
        <v>0.18710905786579871</v>
      </c>
      <c r="T557" s="22">
        <f t="shared" si="178"/>
        <v>0.19272232960177269</v>
      </c>
      <c r="U557" s="22">
        <f t="shared" si="178"/>
        <v>0.19850399948982586</v>
      </c>
      <c r="V557" s="22">
        <f t="shared" si="178"/>
        <v>0.20445911947452064</v>
      </c>
    </row>
    <row r="558" spans="2:22">
      <c r="B558" t="s">
        <v>569</v>
      </c>
      <c r="F558" s="72">
        <f>Input!J645</f>
        <v>3.6134991999999998E-2</v>
      </c>
      <c r="G558"/>
      <c r="J558" s="22">
        <f t="shared" si="178"/>
        <v>3.7219041760000002E-2</v>
      </c>
      <c r="K558" s="22">
        <f t="shared" si="178"/>
        <v>3.8335613012799995E-2</v>
      </c>
      <c r="L558" s="22">
        <f t="shared" si="178"/>
        <v>3.9485681403183995E-2</v>
      </c>
      <c r="M558" s="22">
        <f t="shared" si="178"/>
        <v>4.0670251845279524E-2</v>
      </c>
      <c r="N558" s="22">
        <f t="shared" si="178"/>
        <v>4.1890359400637907E-2</v>
      </c>
      <c r="O558" s="22">
        <f t="shared" si="178"/>
        <v>4.3147070182657045E-2</v>
      </c>
      <c r="P558" s="22">
        <f t="shared" si="178"/>
        <v>4.4441482288136762E-2</v>
      </c>
      <c r="Q558" s="22">
        <f t="shared" si="178"/>
        <v>4.5774726756780862E-2</v>
      </c>
      <c r="R558" s="22">
        <f t="shared" si="178"/>
        <v>4.7147968559484291E-2</v>
      </c>
      <c r="S558" s="22">
        <f t="shared" si="178"/>
        <v>4.8562407616268816E-2</v>
      </c>
      <c r="T558" s="22">
        <f t="shared" si="178"/>
        <v>5.0019279844756882E-2</v>
      </c>
      <c r="U558" s="22">
        <f t="shared" si="178"/>
        <v>5.1519858240099588E-2</v>
      </c>
      <c r="V558" s="22">
        <f t="shared" si="178"/>
        <v>5.3065453987302585E-2</v>
      </c>
    </row>
    <row r="559" spans="2:22">
      <c r="G559"/>
    </row>
    <row r="560" spans="2:22" ht="24" thickBot="1">
      <c r="B560" s="14" t="s">
        <v>571</v>
      </c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</row>
    <row r="561" spans="2:22">
      <c r="G561"/>
    </row>
    <row r="562" spans="2:22">
      <c r="B562" t="s">
        <v>37</v>
      </c>
      <c r="F562" s="19">
        <v>2026</v>
      </c>
      <c r="G562"/>
      <c r="J562" s="13">
        <f>IF(J$8&lt;$F562,0,1)*J$12</f>
        <v>0</v>
      </c>
      <c r="K562" s="13">
        <f t="shared" ref="K562:V562" si="179">IF(K$8&lt;$F562,0,1)*K$12</f>
        <v>0</v>
      </c>
      <c r="L562" s="13">
        <f t="shared" si="179"/>
        <v>1</v>
      </c>
      <c r="M562" s="13">
        <f t="shared" si="179"/>
        <v>1</v>
      </c>
      <c r="N562" s="13">
        <f t="shared" si="179"/>
        <v>1</v>
      </c>
      <c r="O562" s="13">
        <f t="shared" si="179"/>
        <v>1</v>
      </c>
      <c r="P562" s="13">
        <f t="shared" si="179"/>
        <v>1</v>
      </c>
      <c r="Q562" s="13">
        <f t="shared" si="179"/>
        <v>1</v>
      </c>
      <c r="R562" s="13">
        <f t="shared" si="179"/>
        <v>1</v>
      </c>
      <c r="S562" s="13">
        <f t="shared" si="179"/>
        <v>1</v>
      </c>
      <c r="T562" s="13">
        <f t="shared" si="179"/>
        <v>1</v>
      </c>
      <c r="U562" s="13">
        <f t="shared" si="179"/>
        <v>1</v>
      </c>
      <c r="V562" s="13">
        <f t="shared" si="179"/>
        <v>1</v>
      </c>
    </row>
    <row r="563" spans="2:22">
      <c r="G563"/>
    </row>
    <row r="564" spans="2:22" ht="15.75">
      <c r="B564" s="15" t="s">
        <v>572</v>
      </c>
      <c r="G564"/>
    </row>
    <row r="565" spans="2:22" ht="15.75">
      <c r="B565" s="41" t="s">
        <v>573</v>
      </c>
      <c r="F565" s="19">
        <v>2023</v>
      </c>
      <c r="G565"/>
      <c r="I565">
        <v>1</v>
      </c>
      <c r="J565" s="70">
        <f>IF(J$8&lt;$F565,0,IF(J$8=$F565,1,I565*(1+Input!K699)*J$12))</f>
        <v>1.05</v>
      </c>
      <c r="K565" s="70">
        <f>IF(K$8&lt;$F565,0,IF(K$8=$F565,1,J565*(1+Input!L699)*K$12))</f>
        <v>1.1025</v>
      </c>
      <c r="L565" s="70">
        <f>IF(L$8&lt;$F565,0,IF(L$8=$F565,1,K565*(1+Input!M699)*L$12))</f>
        <v>1.1576250000000001</v>
      </c>
      <c r="M565" s="70">
        <f>IF(M$8&lt;$F565,0,IF(M$8=$F565,1,L565*(1+Input!N699)*M$12))</f>
        <v>1.2155062500000002</v>
      </c>
      <c r="N565" s="70">
        <f>IF(N$8&lt;$F565,0,IF(N$8=$F565,1,M565*(1+Input!O699)*N$12))</f>
        <v>1.2762815625000004</v>
      </c>
      <c r="O565" s="70">
        <f>IF(O$8&lt;$F565,0,IF(O$8=$F565,1,N565*(1+Input!P699)*O$12))</f>
        <v>1.3400956406250004</v>
      </c>
      <c r="P565" s="70">
        <f>IF(P$8&lt;$F565,0,IF(P$8=$F565,1,O565*(1+Input!Q699)*P$12))</f>
        <v>1.4071004226562505</v>
      </c>
      <c r="Q565" s="70">
        <f>IF(Q$8&lt;$F565,0,IF(Q$8=$F565,1,P565*(1+Input!R699)*Q$12))</f>
        <v>1.477455443789063</v>
      </c>
      <c r="R565" s="70">
        <f>IF(R$8&lt;$F565,0,IF(R$8=$F565,1,Q565*(1+Input!S699)*R$12))</f>
        <v>1.5513282159785162</v>
      </c>
      <c r="S565" s="70">
        <f>IF(S$8&lt;$F565,0,IF(S$8=$F565,1,R565*(1+Input!T699)*S$12))</f>
        <v>1.628894626777442</v>
      </c>
      <c r="T565" s="70">
        <f>IF(T$8&lt;$F565,0,IF(T$8=$F565,1,S565*(1+Input!U699)*T$12))</f>
        <v>1.7103393581163142</v>
      </c>
      <c r="U565" s="70">
        <f>IF(U$8&lt;$F565,0,IF(U$8=$F565,1,T565*(1+Input!V699)*U$12))</f>
        <v>1.7958563260221301</v>
      </c>
      <c r="V565" s="70">
        <f>IF(V$8&lt;$F565,0,IF(V$8=$F565,1,U565*(1+Input!W699)*V$12))</f>
        <v>1.8856491423232367</v>
      </c>
    </row>
    <row r="566" spans="2:22">
      <c r="B566" s="407" t="s">
        <v>407</v>
      </c>
      <c r="F566" s="16">
        <f>Input!J704</f>
        <v>346296.03600000002</v>
      </c>
      <c r="G566" s="17" t="s">
        <v>315</v>
      </c>
      <c r="J566">
        <f>$F566*J565</f>
        <v>363610.83780000004</v>
      </c>
      <c r="K566">
        <f t="shared" ref="K566:V566" si="180">$F566*K565</f>
        <v>381791.37969000003</v>
      </c>
      <c r="L566">
        <f t="shared" si="180"/>
        <v>400880.94867450005</v>
      </c>
      <c r="M566">
        <f t="shared" si="180"/>
        <v>420924.99610822508</v>
      </c>
      <c r="N566">
        <f t="shared" si="180"/>
        <v>441971.24591363641</v>
      </c>
      <c r="O566">
        <f t="shared" si="180"/>
        <v>464069.80820931826</v>
      </c>
      <c r="P566">
        <f t="shared" si="180"/>
        <v>487273.29861978418</v>
      </c>
      <c r="Q566">
        <f t="shared" si="180"/>
        <v>511636.96355077339</v>
      </c>
      <c r="R566">
        <f t="shared" si="180"/>
        <v>537218.81172831205</v>
      </c>
      <c r="S566">
        <f t="shared" si="180"/>
        <v>564079.75231472764</v>
      </c>
      <c r="T566">
        <f t="shared" si="180"/>
        <v>592283.73993046407</v>
      </c>
      <c r="U566">
        <f t="shared" si="180"/>
        <v>621897.92692698736</v>
      </c>
      <c r="V566">
        <f t="shared" si="180"/>
        <v>652992.82327333675</v>
      </c>
    </row>
    <row r="567" spans="2:22">
      <c r="B567" s="407" t="s">
        <v>465</v>
      </c>
      <c r="J567">
        <f>Input!K706</f>
        <v>12328.621061691381</v>
      </c>
      <c r="K567">
        <f>Input!L706</f>
        <v>2575</v>
      </c>
      <c r="L567">
        <f>Input!M706</f>
        <v>2652.25</v>
      </c>
      <c r="M567">
        <f>Input!N706</f>
        <v>2731.8175000000001</v>
      </c>
      <c r="N567">
        <f>Input!O706</f>
        <v>2813.7720250000002</v>
      </c>
      <c r="O567">
        <f>Input!P706</f>
        <v>2898.1851857500001</v>
      </c>
      <c r="P567">
        <f>Input!Q706</f>
        <v>2985.1307413224999</v>
      </c>
      <c r="Q567">
        <f>Input!R706</f>
        <v>3074.684663562175</v>
      </c>
      <c r="R567">
        <f>Input!S706</f>
        <v>3166.9252034690403</v>
      </c>
      <c r="S567">
        <f>Input!T706</f>
        <v>3261.9329595731115</v>
      </c>
      <c r="T567">
        <f>Input!U706</f>
        <v>3261.9329595731115</v>
      </c>
      <c r="U567">
        <f>Input!V706</f>
        <v>3261.9329595731115</v>
      </c>
      <c r="V567">
        <f>Input!W706</f>
        <v>3261.9329595731115</v>
      </c>
    </row>
    <row r="568" spans="2:22">
      <c r="B568" s="28" t="s">
        <v>9</v>
      </c>
      <c r="C568" s="28"/>
      <c r="D568" s="28"/>
      <c r="E568" s="28"/>
      <c r="F568" s="28"/>
      <c r="G568" s="28"/>
      <c r="H568" s="28"/>
      <c r="I568" s="48">
        <f>SUM(J568:V568)</f>
        <v>22.927243342903861</v>
      </c>
      <c r="J568" s="76">
        <f>J566*J567/Billion</f>
        <v>4.4828202331603286</v>
      </c>
      <c r="K568" s="76">
        <f t="shared" ref="K568:V568" si="181">K566*K567/Billion</f>
        <v>0.98311280270175005</v>
      </c>
      <c r="L568" s="76">
        <f t="shared" si="181"/>
        <v>1.0632364961219427</v>
      </c>
      <c r="M568" s="76">
        <f t="shared" si="181"/>
        <v>1.1498902705558813</v>
      </c>
      <c r="N568" s="76">
        <f t="shared" si="181"/>
        <v>1.2436063276061857</v>
      </c>
      <c r="O568" s="76">
        <f t="shared" si="181"/>
        <v>1.3449602433060899</v>
      </c>
      <c r="P568" s="76">
        <f t="shared" si="181"/>
        <v>1.4545745031355362</v>
      </c>
      <c r="Q568" s="76">
        <f t="shared" si="181"/>
        <v>1.5731223251410826</v>
      </c>
      <c r="R568" s="76">
        <f t="shared" si="181"/>
        <v>1.7013317946400808</v>
      </c>
      <c r="S568" s="76">
        <f t="shared" si="181"/>
        <v>1.839990335903247</v>
      </c>
      <c r="T568" s="76">
        <f t="shared" si="181"/>
        <v>1.9319898526984098</v>
      </c>
      <c r="U568" s="76">
        <f t="shared" si="181"/>
        <v>2.0285893453333306</v>
      </c>
      <c r="V568" s="76">
        <f t="shared" si="181"/>
        <v>2.1300188125999973</v>
      </c>
    </row>
    <row r="569" spans="2:22">
      <c r="G569"/>
      <c r="I569" s="21"/>
      <c r="K569" s="21"/>
      <c r="L569" s="21"/>
      <c r="M569" s="21"/>
      <c r="N569" s="21"/>
    </row>
    <row r="570" spans="2:22" ht="15.75">
      <c r="B570" s="41" t="s">
        <v>574</v>
      </c>
      <c r="F570" s="19">
        <v>2023</v>
      </c>
      <c r="G570"/>
      <c r="I570">
        <v>1</v>
      </c>
      <c r="J570" s="70">
        <f>IF(J$8&lt;$F570,0,IF(J$8=$F570,1,I570*(1+Input!K712)*J$12))</f>
        <v>1.05</v>
      </c>
      <c r="K570" s="70">
        <f>IF(K$8&lt;$F570,0,IF(K$8=$F570,1,J570*(1+Input!L712)*K$12))</f>
        <v>1.1025</v>
      </c>
      <c r="L570" s="70">
        <f>IF(L$8&lt;$F570,0,IF(L$8=$F570,1,K570*(1+Input!M712)*L$12))</f>
        <v>1.1576250000000001</v>
      </c>
      <c r="M570" s="70">
        <f>IF(M$8&lt;$F570,0,IF(M$8=$F570,1,L570*(1+Input!N712)*M$12))</f>
        <v>1.2155062500000002</v>
      </c>
      <c r="N570" s="70">
        <f>IF(N$8&lt;$F570,0,IF(N$8=$F570,1,M570*(1+Input!O712)*N$12))</f>
        <v>1.2762815625000004</v>
      </c>
      <c r="O570" s="70">
        <f>IF(O$8&lt;$F570,0,IF(O$8=$F570,1,N570*(1+Input!P712)*O$12))</f>
        <v>1.3400956406250004</v>
      </c>
      <c r="P570" s="70">
        <f>IF(P$8&lt;$F570,0,IF(P$8=$F570,1,O570*(1+Input!Q712)*P$12))</f>
        <v>1.4071004226562505</v>
      </c>
      <c r="Q570" s="70">
        <f>IF(Q$8&lt;$F570,0,IF(Q$8=$F570,1,P570*(1+Input!R712)*Q$12))</f>
        <v>1.477455443789063</v>
      </c>
      <c r="R570" s="70">
        <f>IF(R$8&lt;$F570,0,IF(R$8=$F570,1,Q570*(1+Input!S712)*R$12))</f>
        <v>1.5513282159785162</v>
      </c>
      <c r="S570" s="70">
        <f>IF(S$8&lt;$F570,0,IF(S$8=$F570,1,R570*(1+Input!T712)*S$12))</f>
        <v>1.628894626777442</v>
      </c>
      <c r="T570" s="70">
        <f>IF(T$8&lt;$F570,0,IF(T$8=$F570,1,S570*(1+Input!U712)*T$12))</f>
        <v>1.7103393581163142</v>
      </c>
      <c r="U570" s="70">
        <f>IF(U$8&lt;$F570,0,IF(U$8=$F570,1,T570*(1+Input!V712)*U$12))</f>
        <v>1.7958563260221301</v>
      </c>
      <c r="V570" s="70">
        <f>IF(V$8&lt;$F570,0,IF(V$8=$F570,1,U570*(1+Input!W712)*V$12))</f>
        <v>1.8856491423232367</v>
      </c>
    </row>
    <row r="571" spans="2:22">
      <c r="B571" s="407" t="s">
        <v>407</v>
      </c>
      <c r="F571" s="16">
        <f>Input!J717</f>
        <v>225199.88000000003</v>
      </c>
      <c r="G571" s="17" t="s">
        <v>315</v>
      </c>
      <c r="J571">
        <f t="shared" ref="J571:V571" si="182">$F571*J570</f>
        <v>236459.87400000004</v>
      </c>
      <c r="K571">
        <f t="shared" si="182"/>
        <v>248282.86770000003</v>
      </c>
      <c r="L571">
        <f t="shared" si="182"/>
        <v>260697.01108500006</v>
      </c>
      <c r="M571">
        <f t="shared" si="182"/>
        <v>273731.86163925007</v>
      </c>
      <c r="N571">
        <f t="shared" si="182"/>
        <v>287418.45472121262</v>
      </c>
      <c r="O571">
        <f t="shared" si="182"/>
        <v>301789.37745727325</v>
      </c>
      <c r="P571">
        <f t="shared" si="182"/>
        <v>316878.84633013693</v>
      </c>
      <c r="Q571">
        <f t="shared" si="182"/>
        <v>332722.78864664381</v>
      </c>
      <c r="R571">
        <f t="shared" si="182"/>
        <v>349358.92807897599</v>
      </c>
      <c r="S571">
        <f t="shared" si="182"/>
        <v>366826.87448292476</v>
      </c>
      <c r="T571">
        <f t="shared" si="182"/>
        <v>385168.21820707107</v>
      </c>
      <c r="U571">
        <f t="shared" si="182"/>
        <v>404426.62911742466</v>
      </c>
      <c r="V571">
        <f t="shared" si="182"/>
        <v>424647.96057329589</v>
      </c>
    </row>
    <row r="572" spans="2:22">
      <c r="B572" s="407" t="s">
        <v>465</v>
      </c>
      <c r="J572">
        <f>Input!K719</f>
        <v>57137.3691142518</v>
      </c>
      <c r="K572">
        <f>Input!L719</f>
        <v>3605</v>
      </c>
      <c r="L572">
        <f>Input!M719</f>
        <v>3713.15</v>
      </c>
      <c r="M572">
        <f>Input!N719</f>
        <v>3824.5445</v>
      </c>
      <c r="N572">
        <f>Input!O719</f>
        <v>3939.280835</v>
      </c>
      <c r="O572">
        <f>Input!P719</f>
        <v>4057.45926005</v>
      </c>
      <c r="P572">
        <f>Input!Q719</f>
        <v>4179.1830378514996</v>
      </c>
      <c r="Q572">
        <f>Input!R719</f>
        <v>4304.5585289870451</v>
      </c>
      <c r="R572">
        <f>Input!S719</f>
        <v>4433.6952848566561</v>
      </c>
      <c r="S572">
        <f>Input!T719</f>
        <v>4566.7061434023562</v>
      </c>
      <c r="T572">
        <f>Input!U719</f>
        <v>4566.7061434023562</v>
      </c>
      <c r="U572">
        <f>Input!V719</f>
        <v>4566.7061434023562</v>
      </c>
      <c r="V572">
        <f>Input!W719</f>
        <v>4566.7061434023562</v>
      </c>
    </row>
    <row r="573" spans="2:22">
      <c r="B573" s="28" t="s">
        <v>9</v>
      </c>
      <c r="C573" s="28"/>
      <c r="D573" s="28"/>
      <c r="E573" s="28"/>
      <c r="F573" s="28"/>
      <c r="G573" s="28"/>
      <c r="H573" s="28"/>
      <c r="I573" s="48">
        <f>SUM(J573:V573)</f>
        <v>30.303132827696405</v>
      </c>
      <c r="J573" s="76">
        <f>J571*J572/Billion</f>
        <v>13.510695101447476</v>
      </c>
      <c r="K573" s="76">
        <f t="shared" ref="K573:V573" si="183">K571*K572/Billion</f>
        <v>0.89505973805850014</v>
      </c>
      <c r="L573" s="76">
        <f t="shared" si="183"/>
        <v>0.96800710671026802</v>
      </c>
      <c r="M573" s="76">
        <f t="shared" si="183"/>
        <v>1.0468996859071549</v>
      </c>
      <c r="N573" s="76">
        <f t="shared" si="183"/>
        <v>1.1322220103085883</v>
      </c>
      <c r="O573" s="76">
        <f t="shared" si="183"/>
        <v>1.2244981041487382</v>
      </c>
      <c r="P573" s="76">
        <f t="shared" si="183"/>
        <v>1.3242946996368601</v>
      </c>
      <c r="Q573" s="76">
        <f t="shared" si="183"/>
        <v>1.4322247176572644</v>
      </c>
      <c r="R573" s="76">
        <f t="shared" si="183"/>
        <v>1.5489510321463316</v>
      </c>
      <c r="S573" s="76">
        <f t="shared" si="183"/>
        <v>1.6751905412662575</v>
      </c>
      <c r="T573" s="76">
        <f t="shared" si="183"/>
        <v>1.7589500683295707</v>
      </c>
      <c r="U573" s="76">
        <f t="shared" si="183"/>
        <v>1.8468975717460494</v>
      </c>
      <c r="V573" s="76">
        <f t="shared" si="183"/>
        <v>1.9392424503333519</v>
      </c>
    </row>
    <row r="574" spans="2:22">
      <c r="G574"/>
      <c r="I574" s="21"/>
      <c r="K574" s="21"/>
      <c r="L574" s="21"/>
      <c r="M574" s="21"/>
      <c r="N574" s="21"/>
    </row>
    <row r="575" spans="2:22" ht="15.75">
      <c r="B575" s="41" t="s">
        <v>575</v>
      </c>
      <c r="F575" s="19">
        <v>2023</v>
      </c>
      <c r="G575"/>
      <c r="I575">
        <v>1</v>
      </c>
      <c r="J575" s="70">
        <f>IF(J$8&lt;$F575,0,IF(J$8=$F575,1,I575*(1+Input!K725)*J$12))</f>
        <v>1.05</v>
      </c>
      <c r="K575" s="70">
        <f>IF(K$8&lt;$F575,0,IF(K$8=$F575,1,J575*(1+Input!L725)*K$12))</f>
        <v>1.1025</v>
      </c>
      <c r="L575" s="70">
        <f>IF(L$8&lt;$F575,0,IF(L$8=$F575,1,K575*(1+Input!M725)*L$12))</f>
        <v>1.1576250000000001</v>
      </c>
      <c r="M575" s="70">
        <f>IF(M$8&lt;$F575,0,IF(M$8=$F575,1,L575*(1+Input!N725)*M$12))</f>
        <v>1.2155062500000002</v>
      </c>
      <c r="N575" s="70">
        <f>IF(N$8&lt;$F575,0,IF(N$8=$F575,1,M575*(1+Input!O725)*N$12))</f>
        <v>1.2762815625000004</v>
      </c>
      <c r="O575" s="70">
        <f>IF(O$8&lt;$F575,0,IF(O$8=$F575,1,N575*(1+Input!P725)*O$12))</f>
        <v>1.3400956406250004</v>
      </c>
      <c r="P575" s="70">
        <f>IF(P$8&lt;$F575,0,IF(P$8=$F575,1,O575*(1+Input!Q725)*P$12))</f>
        <v>1.4071004226562505</v>
      </c>
      <c r="Q575" s="70">
        <f>IF(Q$8&lt;$F575,0,IF(Q$8=$F575,1,P575*(1+Input!R725)*Q$12))</f>
        <v>1.477455443789063</v>
      </c>
      <c r="R575" s="70">
        <f>IF(R$8&lt;$F575,0,IF(R$8=$F575,1,Q575*(1+Input!S725)*R$12))</f>
        <v>1.5513282159785162</v>
      </c>
      <c r="S575" s="70">
        <f>IF(S$8&lt;$F575,0,IF(S$8=$F575,1,R575*(1+Input!T725)*S$12))</f>
        <v>1.628894626777442</v>
      </c>
      <c r="T575" s="70">
        <f>IF(T$8&lt;$F575,0,IF(T$8=$F575,1,S575*(1+Input!U725)*T$12))</f>
        <v>1.7103393581163142</v>
      </c>
      <c r="U575" s="70">
        <f>IF(U$8&lt;$F575,0,IF(U$8=$F575,1,T575*(1+Input!V725)*U$12))</f>
        <v>1.7958563260221301</v>
      </c>
      <c r="V575" s="70">
        <f>IF(V$8&lt;$F575,0,IF(V$8=$F575,1,U575*(1+Input!W725)*V$12))</f>
        <v>1.8856491423232367</v>
      </c>
    </row>
    <row r="576" spans="2:22">
      <c r="B576" s="407" t="s">
        <v>407</v>
      </c>
      <c r="F576" s="16">
        <f>Input!J730</f>
        <v>295847.011</v>
      </c>
      <c r="G576" s="17" t="s">
        <v>315</v>
      </c>
      <c r="J576">
        <f t="shared" ref="J576:V576" si="184">$F576*J575</f>
        <v>310639.36155000003</v>
      </c>
      <c r="K576">
        <f t="shared" si="184"/>
        <v>326171.32962750003</v>
      </c>
      <c r="L576">
        <f t="shared" si="184"/>
        <v>342479.89610887505</v>
      </c>
      <c r="M576">
        <f t="shared" si="184"/>
        <v>359603.89091431879</v>
      </c>
      <c r="N576">
        <f t="shared" si="184"/>
        <v>377584.08546003478</v>
      </c>
      <c r="O576">
        <f t="shared" si="184"/>
        <v>396463.28973303654</v>
      </c>
      <c r="P576">
        <f t="shared" si="184"/>
        <v>416286.45421968837</v>
      </c>
      <c r="Q576">
        <f t="shared" si="184"/>
        <v>437100.77693067282</v>
      </c>
      <c r="R576">
        <f t="shared" si="184"/>
        <v>458955.81577720644</v>
      </c>
      <c r="S576">
        <f t="shared" si="184"/>
        <v>481903.6065660668</v>
      </c>
      <c r="T576">
        <f t="shared" si="184"/>
        <v>505998.78689437016</v>
      </c>
      <c r="U576">
        <f t="shared" si="184"/>
        <v>531298.72623908869</v>
      </c>
      <c r="V576">
        <f t="shared" si="184"/>
        <v>557863.66255104321</v>
      </c>
    </row>
    <row r="577" spans="2:22">
      <c r="B577" s="407" t="s">
        <v>465</v>
      </c>
      <c r="J577">
        <f>Input!K732</f>
        <v>4495.8039581760495</v>
      </c>
      <c r="K577">
        <f>Input!L732</f>
        <v>2575</v>
      </c>
      <c r="L577">
        <f>Input!M732</f>
        <v>2652.25</v>
      </c>
      <c r="M577">
        <f>Input!N732</f>
        <v>2731.8175000000001</v>
      </c>
      <c r="N577">
        <f>Input!O732</f>
        <v>2813.7720250000002</v>
      </c>
      <c r="O577">
        <f>Input!P732</f>
        <v>2898.1851857500001</v>
      </c>
      <c r="P577">
        <f>Input!Q732</f>
        <v>2985.1307413224999</v>
      </c>
      <c r="Q577">
        <f>Input!R732</f>
        <v>3074.684663562175</v>
      </c>
      <c r="R577">
        <f>Input!S732</f>
        <v>3166.9252034690403</v>
      </c>
      <c r="S577">
        <f>Input!T732</f>
        <v>3261.9329595731115</v>
      </c>
      <c r="T577">
        <f>Input!U732</f>
        <v>3261.9329595731115</v>
      </c>
      <c r="U577">
        <f>Input!V732</f>
        <v>3261.9329595731115</v>
      </c>
      <c r="V577">
        <f>Input!W732</f>
        <v>3261.9329595731115</v>
      </c>
    </row>
    <row r="578" spans="2:22">
      <c r="B578" s="28" t="s">
        <v>9</v>
      </c>
      <c r="C578" s="28"/>
      <c r="D578" s="28"/>
      <c r="E578" s="28"/>
      <c r="F578" s="28"/>
      <c r="G578" s="28"/>
      <c r="H578" s="28"/>
      <c r="I578" s="48">
        <f>SUM(J578:V578)</f>
        <v>17.15398028108822</v>
      </c>
      <c r="J578" s="78">
        <f>J576*J577/Billion</f>
        <v>1.3965736712217709</v>
      </c>
      <c r="K578" s="76">
        <f t="shared" ref="K578:V578" si="185">K576*K577/Billion</f>
        <v>0.83989117379081257</v>
      </c>
      <c r="L578" s="76">
        <f t="shared" si="185"/>
        <v>0.90834230445476394</v>
      </c>
      <c r="M578" s="76">
        <f t="shared" si="185"/>
        <v>0.98237220226782718</v>
      </c>
      <c r="N578" s="76">
        <f t="shared" si="185"/>
        <v>1.0624355367526552</v>
      </c>
      <c r="O578" s="76">
        <f t="shared" si="185"/>
        <v>1.1490240329979966</v>
      </c>
      <c r="P578" s="76">
        <f t="shared" si="185"/>
        <v>1.2426694916873333</v>
      </c>
      <c r="Q578" s="76">
        <f t="shared" si="185"/>
        <v>1.3439470552598509</v>
      </c>
      <c r="R578" s="76">
        <f t="shared" si="185"/>
        <v>1.4534787402635287</v>
      </c>
      <c r="S578" s="76">
        <f t="shared" si="185"/>
        <v>1.5719372575950066</v>
      </c>
      <c r="T578" s="76">
        <f t="shared" si="185"/>
        <v>1.650534120474757</v>
      </c>
      <c r="U578" s="76">
        <f t="shared" si="185"/>
        <v>1.7330608264984948</v>
      </c>
      <c r="V578" s="76">
        <f t="shared" si="185"/>
        <v>1.8197138678234197</v>
      </c>
    </row>
    <row r="579" spans="2:22">
      <c r="G579"/>
      <c r="I579" s="21"/>
      <c r="K579" s="21"/>
      <c r="L579" s="21"/>
      <c r="M579" s="21"/>
      <c r="N579" s="21"/>
    </row>
    <row r="580" spans="2:22" ht="15.75">
      <c r="B580" s="41" t="s">
        <v>576</v>
      </c>
      <c r="F580" s="19">
        <v>2023</v>
      </c>
      <c r="G580"/>
      <c r="I580">
        <v>1</v>
      </c>
      <c r="J580" s="70">
        <f>IF(J$8&lt;$F580,0,IF(J$8=$F580,1,I580*(1+Input!K738)*J$12))</f>
        <v>1.05</v>
      </c>
      <c r="K580" s="70">
        <f>IF(K$8&lt;$F580,0,IF(K$8=$F580,1,J580*(1+Input!L738)*K$12))</f>
        <v>1.1025</v>
      </c>
      <c r="L580" s="70">
        <f>IF(L$8&lt;$F580,0,IF(L$8=$F580,1,K580*(1+Input!M738)*L$12))</f>
        <v>1.1576250000000001</v>
      </c>
      <c r="M580" s="70">
        <f>IF(M$8&lt;$F580,0,IF(M$8=$F580,1,L580*(1+Input!N738)*M$12))</f>
        <v>1.2155062500000002</v>
      </c>
      <c r="N580" s="70">
        <f>IF(N$8&lt;$F580,0,IF(N$8=$F580,1,M580*(1+Input!O738)*N$12))</f>
        <v>1.2762815625000004</v>
      </c>
      <c r="O580" s="70">
        <f>IF(O$8&lt;$F580,0,IF(O$8=$F580,1,N580*(1+Input!P738)*O$12))</f>
        <v>1.3400956406250004</v>
      </c>
      <c r="P580" s="70">
        <f>IF(P$8&lt;$F580,0,IF(P$8=$F580,1,O580*(1+Input!Q738)*P$12))</f>
        <v>1.4071004226562505</v>
      </c>
      <c r="Q580" s="70">
        <f>IF(Q$8&lt;$F580,0,IF(Q$8=$F580,1,P580*(1+Input!R738)*Q$12))</f>
        <v>1.477455443789063</v>
      </c>
      <c r="R580" s="70">
        <f>IF(R$8&lt;$F580,0,IF(R$8=$F580,1,Q580*(1+Input!S738)*R$12))</f>
        <v>1.5513282159785162</v>
      </c>
      <c r="S580" s="70">
        <f>IF(S$8&lt;$F580,0,IF(S$8=$F580,1,R580*(1+Input!T738)*S$12))</f>
        <v>1.628894626777442</v>
      </c>
      <c r="T580" s="70">
        <f>IF(T$8&lt;$F580,0,IF(T$8=$F580,1,S580*(1+Input!U738)*T$12))</f>
        <v>1.7103393581163142</v>
      </c>
      <c r="U580" s="70">
        <f>IF(U$8&lt;$F580,0,IF(U$8=$F580,1,T580*(1+Input!V738)*U$12))</f>
        <v>1.7958563260221301</v>
      </c>
      <c r="V580" s="70">
        <f>IF(V$8&lt;$F580,0,IF(V$8=$F580,1,U580*(1+Input!W738)*V$12))</f>
        <v>1.8856491423232367</v>
      </c>
    </row>
    <row r="581" spans="2:22">
      <c r="B581" s="407" t="s">
        <v>407</v>
      </c>
      <c r="F581" s="16">
        <f>Input!J743</f>
        <v>336474.04000000004</v>
      </c>
      <c r="G581" s="17" t="s">
        <v>315</v>
      </c>
      <c r="J581">
        <f t="shared" ref="J581:V581" si="186">$F581*J580</f>
        <v>353297.74200000003</v>
      </c>
      <c r="K581">
        <f t="shared" si="186"/>
        <v>370962.62910000008</v>
      </c>
      <c r="L581">
        <f t="shared" si="186"/>
        <v>389510.7605550001</v>
      </c>
      <c r="M581">
        <f t="shared" si="186"/>
        <v>408986.29858275014</v>
      </c>
      <c r="N581">
        <f t="shared" si="186"/>
        <v>429435.61351188767</v>
      </c>
      <c r="O581">
        <f t="shared" si="186"/>
        <v>450907.39418748207</v>
      </c>
      <c r="P581">
        <f t="shared" si="186"/>
        <v>473452.76389685617</v>
      </c>
      <c r="Q581">
        <f t="shared" si="186"/>
        <v>497125.40209169901</v>
      </c>
      <c r="R581">
        <f t="shared" si="186"/>
        <v>521981.67219628394</v>
      </c>
      <c r="S581">
        <f t="shared" si="186"/>
        <v>548080.75580609811</v>
      </c>
      <c r="T581">
        <f t="shared" si="186"/>
        <v>575484.79359640309</v>
      </c>
      <c r="U581">
        <f t="shared" si="186"/>
        <v>604259.03327622334</v>
      </c>
      <c r="V581">
        <f t="shared" si="186"/>
        <v>634471.98494003445</v>
      </c>
    </row>
    <row r="582" spans="2:22">
      <c r="B582" s="407" t="s">
        <v>465</v>
      </c>
      <c r="J582">
        <f>Input!K745</f>
        <v>34880</v>
      </c>
      <c r="K582">
        <f>Input!L745</f>
        <v>35926.400000000001</v>
      </c>
      <c r="L582">
        <f>Input!M745</f>
        <v>2652.25</v>
      </c>
      <c r="M582">
        <f>Input!N745</f>
        <v>2731.8175000000001</v>
      </c>
      <c r="N582">
        <f>Input!O745</f>
        <v>2813.7720250000002</v>
      </c>
      <c r="O582">
        <f>Input!P745</f>
        <v>2898.1851857500001</v>
      </c>
      <c r="P582">
        <f>Input!Q745</f>
        <v>2985.1307413224999</v>
      </c>
      <c r="Q582">
        <f>Input!R745</f>
        <v>3074.684663562175</v>
      </c>
      <c r="R582">
        <f>Input!S745</f>
        <v>3166.9252034690403</v>
      </c>
      <c r="S582">
        <f>Input!T745</f>
        <v>3261.9329595731115</v>
      </c>
      <c r="T582">
        <f>Input!U745</f>
        <v>3261.9329595731115</v>
      </c>
      <c r="U582">
        <f>Input!V745</f>
        <v>3261.9329595731115</v>
      </c>
      <c r="V582">
        <f>Input!W745</f>
        <v>3261.9329595731115</v>
      </c>
    </row>
    <row r="583" spans="2:22">
      <c r="B583" s="28" t="s">
        <v>9</v>
      </c>
      <c r="C583" s="28"/>
      <c r="D583" s="28"/>
      <c r="E583" s="28"/>
      <c r="F583" s="28"/>
      <c r="G583" s="28"/>
      <c r="H583" s="28"/>
      <c r="I583" s="48">
        <f>SUM(J583:V583)</f>
        <v>42.616432124667114</v>
      </c>
      <c r="J583" s="76">
        <f>J581*J582/Billion</f>
        <v>12.323025240960002</v>
      </c>
      <c r="K583" s="76">
        <f t="shared" ref="K583:V583" si="187">K581*K582/Billion</f>
        <v>13.327351798098244</v>
      </c>
      <c r="L583" s="76">
        <f t="shared" si="187"/>
        <v>1.0330799146819989</v>
      </c>
      <c r="M583" s="76">
        <f t="shared" si="187"/>
        <v>1.1172759277285822</v>
      </c>
      <c r="N583" s="76">
        <f t="shared" si="187"/>
        <v>1.2083339158384616</v>
      </c>
      <c r="O583" s="76">
        <f t="shared" si="187"/>
        <v>1.3068131299792962</v>
      </c>
      <c r="P583" s="76">
        <f t="shared" si="187"/>
        <v>1.4133184000726087</v>
      </c>
      <c r="Q583" s="76">
        <f t="shared" si="187"/>
        <v>1.5285038496785266</v>
      </c>
      <c r="R583" s="76">
        <f t="shared" si="187"/>
        <v>1.6530769134273264</v>
      </c>
      <c r="S583" s="76">
        <f t="shared" si="187"/>
        <v>1.7878026818716533</v>
      </c>
      <c r="T583" s="76">
        <f t="shared" si="187"/>
        <v>1.8771928159652365</v>
      </c>
      <c r="U583" s="76">
        <f t="shared" si="187"/>
        <v>1.9710524567634986</v>
      </c>
      <c r="V583" s="76">
        <f t="shared" si="187"/>
        <v>2.0696050796016729</v>
      </c>
    </row>
    <row r="584" spans="2:22">
      <c r="G584"/>
      <c r="I584" s="21"/>
      <c r="K584" s="21"/>
      <c r="L584" s="21"/>
      <c r="M584" s="21"/>
      <c r="N584" s="21"/>
    </row>
    <row r="585" spans="2:22" ht="15.75">
      <c r="B585" s="41" t="s">
        <v>577</v>
      </c>
      <c r="F585" s="19">
        <v>2023</v>
      </c>
      <c r="G585"/>
      <c r="I585">
        <v>1</v>
      </c>
      <c r="J585" s="70">
        <f>IF(J$8&lt;$F585,0,IF(J$8=$F585,1,I585*(1+Input!K751)*J$12))</f>
        <v>1.05</v>
      </c>
      <c r="K585" s="70">
        <f>IF(K$8&lt;$F585,0,IF(K$8=$F585,1,J585*(1+Input!L751)*K$12))</f>
        <v>1.1025</v>
      </c>
      <c r="L585" s="70">
        <f>IF(L$8&lt;$F585,0,IF(L$8=$F585,1,K585*(1+Input!M751)*L$12))</f>
        <v>1.1576250000000001</v>
      </c>
      <c r="M585" s="70">
        <f>IF(M$8&lt;$F585,0,IF(M$8=$F585,1,L585*(1+Input!N751)*M$12))</f>
        <v>1.2155062500000002</v>
      </c>
      <c r="N585" s="70">
        <f>IF(N$8&lt;$F585,0,IF(N$8=$F585,1,M585*(1+Input!O751)*N$12))</f>
        <v>1.2762815625000004</v>
      </c>
      <c r="O585" s="70">
        <f>IF(O$8&lt;$F585,0,IF(O$8=$F585,1,N585*(1+Input!P751)*O$12))</f>
        <v>1.3400956406250004</v>
      </c>
      <c r="P585" s="70">
        <f>IF(P$8&lt;$F585,0,IF(P$8=$F585,1,O585*(1+Input!Q751)*P$12))</f>
        <v>1.4071004226562505</v>
      </c>
      <c r="Q585" s="70">
        <f>IF(Q$8&lt;$F585,0,IF(Q$8=$F585,1,P585*(1+Input!R751)*Q$12))</f>
        <v>1.477455443789063</v>
      </c>
      <c r="R585" s="70">
        <f>IF(R$8&lt;$F585,0,IF(R$8=$F585,1,Q585*(1+Input!S751)*R$12))</f>
        <v>1.5513282159785162</v>
      </c>
      <c r="S585" s="70">
        <f>IF(S$8&lt;$F585,0,IF(S$8=$F585,1,R585*(1+Input!T751)*S$12))</f>
        <v>1.628894626777442</v>
      </c>
      <c r="T585" s="70">
        <f>IF(T$8&lt;$F585,0,IF(T$8=$F585,1,S585*(1+Input!U751)*T$12))</f>
        <v>1.7103393581163142</v>
      </c>
      <c r="U585" s="70">
        <f>IF(U$8&lt;$F585,0,IF(U$8=$F585,1,T585*(1+Input!V751)*U$12))</f>
        <v>1.7958563260221301</v>
      </c>
      <c r="V585" s="70">
        <f>IF(V$8&lt;$F585,0,IF(V$8=$F585,1,U585*(1+Input!W751)*V$12))</f>
        <v>1.8856491423232367</v>
      </c>
    </row>
    <row r="586" spans="2:22">
      <c r="B586" s="407" t="s">
        <v>407</v>
      </c>
      <c r="F586" s="16">
        <f>Input!J756</f>
        <v>923727.06</v>
      </c>
      <c r="G586" s="17" t="s">
        <v>315</v>
      </c>
      <c r="J586">
        <f t="shared" ref="J586:V586" si="188">$F586*J585</f>
        <v>969913.41300000006</v>
      </c>
      <c r="K586">
        <f t="shared" si="188"/>
        <v>1018409.08365</v>
      </c>
      <c r="L586">
        <f t="shared" si="188"/>
        <v>1069329.5378325002</v>
      </c>
      <c r="M586">
        <f t="shared" si="188"/>
        <v>1122796.0147241254</v>
      </c>
      <c r="N586">
        <f t="shared" si="188"/>
        <v>1178935.8154603317</v>
      </c>
      <c r="O586">
        <f t="shared" si="188"/>
        <v>1237882.6062333484</v>
      </c>
      <c r="P586">
        <f t="shared" si="188"/>
        <v>1299776.7365450156</v>
      </c>
      <c r="Q586">
        <f t="shared" si="188"/>
        <v>1364765.5733722665</v>
      </c>
      <c r="R586">
        <f t="shared" si="188"/>
        <v>1433003.8520408799</v>
      </c>
      <c r="S586">
        <f t="shared" si="188"/>
        <v>1504654.0446429239</v>
      </c>
      <c r="T586">
        <f t="shared" si="188"/>
        <v>1579886.7468750703</v>
      </c>
      <c r="U586">
        <f t="shared" si="188"/>
        <v>1658881.0842188238</v>
      </c>
      <c r="V586">
        <f t="shared" si="188"/>
        <v>1741825.1384297651</v>
      </c>
    </row>
    <row r="587" spans="2:22">
      <c r="B587" s="407" t="s">
        <v>465</v>
      </c>
      <c r="J587">
        <f>Input!K758</f>
        <v>13346.475053638678</v>
      </c>
      <c r="K587">
        <f>Input!L758</f>
        <v>2606.9300000000003</v>
      </c>
      <c r="L587">
        <f>Input!M758</f>
        <v>2685.1379000000002</v>
      </c>
      <c r="M587">
        <f>Input!N758</f>
        <v>2765.6920370000003</v>
      </c>
      <c r="N587">
        <f>Input!O758</f>
        <v>2848.66279811</v>
      </c>
      <c r="O587">
        <f>Input!P758</f>
        <v>2934.1226820533002</v>
      </c>
      <c r="P587">
        <f>Input!Q758</f>
        <v>3022.146362514899</v>
      </c>
      <c r="Q587">
        <f>Input!R758</f>
        <v>3112.8107533903458</v>
      </c>
      <c r="R587">
        <f>Input!S758</f>
        <v>3206.195075992056</v>
      </c>
      <c r="S587">
        <f>Input!T758</f>
        <v>3302.3809282718175</v>
      </c>
      <c r="T587">
        <f>Input!U758</f>
        <v>3302.3809282718175</v>
      </c>
      <c r="U587">
        <f>Input!V758</f>
        <v>3302.3809282718175</v>
      </c>
      <c r="V587">
        <f>Input!W758</f>
        <v>3302.3809282718175</v>
      </c>
    </row>
    <row r="588" spans="2:22">
      <c r="B588" s="28" t="s">
        <v>9</v>
      </c>
      <c r="C588" s="28"/>
      <c r="D588" s="28"/>
      <c r="E588" s="28"/>
      <c r="F588" s="28"/>
      <c r="G588" s="28"/>
      <c r="H588" s="28"/>
      <c r="I588" s="48">
        <f>SUM(J588:V588)</f>
        <v>62.754560099572693</v>
      </c>
      <c r="J588" s="78">
        <f>J586*J587/Billion</f>
        <v>12.944925170794049</v>
      </c>
      <c r="K588" s="76">
        <f t="shared" ref="K588:V588" si="189">K586*K587/Billion</f>
        <v>2.6549211924396947</v>
      </c>
      <c r="L588" s="76">
        <f t="shared" si="189"/>
        <v>2.8712972696235304</v>
      </c>
      <c r="M588" s="76">
        <f t="shared" si="189"/>
        <v>3.1053079970978485</v>
      </c>
      <c r="N588" s="76">
        <f t="shared" si="189"/>
        <v>3.3583905988613232</v>
      </c>
      <c r="O588" s="76">
        <f t="shared" si="189"/>
        <v>3.6320994326685212</v>
      </c>
      <c r="P588" s="76">
        <f t="shared" si="189"/>
        <v>3.928115536431005</v>
      </c>
      <c r="Q588" s="76">
        <f t="shared" si="189"/>
        <v>4.2482569526501326</v>
      </c>
      <c r="R588" s="76">
        <f t="shared" si="189"/>
        <v>4.5944898942911179</v>
      </c>
      <c r="S588" s="76">
        <f t="shared" si="189"/>
        <v>4.9689408206758436</v>
      </c>
      <c r="T588" s="76">
        <f t="shared" si="189"/>
        <v>5.2173878617096365</v>
      </c>
      <c r="U588" s="76">
        <f t="shared" si="189"/>
        <v>5.4782572547951185</v>
      </c>
      <c r="V588" s="76">
        <f t="shared" si="189"/>
        <v>5.7521701175348747</v>
      </c>
    </row>
    <row r="589" spans="2:22">
      <c r="G589"/>
      <c r="I589" s="21"/>
      <c r="K589" s="21"/>
      <c r="L589" s="21"/>
      <c r="M589" s="21"/>
      <c r="N589" s="21"/>
    </row>
    <row r="590" spans="2:22">
      <c r="G590"/>
      <c r="I590" s="21"/>
      <c r="K590" s="21"/>
      <c r="L590" s="21"/>
      <c r="M590" s="21"/>
      <c r="N590" s="21"/>
    </row>
    <row r="591" spans="2:22">
      <c r="B591" t="s">
        <v>471</v>
      </c>
      <c r="G591"/>
      <c r="I591" s="21"/>
      <c r="J591">
        <f>SUM(J586,J581,J576,J571,J566)</f>
        <v>2233921.22835</v>
      </c>
      <c r="K591">
        <f t="shared" ref="K591:V591" si="190">SUM(K586,K581,K576,K571,K566)</f>
        <v>2345617.2897675005</v>
      </c>
      <c r="L591">
        <f t="shared" si="190"/>
        <v>2462898.1542558754</v>
      </c>
      <c r="M591">
        <f t="shared" si="190"/>
        <v>2586043.0619686698</v>
      </c>
      <c r="N591">
        <f t="shared" si="190"/>
        <v>2715345.215067103</v>
      </c>
      <c r="O591">
        <f t="shared" si="190"/>
        <v>2851112.4758204585</v>
      </c>
      <c r="P591">
        <f t="shared" si="190"/>
        <v>2993668.0996114817</v>
      </c>
      <c r="Q591">
        <f t="shared" si="190"/>
        <v>3143351.5045920555</v>
      </c>
      <c r="R591">
        <f t="shared" si="190"/>
        <v>3300519.0798216583</v>
      </c>
      <c r="S591">
        <f t="shared" si="190"/>
        <v>3465545.0338127413</v>
      </c>
      <c r="T591">
        <f t="shared" si="190"/>
        <v>3638822.2855033786</v>
      </c>
      <c r="U591">
        <f t="shared" si="190"/>
        <v>3820763.3997785477</v>
      </c>
      <c r="V591">
        <f t="shared" si="190"/>
        <v>4011801.5697674751</v>
      </c>
    </row>
    <row r="592" spans="2:22">
      <c r="B592" t="s">
        <v>578</v>
      </c>
      <c r="G592"/>
      <c r="I592" s="21"/>
      <c r="J592">
        <f t="shared" ref="J592:V592" si="191">SUM(J588,J583,J578,J573,J568)</f>
        <v>44.658039417583623</v>
      </c>
      <c r="K592">
        <f t="shared" si="191"/>
        <v>18.700336705089001</v>
      </c>
      <c r="L592">
        <f t="shared" si="191"/>
        <v>6.8439630915925038</v>
      </c>
      <c r="M592">
        <f t="shared" si="191"/>
        <v>7.4017460835572937</v>
      </c>
      <c r="N592">
        <f t="shared" si="191"/>
        <v>8.0049883893672149</v>
      </c>
      <c r="O592">
        <f t="shared" si="191"/>
        <v>8.6573949431006429</v>
      </c>
      <c r="P592">
        <f t="shared" si="191"/>
        <v>9.362972630963343</v>
      </c>
      <c r="Q592">
        <f t="shared" si="191"/>
        <v>10.126054900386858</v>
      </c>
      <c r="R592">
        <f t="shared" si="191"/>
        <v>10.951328374768385</v>
      </c>
      <c r="S592">
        <f t="shared" si="191"/>
        <v>11.843861637312008</v>
      </c>
      <c r="T592">
        <f t="shared" si="191"/>
        <v>12.43605471917761</v>
      </c>
      <c r="U592">
        <f t="shared" si="191"/>
        <v>13.057857455136492</v>
      </c>
      <c r="V592">
        <f t="shared" si="191"/>
        <v>13.710750327893317</v>
      </c>
    </row>
    <row r="593" spans="2:22">
      <c r="G593"/>
      <c r="I593" s="21"/>
    </row>
    <row r="594" spans="2:22" ht="15.75">
      <c r="B594" s="15" t="s">
        <v>473</v>
      </c>
      <c r="G594"/>
      <c r="I594" s="21"/>
      <c r="J594" s="23">
        <f>SUM(J600,J636,J641,J647)</f>
        <v>40.67990640324463</v>
      </c>
      <c r="K594" s="23">
        <f t="shared" ref="K594:V594" si="192">SUM(K600,K636,K641,K647)</f>
        <v>16.335173179825247</v>
      </c>
      <c r="L594" s="89">
        <f t="shared" si="192"/>
        <v>5.3338832152850069</v>
      </c>
      <c r="M594" s="89">
        <f t="shared" si="192"/>
        <v>5.6362720836622877</v>
      </c>
      <c r="N594" s="89">
        <f t="shared" si="192"/>
        <v>5.9586900444228945</v>
      </c>
      <c r="O594" s="89">
        <f t="shared" si="192"/>
        <v>6.302608079493325</v>
      </c>
      <c r="P594" s="89">
        <f t="shared" si="192"/>
        <v>6.6696114087776071</v>
      </c>
      <c r="Q594" s="89">
        <f t="shared" si="192"/>
        <v>7.0614086029214098</v>
      </c>
      <c r="R594" s="89">
        <f t="shared" si="192"/>
        <v>7.4798414318495334</v>
      </c>
      <c r="S594" s="89">
        <f t="shared" si="192"/>
        <v>7.9268955088001567</v>
      </c>
      <c r="T594" s="89">
        <f t="shared" si="192"/>
        <v>8.2688145424398147</v>
      </c>
      <c r="U594" s="89">
        <f t="shared" si="192"/>
        <v>8.6259340382508629</v>
      </c>
      <c r="V594" s="89">
        <f t="shared" si="192"/>
        <v>8.9989477713235253</v>
      </c>
    </row>
    <row r="595" spans="2:22">
      <c r="B595" s="2" t="s">
        <v>579</v>
      </c>
      <c r="F595" s="58" t="s">
        <v>580</v>
      </c>
      <c r="G595"/>
      <c r="I595" s="22"/>
    </row>
    <row r="596" spans="2:22">
      <c r="B596" s="407" t="s">
        <v>516</v>
      </c>
      <c r="F596" s="30">
        <f>Input!K777</f>
        <v>4.344148942E-2</v>
      </c>
      <c r="G596" s="17" t="s">
        <v>315</v>
      </c>
    </row>
    <row r="597" spans="2:22">
      <c r="B597" s="407" t="s">
        <v>517</v>
      </c>
      <c r="F597" s="73">
        <f>Input!J650</f>
        <v>0</v>
      </c>
      <c r="G597" s="17" t="s">
        <v>315</v>
      </c>
    </row>
    <row r="598" spans="2:22">
      <c r="B598" s="28" t="s">
        <v>476</v>
      </c>
      <c r="C598" s="28"/>
      <c r="D598" s="28"/>
      <c r="E598" s="28"/>
      <c r="F598" s="28"/>
      <c r="G598" s="28"/>
      <c r="H598" s="28"/>
      <c r="I598" s="49">
        <f>SUM(J598:V598)</f>
        <v>0.56473936245999989</v>
      </c>
      <c r="J598" s="47">
        <f t="shared" ref="J598:V598" si="193">$F$596*J12</f>
        <v>4.344148942E-2</v>
      </c>
      <c r="K598" s="47">
        <f t="shared" si="193"/>
        <v>4.344148942E-2</v>
      </c>
      <c r="L598" s="47">
        <f t="shared" si="193"/>
        <v>4.344148942E-2</v>
      </c>
      <c r="M598" s="47">
        <f t="shared" si="193"/>
        <v>4.344148942E-2</v>
      </c>
      <c r="N598" s="47">
        <f t="shared" si="193"/>
        <v>4.344148942E-2</v>
      </c>
      <c r="O598" s="47">
        <f t="shared" si="193"/>
        <v>4.344148942E-2</v>
      </c>
      <c r="P598" s="47">
        <f t="shared" si="193"/>
        <v>4.344148942E-2</v>
      </c>
      <c r="Q598" s="47">
        <f t="shared" si="193"/>
        <v>4.344148942E-2</v>
      </c>
      <c r="R598" s="47">
        <f t="shared" si="193"/>
        <v>4.344148942E-2</v>
      </c>
      <c r="S598" s="47">
        <f t="shared" si="193"/>
        <v>4.344148942E-2</v>
      </c>
      <c r="T598" s="47">
        <f t="shared" si="193"/>
        <v>4.344148942E-2</v>
      </c>
      <c r="U598" s="47">
        <f t="shared" si="193"/>
        <v>4.344148942E-2</v>
      </c>
      <c r="V598" s="47">
        <f t="shared" si="193"/>
        <v>4.344148942E-2</v>
      </c>
    </row>
    <row r="599" spans="2:22">
      <c r="G599"/>
    </row>
    <row r="600" spans="2:22">
      <c r="B600" s="2" t="s">
        <v>581</v>
      </c>
      <c r="G600"/>
      <c r="J600" s="23">
        <f>SUM(J605,J607)</f>
        <v>38.020771505583284</v>
      </c>
      <c r="K600" s="23">
        <f t="shared" ref="K600:V600" si="194">SUM(K605,K607)</f>
        <v>13.587304835207616</v>
      </c>
      <c r="L600" s="23">
        <f t="shared" si="194"/>
        <v>2.4919302270532642</v>
      </c>
      <c r="M600" s="23">
        <f t="shared" si="194"/>
        <v>2.6950225405581052</v>
      </c>
      <c r="N600" s="23">
        <f t="shared" si="194"/>
        <v>2.9146668776135911</v>
      </c>
      <c r="O600" s="23">
        <f t="shared" si="194"/>
        <v>3.1522122281390983</v>
      </c>
      <c r="P600" s="23">
        <f t="shared" si="194"/>
        <v>3.4091175247324355</v>
      </c>
      <c r="Q600" s="23">
        <f t="shared" si="194"/>
        <v>3.6869606029981288</v>
      </c>
      <c r="R600" s="23">
        <f t="shared" si="194"/>
        <v>3.9874478921424767</v>
      </c>
      <c r="S600" s="23">
        <f t="shared" si="194"/>
        <v>4.3124248953520876</v>
      </c>
      <c r="T600" s="23">
        <f t="shared" si="194"/>
        <v>4.5280461401196925</v>
      </c>
      <c r="U600" s="23">
        <f t="shared" si="194"/>
        <v>4.7544484471256778</v>
      </c>
      <c r="V600" s="23">
        <f t="shared" si="194"/>
        <v>4.9921708694819618</v>
      </c>
    </row>
    <row r="601" spans="2:22">
      <c r="G601"/>
    </row>
    <row r="602" spans="2:22" ht="15.75">
      <c r="B602" s="41" t="s">
        <v>582</v>
      </c>
      <c r="F602" s="19">
        <v>2023</v>
      </c>
      <c r="G602"/>
      <c r="I602">
        <v>1</v>
      </c>
      <c r="J602" s="70">
        <f>IF(J$8&lt;$F602,0,IF(J$8=$F602,1,I602*(1+Input!K766)*J$12))</f>
        <v>923728.06</v>
      </c>
      <c r="K602" s="70">
        <f>IF(K$8&lt;$F602,0,IF(K$8=$F602,1,J602*(1+Input!L766)*K$12))</f>
        <v>923728.06</v>
      </c>
      <c r="L602" s="70">
        <f>IF(L$8&lt;$F602,0,IF(L$8=$F602,1,K602*(1+Input!M766)*L$12))</f>
        <v>923728.06</v>
      </c>
      <c r="M602" s="70">
        <f>IF(M$8&lt;$F602,0,IF(M$8=$F602,1,L602*(1+Input!N766)*M$12))</f>
        <v>923728.06</v>
      </c>
      <c r="N602" s="70">
        <f>IF(N$8&lt;$F602,0,IF(N$8=$F602,1,M602*(1+Input!O766)*N$12))</f>
        <v>923728.06</v>
      </c>
      <c r="O602" s="70">
        <f>IF(O$8&lt;$F602,0,IF(O$8=$F602,1,N602*(1+Input!P766)*O$12))</f>
        <v>923728.06</v>
      </c>
      <c r="P602" s="70">
        <f>IF(P$8&lt;$F602,0,IF(P$8=$F602,1,O602*(1+Input!Q766)*P$12))</f>
        <v>923728.06</v>
      </c>
      <c r="Q602" s="70">
        <f>IF(Q$8&lt;$F602,0,IF(Q$8=$F602,1,P602*(1+Input!R766)*Q$12))</f>
        <v>923728.06</v>
      </c>
      <c r="R602" s="70">
        <f>IF(R$8&lt;$F602,0,IF(R$8=$F602,1,Q602*(1+Input!S766)*R$12))</f>
        <v>923728.06</v>
      </c>
      <c r="S602" s="70">
        <f>IF(S$8&lt;$F602,0,IF(S$8=$F602,1,R602*(1+Input!T766)*S$12))</f>
        <v>923728.06</v>
      </c>
      <c r="T602" s="70">
        <f>IF(T$8&lt;$F602,0,IF(T$8=$F602,1,S602*(1+Input!U766)*T$12))</f>
        <v>923728.06</v>
      </c>
      <c r="U602" s="70">
        <f>IF(U$8&lt;$F602,0,IF(U$8=$F602,1,T602*(1+Input!V766)*U$12))</f>
        <v>923728.06</v>
      </c>
      <c r="V602" s="70">
        <f>IF(V$8&lt;$F602,0,IF(V$8=$F602,1,U602*(1+Input!W766)*V$12))</f>
        <v>923728.06</v>
      </c>
    </row>
    <row r="603" spans="2:22">
      <c r="B603" s="407" t="s">
        <v>472</v>
      </c>
      <c r="F603" s="16">
        <f>Input!J771</f>
        <v>0</v>
      </c>
      <c r="G603" s="17" t="s">
        <v>315</v>
      </c>
      <c r="J603">
        <f>J592</f>
        <v>44.658039417583623</v>
      </c>
      <c r="K603">
        <f t="shared" ref="K603:V603" si="195">K592</f>
        <v>18.700336705089001</v>
      </c>
      <c r="L603">
        <f t="shared" si="195"/>
        <v>6.8439630915925038</v>
      </c>
      <c r="M603">
        <f t="shared" si="195"/>
        <v>7.4017460835572937</v>
      </c>
      <c r="N603">
        <f t="shared" si="195"/>
        <v>8.0049883893672149</v>
      </c>
      <c r="O603">
        <f t="shared" si="195"/>
        <v>8.6573949431006429</v>
      </c>
      <c r="P603">
        <f t="shared" si="195"/>
        <v>9.362972630963343</v>
      </c>
      <c r="Q603">
        <f t="shared" si="195"/>
        <v>10.126054900386858</v>
      </c>
      <c r="R603">
        <f t="shared" si="195"/>
        <v>10.951328374768385</v>
      </c>
      <c r="S603">
        <f t="shared" si="195"/>
        <v>11.843861637312008</v>
      </c>
      <c r="T603">
        <f t="shared" si="195"/>
        <v>12.43605471917761</v>
      </c>
      <c r="U603">
        <f t="shared" si="195"/>
        <v>13.057857455136492</v>
      </c>
      <c r="V603">
        <f t="shared" si="195"/>
        <v>13.710750327893317</v>
      </c>
    </row>
    <row r="604" spans="2:22">
      <c r="B604" s="407" t="s">
        <v>465</v>
      </c>
      <c r="J604" s="74">
        <f>Input!K767</f>
        <v>0.85137574334741195</v>
      </c>
      <c r="K604" s="21">
        <f>Input!L767</f>
        <v>0</v>
      </c>
      <c r="L604" s="21">
        <f>Input!M767</f>
        <v>0</v>
      </c>
      <c r="M604" s="21">
        <f>Input!N767</f>
        <v>0</v>
      </c>
      <c r="N604" s="21">
        <f>Input!O767</f>
        <v>0</v>
      </c>
      <c r="O604" s="21">
        <f>Input!P767</f>
        <v>0</v>
      </c>
      <c r="P604" s="21">
        <f>Input!Q767</f>
        <v>0</v>
      </c>
      <c r="Q604" s="21">
        <f>Input!R767</f>
        <v>0</v>
      </c>
      <c r="R604" s="21">
        <f>Input!S767</f>
        <v>0</v>
      </c>
      <c r="S604" s="21">
        <f>Input!T767</f>
        <v>0</v>
      </c>
      <c r="T604" s="21">
        <f>Input!U767</f>
        <v>0</v>
      </c>
      <c r="U604" s="21">
        <f>Input!V767</f>
        <v>0</v>
      </c>
      <c r="V604" s="21">
        <f>Input!W767</f>
        <v>0</v>
      </c>
    </row>
    <row r="605" spans="2:22">
      <c r="B605" s="28" t="s">
        <v>9</v>
      </c>
      <c r="C605" s="28"/>
      <c r="D605" s="28"/>
      <c r="E605" s="28"/>
      <c r="F605" s="28"/>
      <c r="G605" s="28"/>
      <c r="H605" s="28"/>
      <c r="I605" s="48">
        <f>SUM(J605:V605)</f>
        <v>38.020771505583284</v>
      </c>
      <c r="J605" s="76">
        <f>J604*J603</f>
        <v>38.020771505583284</v>
      </c>
      <c r="K605" s="76">
        <f t="shared" ref="K605:V605" si="196">K604*K603</f>
        <v>0</v>
      </c>
      <c r="L605" s="76">
        <f t="shared" si="196"/>
        <v>0</v>
      </c>
      <c r="M605" s="76">
        <f t="shared" si="196"/>
        <v>0</v>
      </c>
      <c r="N605" s="76">
        <f t="shared" si="196"/>
        <v>0</v>
      </c>
      <c r="O605" s="76">
        <f t="shared" si="196"/>
        <v>0</v>
      </c>
      <c r="P605" s="76">
        <f t="shared" si="196"/>
        <v>0</v>
      </c>
      <c r="Q605" s="76">
        <f t="shared" si="196"/>
        <v>0</v>
      </c>
      <c r="R605" s="76">
        <f t="shared" si="196"/>
        <v>0</v>
      </c>
      <c r="S605" s="76">
        <f t="shared" si="196"/>
        <v>0</v>
      </c>
      <c r="T605" s="76">
        <f t="shared" si="196"/>
        <v>0</v>
      </c>
      <c r="U605" s="76">
        <f t="shared" si="196"/>
        <v>0</v>
      </c>
      <c r="V605" s="76">
        <f t="shared" si="196"/>
        <v>0</v>
      </c>
    </row>
    <row r="606" spans="2:22">
      <c r="G606"/>
    </row>
    <row r="607" spans="2:22">
      <c r="B607" s="407" t="s">
        <v>583</v>
      </c>
      <c r="G607"/>
      <c r="J607">
        <f>SUM(J611,J616,J621,J626,J631)</f>
        <v>0</v>
      </c>
      <c r="K607" s="53">
        <f t="shared" ref="K607:V607" si="197">SUM(K611,K616,K621,K626,K631)</f>
        <v>13.587304835207616</v>
      </c>
      <c r="L607" s="53">
        <f t="shared" si="197"/>
        <v>2.4919302270532642</v>
      </c>
      <c r="M607" s="53">
        <f t="shared" si="197"/>
        <v>2.6950225405581052</v>
      </c>
      <c r="N607" s="53">
        <f t="shared" si="197"/>
        <v>2.9146668776135911</v>
      </c>
      <c r="O607" s="53">
        <f t="shared" si="197"/>
        <v>3.1522122281390983</v>
      </c>
      <c r="P607" s="53">
        <f t="shared" si="197"/>
        <v>3.4091175247324355</v>
      </c>
      <c r="Q607" s="53">
        <f t="shared" si="197"/>
        <v>3.6869606029981288</v>
      </c>
      <c r="R607" s="53">
        <f t="shared" si="197"/>
        <v>3.9874478921424767</v>
      </c>
      <c r="S607" s="53">
        <f t="shared" si="197"/>
        <v>4.3124248953520876</v>
      </c>
      <c r="T607" s="53">
        <f t="shared" si="197"/>
        <v>4.5280461401196925</v>
      </c>
      <c r="U607" s="53">
        <f t="shared" si="197"/>
        <v>4.7544484471256778</v>
      </c>
      <c r="V607" s="53">
        <f t="shared" si="197"/>
        <v>4.9921708694819618</v>
      </c>
    </row>
    <row r="608" spans="2:22">
      <c r="B608" s="2" t="s">
        <v>573</v>
      </c>
      <c r="G608"/>
      <c r="I608" s="22"/>
    </row>
    <row r="609" spans="2:22">
      <c r="B609" s="407" t="s">
        <v>472</v>
      </c>
      <c r="G609" s="17" t="s">
        <v>315</v>
      </c>
      <c r="J609">
        <f>J568</f>
        <v>4.4828202331603286</v>
      </c>
      <c r="K609">
        <f t="shared" ref="K609:V609" si="198">K568</f>
        <v>0.98311280270175005</v>
      </c>
      <c r="L609">
        <f t="shared" si="198"/>
        <v>1.0632364961219427</v>
      </c>
      <c r="M609">
        <f t="shared" si="198"/>
        <v>1.1498902705558813</v>
      </c>
      <c r="N609">
        <f t="shared" si="198"/>
        <v>1.2436063276061857</v>
      </c>
      <c r="O609">
        <f t="shared" si="198"/>
        <v>1.3449602433060899</v>
      </c>
      <c r="P609">
        <f t="shared" si="198"/>
        <v>1.4545745031355362</v>
      </c>
      <c r="Q609">
        <f t="shared" si="198"/>
        <v>1.5731223251410826</v>
      </c>
      <c r="R609">
        <f t="shared" si="198"/>
        <v>1.7013317946400808</v>
      </c>
      <c r="S609">
        <f t="shared" si="198"/>
        <v>1.839990335903247</v>
      </c>
      <c r="T609">
        <f t="shared" si="198"/>
        <v>1.9319898526984098</v>
      </c>
      <c r="U609">
        <f t="shared" si="198"/>
        <v>2.0285893453333306</v>
      </c>
      <c r="V609">
        <f t="shared" si="198"/>
        <v>2.1300188125999973</v>
      </c>
    </row>
    <row r="610" spans="2:22">
      <c r="B610" s="407" t="s">
        <v>517</v>
      </c>
      <c r="F610" s="73"/>
      <c r="G610" s="17" t="s">
        <v>325</v>
      </c>
      <c r="J610">
        <f>Input!K769</f>
        <v>0</v>
      </c>
      <c r="K610">
        <f>Input!L769</f>
        <v>0.35120000000000001</v>
      </c>
      <c r="L610">
        <f>Input!M769</f>
        <v>0.35120000000000001</v>
      </c>
      <c r="M610">
        <f>Input!N769</f>
        <v>0.35120000000000001</v>
      </c>
      <c r="N610">
        <f>Input!O769</f>
        <v>0.35120000000000001</v>
      </c>
      <c r="O610">
        <f>Input!P769</f>
        <v>0.35120000000000001</v>
      </c>
      <c r="P610">
        <f>Input!Q769</f>
        <v>0.35120000000000001</v>
      </c>
      <c r="Q610">
        <f>Input!R769</f>
        <v>0.35120000000000001</v>
      </c>
      <c r="R610">
        <f>Input!S769</f>
        <v>0.35120000000000001</v>
      </c>
      <c r="S610">
        <f>Input!T769</f>
        <v>0.35120000000000001</v>
      </c>
      <c r="T610">
        <f>Input!U769</f>
        <v>0.35120000000000001</v>
      </c>
      <c r="U610">
        <f>Input!V769</f>
        <v>0.35120000000000001</v>
      </c>
      <c r="V610">
        <f>Input!W769</f>
        <v>0.35120000000000001</v>
      </c>
    </row>
    <row r="611" spans="2:22">
      <c r="B611" s="28" t="s">
        <v>476</v>
      </c>
      <c r="C611" s="28"/>
      <c r="D611" s="28"/>
      <c r="E611" s="28"/>
      <c r="F611" s="28"/>
      <c r="G611" s="28"/>
      <c r="H611" s="28"/>
      <c r="I611" s="49">
        <f>SUM(J611:V611)</f>
        <v>6.4776813961419295</v>
      </c>
      <c r="J611" s="47">
        <f>J609*J610</f>
        <v>0</v>
      </c>
      <c r="K611" s="47">
        <f t="shared" ref="K611:V611" si="199">K609*K610</f>
        <v>0.34526921630885465</v>
      </c>
      <c r="L611" s="47">
        <f t="shared" si="199"/>
        <v>0.37340865743802631</v>
      </c>
      <c r="M611" s="47">
        <f t="shared" si="199"/>
        <v>0.40384146301922552</v>
      </c>
      <c r="N611" s="47">
        <f t="shared" si="199"/>
        <v>0.43675454225529242</v>
      </c>
      <c r="O611" s="47">
        <f t="shared" si="199"/>
        <v>0.47235003744909876</v>
      </c>
      <c r="P611" s="47">
        <f t="shared" si="199"/>
        <v>0.51084656550120033</v>
      </c>
      <c r="Q611" s="47">
        <f t="shared" si="199"/>
        <v>0.5524805605895482</v>
      </c>
      <c r="R611" s="47">
        <f t="shared" si="199"/>
        <v>0.59750772627759641</v>
      </c>
      <c r="S611" s="47">
        <f t="shared" si="199"/>
        <v>0.64620460596922036</v>
      </c>
      <c r="T611" s="47">
        <f t="shared" si="199"/>
        <v>0.67851483626768161</v>
      </c>
      <c r="U611" s="47">
        <f t="shared" si="199"/>
        <v>0.71244057808106576</v>
      </c>
      <c r="V611" s="47">
        <f t="shared" si="199"/>
        <v>0.74806260698511906</v>
      </c>
    </row>
    <row r="612" spans="2:22">
      <c r="G612"/>
    </row>
    <row r="613" spans="2:22">
      <c r="B613" s="2" t="s">
        <v>574</v>
      </c>
      <c r="G613"/>
      <c r="I613" s="22"/>
    </row>
    <row r="614" spans="2:22">
      <c r="B614" s="407" t="s">
        <v>472</v>
      </c>
      <c r="G614" s="17" t="s">
        <v>315</v>
      </c>
      <c r="J614">
        <f>J573</f>
        <v>13.510695101447476</v>
      </c>
      <c r="K614">
        <f t="shared" ref="K614:V614" si="200">K573</f>
        <v>0.89505973805850014</v>
      </c>
      <c r="L614">
        <f t="shared" si="200"/>
        <v>0.96800710671026802</v>
      </c>
      <c r="M614">
        <f t="shared" si="200"/>
        <v>1.0468996859071549</v>
      </c>
      <c r="N614">
        <f t="shared" si="200"/>
        <v>1.1322220103085883</v>
      </c>
      <c r="O614">
        <f t="shared" si="200"/>
        <v>1.2244981041487382</v>
      </c>
      <c r="P614">
        <f t="shared" si="200"/>
        <v>1.3242946996368601</v>
      </c>
      <c r="Q614">
        <f t="shared" si="200"/>
        <v>1.4322247176572644</v>
      </c>
      <c r="R614">
        <f t="shared" si="200"/>
        <v>1.5489510321463316</v>
      </c>
      <c r="S614">
        <f t="shared" si="200"/>
        <v>1.6751905412662575</v>
      </c>
      <c r="T614">
        <f t="shared" si="200"/>
        <v>1.7589500683295707</v>
      </c>
      <c r="U614">
        <f t="shared" si="200"/>
        <v>1.8468975717460494</v>
      </c>
      <c r="V614">
        <f t="shared" si="200"/>
        <v>1.9392424503333519</v>
      </c>
    </row>
    <row r="615" spans="2:22">
      <c r="B615" s="407" t="s">
        <v>517</v>
      </c>
      <c r="F615" s="73"/>
      <c r="G615" s="17" t="s">
        <v>325</v>
      </c>
      <c r="J615">
        <f>Input!K770</f>
        <v>0</v>
      </c>
      <c r="K615">
        <f>Input!L770</f>
        <v>0.45200000000000001</v>
      </c>
      <c r="L615">
        <f>Input!M770</f>
        <v>0.45200000000000001</v>
      </c>
      <c r="M615">
        <f>Input!N770</f>
        <v>0.45200000000000001</v>
      </c>
      <c r="N615">
        <f>Input!O770</f>
        <v>0.45200000000000001</v>
      </c>
      <c r="O615">
        <f>Input!P770</f>
        <v>0.45200000000000001</v>
      </c>
      <c r="P615">
        <f>Input!Q770</f>
        <v>0.45200000000000001</v>
      </c>
      <c r="Q615">
        <f>Input!R770</f>
        <v>0.45200000000000001</v>
      </c>
      <c r="R615">
        <f>Input!S770</f>
        <v>0.45200000000000001</v>
      </c>
      <c r="S615">
        <f>Input!T770</f>
        <v>0.45200000000000001</v>
      </c>
      <c r="T615">
        <f>Input!U770</f>
        <v>0.45200000000000001</v>
      </c>
      <c r="U615">
        <f>Input!V770</f>
        <v>0.45200000000000001</v>
      </c>
      <c r="V615">
        <f>Input!W770</f>
        <v>0.45200000000000001</v>
      </c>
    </row>
    <row r="616" spans="2:22">
      <c r="B616" s="28" t="s">
        <v>476</v>
      </c>
      <c r="C616" s="28"/>
      <c r="D616" s="28"/>
      <c r="E616" s="28"/>
      <c r="F616" s="28"/>
      <c r="G616" s="28"/>
      <c r="H616" s="28"/>
      <c r="I616" s="49">
        <f>SUM(J616:V616)</f>
        <v>7.5901818522645197</v>
      </c>
      <c r="J616" s="47">
        <f t="shared" ref="J616:V616" si="201">J614*J615</f>
        <v>0</v>
      </c>
      <c r="K616" s="47">
        <f t="shared" si="201"/>
        <v>0.40456700160244208</v>
      </c>
      <c r="L616" s="47">
        <f t="shared" si="201"/>
        <v>0.43753921223304115</v>
      </c>
      <c r="M616" s="47">
        <f t="shared" si="201"/>
        <v>0.47319865803003403</v>
      </c>
      <c r="N616" s="47">
        <f t="shared" si="201"/>
        <v>0.51176434865948195</v>
      </c>
      <c r="O616" s="47">
        <f t="shared" si="201"/>
        <v>0.55347314307522966</v>
      </c>
      <c r="P616" s="47">
        <f t="shared" si="201"/>
        <v>0.59858120423586081</v>
      </c>
      <c r="Q616" s="47">
        <f t="shared" si="201"/>
        <v>0.6473655723810835</v>
      </c>
      <c r="R616" s="47">
        <f t="shared" si="201"/>
        <v>0.70012586653014186</v>
      </c>
      <c r="S616" s="47">
        <f t="shared" si="201"/>
        <v>0.75718612465234847</v>
      </c>
      <c r="T616" s="47">
        <f t="shared" si="201"/>
        <v>0.79504543088496593</v>
      </c>
      <c r="U616" s="47">
        <f t="shared" si="201"/>
        <v>0.83479770242921436</v>
      </c>
      <c r="V616" s="47">
        <f t="shared" si="201"/>
        <v>0.87653758755067501</v>
      </c>
    </row>
    <row r="617" spans="2:22">
      <c r="G617"/>
    </row>
    <row r="618" spans="2:22">
      <c r="B618" s="2" t="s">
        <v>575</v>
      </c>
      <c r="G618"/>
      <c r="I618" s="22"/>
    </row>
    <row r="619" spans="2:22">
      <c r="B619" s="407" t="s">
        <v>472</v>
      </c>
      <c r="G619" s="17" t="s">
        <v>315</v>
      </c>
      <c r="J619">
        <f>J578</f>
        <v>1.3965736712217709</v>
      </c>
      <c r="K619">
        <f t="shared" ref="K619:V619" si="202">K578</f>
        <v>0.83989117379081257</v>
      </c>
      <c r="L619">
        <f t="shared" si="202"/>
        <v>0.90834230445476394</v>
      </c>
      <c r="M619">
        <f t="shared" si="202"/>
        <v>0.98237220226782718</v>
      </c>
      <c r="N619">
        <f t="shared" si="202"/>
        <v>1.0624355367526552</v>
      </c>
      <c r="O619">
        <f t="shared" si="202"/>
        <v>1.1490240329979966</v>
      </c>
      <c r="P619">
        <f t="shared" si="202"/>
        <v>1.2426694916873333</v>
      </c>
      <c r="Q619">
        <f t="shared" si="202"/>
        <v>1.3439470552598509</v>
      </c>
      <c r="R619">
        <f t="shared" si="202"/>
        <v>1.4534787402635287</v>
      </c>
      <c r="S619">
        <f t="shared" si="202"/>
        <v>1.5719372575950066</v>
      </c>
      <c r="T619">
        <f t="shared" si="202"/>
        <v>1.650534120474757</v>
      </c>
      <c r="U619">
        <f t="shared" si="202"/>
        <v>1.7330608264984948</v>
      </c>
      <c r="V619">
        <f t="shared" si="202"/>
        <v>1.8197138678234197</v>
      </c>
    </row>
    <row r="620" spans="2:22">
      <c r="B620" s="407" t="s">
        <v>517</v>
      </c>
      <c r="F620" s="73"/>
      <c r="G620" s="17" t="s">
        <v>325</v>
      </c>
      <c r="J620">
        <f>Input!K771</f>
        <v>0</v>
      </c>
      <c r="K620">
        <f>Input!L771</f>
        <v>0.3528</v>
      </c>
      <c r="L620">
        <f>Input!M771</f>
        <v>0.3528</v>
      </c>
      <c r="M620">
        <f>Input!N771</f>
        <v>0.3528</v>
      </c>
      <c r="N620">
        <f>Input!O771</f>
        <v>0.3528</v>
      </c>
      <c r="O620">
        <f>Input!P771</f>
        <v>0.3528</v>
      </c>
      <c r="P620">
        <f>Input!Q771</f>
        <v>0.3528</v>
      </c>
      <c r="Q620">
        <f>Input!R771</f>
        <v>0.3528</v>
      </c>
      <c r="R620">
        <f>Input!S771</f>
        <v>0.3528</v>
      </c>
      <c r="S620">
        <f>Input!T771</f>
        <v>0.3528</v>
      </c>
      <c r="T620">
        <f>Input!U771</f>
        <v>0.3528</v>
      </c>
      <c r="U620">
        <f>Input!V771</f>
        <v>0.3528</v>
      </c>
      <c r="V620">
        <f>Input!W771</f>
        <v>0.3528</v>
      </c>
    </row>
    <row r="621" spans="2:22">
      <c r="B621" s="28" t="s">
        <v>476</v>
      </c>
      <c r="C621" s="28"/>
      <c r="D621" s="28"/>
      <c r="E621" s="28"/>
      <c r="F621" s="28"/>
      <c r="G621" s="28"/>
      <c r="H621" s="28"/>
      <c r="I621" s="49">
        <f>SUM(J621:V621)</f>
        <v>5.5592130519608816</v>
      </c>
      <c r="J621" s="47">
        <f t="shared" ref="J621:V621" si="203">J619*J620</f>
        <v>0</v>
      </c>
      <c r="K621" s="47">
        <f t="shared" si="203"/>
        <v>0.29631360611339869</v>
      </c>
      <c r="L621" s="47">
        <f t="shared" si="203"/>
        <v>0.32046316501164074</v>
      </c>
      <c r="M621" s="47">
        <f t="shared" si="203"/>
        <v>0.34658091296008942</v>
      </c>
      <c r="N621" s="47">
        <f t="shared" si="203"/>
        <v>0.37482725736633676</v>
      </c>
      <c r="O621" s="47">
        <f t="shared" si="203"/>
        <v>0.40537567884169318</v>
      </c>
      <c r="P621" s="47">
        <f t="shared" si="203"/>
        <v>0.43841379666729119</v>
      </c>
      <c r="Q621" s="47">
        <f t="shared" si="203"/>
        <v>0.4741445210956754</v>
      </c>
      <c r="R621" s="47">
        <f t="shared" si="203"/>
        <v>0.51278729956497293</v>
      </c>
      <c r="S621" s="47">
        <f t="shared" si="203"/>
        <v>0.55457946447951834</v>
      </c>
      <c r="T621" s="47">
        <f t="shared" si="203"/>
        <v>0.58230843770349427</v>
      </c>
      <c r="U621" s="47">
        <f t="shared" si="203"/>
        <v>0.61142385958866896</v>
      </c>
      <c r="V621" s="47">
        <f t="shared" si="203"/>
        <v>0.64199505256810252</v>
      </c>
    </row>
    <row r="622" spans="2:22">
      <c r="G622"/>
    </row>
    <row r="623" spans="2:22">
      <c r="B623" s="2" t="s">
        <v>576</v>
      </c>
      <c r="G623"/>
      <c r="I623" s="22"/>
    </row>
    <row r="624" spans="2:22">
      <c r="B624" s="407" t="s">
        <v>472</v>
      </c>
      <c r="G624" s="17" t="s">
        <v>315</v>
      </c>
      <c r="J624">
        <f>J583</f>
        <v>12.323025240960002</v>
      </c>
      <c r="K624">
        <f t="shared" ref="K624:V624" si="204">K583</f>
        <v>13.327351798098244</v>
      </c>
      <c r="L624">
        <f t="shared" si="204"/>
        <v>1.0330799146819989</v>
      </c>
      <c r="M624">
        <f t="shared" si="204"/>
        <v>1.1172759277285822</v>
      </c>
      <c r="N624">
        <f t="shared" si="204"/>
        <v>1.2083339158384616</v>
      </c>
      <c r="O624">
        <f t="shared" si="204"/>
        <v>1.3068131299792962</v>
      </c>
      <c r="P624">
        <f t="shared" si="204"/>
        <v>1.4133184000726087</v>
      </c>
      <c r="Q624">
        <f t="shared" si="204"/>
        <v>1.5285038496785266</v>
      </c>
      <c r="R624">
        <f t="shared" si="204"/>
        <v>1.6530769134273264</v>
      </c>
      <c r="S624">
        <f t="shared" si="204"/>
        <v>1.7878026818716533</v>
      </c>
      <c r="T624">
        <f t="shared" si="204"/>
        <v>1.8771928159652365</v>
      </c>
      <c r="U624">
        <f t="shared" si="204"/>
        <v>1.9710524567634986</v>
      </c>
      <c r="V624">
        <f t="shared" si="204"/>
        <v>2.0696050796016729</v>
      </c>
    </row>
    <row r="625" spans="2:22">
      <c r="B625" s="407" t="s">
        <v>517</v>
      </c>
      <c r="F625" s="73"/>
      <c r="G625" s="17" t="s">
        <v>325</v>
      </c>
      <c r="J625">
        <f>Input!K772</f>
        <v>0</v>
      </c>
      <c r="K625">
        <f>Input!L772</f>
        <v>0.87190366972477062</v>
      </c>
      <c r="L625">
        <f>Input!M772</f>
        <v>0.3528</v>
      </c>
      <c r="M625">
        <f>Input!N772</f>
        <v>0.3528</v>
      </c>
      <c r="N625">
        <f>Input!O772</f>
        <v>0.3528</v>
      </c>
      <c r="O625">
        <f>Input!P772</f>
        <v>0.3528</v>
      </c>
      <c r="P625">
        <f>Input!Q772</f>
        <v>0.3528</v>
      </c>
      <c r="Q625">
        <f>Input!R772</f>
        <v>0.3528</v>
      </c>
      <c r="R625">
        <f>Input!S772</f>
        <v>0.3528</v>
      </c>
      <c r="S625">
        <f>Input!T772</f>
        <v>0.3528</v>
      </c>
      <c r="T625">
        <f>Input!U772</f>
        <v>0.3528</v>
      </c>
      <c r="U625">
        <f>Input!V772</f>
        <v>0.3528</v>
      </c>
      <c r="V625">
        <f>Input!W772</f>
        <v>0.3528</v>
      </c>
    </row>
    <row r="626" spans="2:22">
      <c r="B626" s="28" t="s">
        <v>476</v>
      </c>
      <c r="C626" s="28"/>
      <c r="D626" s="28"/>
      <c r="E626" s="28"/>
      <c r="F626" s="28"/>
      <c r="G626" s="28"/>
      <c r="H626" s="28"/>
      <c r="I626" s="49">
        <f>SUM(J626:V626)</f>
        <v>17.605791174677687</v>
      </c>
      <c r="J626" s="47">
        <f t="shared" ref="J626:V626" si="205">J624*J625</f>
        <v>0</v>
      </c>
      <c r="K626" s="47">
        <f t="shared" si="205"/>
        <v>11.62016694047488</v>
      </c>
      <c r="L626" s="47">
        <f t="shared" si="205"/>
        <v>0.36447059389980924</v>
      </c>
      <c r="M626" s="47">
        <f t="shared" si="205"/>
        <v>0.3941749473026438</v>
      </c>
      <c r="N626" s="47">
        <f t="shared" si="205"/>
        <v>0.42630020550780928</v>
      </c>
      <c r="O626" s="47">
        <f t="shared" si="205"/>
        <v>0.46104367225669574</v>
      </c>
      <c r="P626" s="47">
        <f t="shared" si="205"/>
        <v>0.49861873154561637</v>
      </c>
      <c r="Q626" s="47">
        <f t="shared" si="205"/>
        <v>0.53925615816658423</v>
      </c>
      <c r="R626" s="47">
        <f t="shared" si="205"/>
        <v>0.58320553505716077</v>
      </c>
      <c r="S626" s="47">
        <f t="shared" si="205"/>
        <v>0.63073678616431927</v>
      </c>
      <c r="T626" s="47">
        <f t="shared" si="205"/>
        <v>0.66227362547253543</v>
      </c>
      <c r="U626" s="47">
        <f t="shared" si="205"/>
        <v>0.69538730674616234</v>
      </c>
      <c r="V626" s="47">
        <f t="shared" si="205"/>
        <v>0.73015667208347024</v>
      </c>
    </row>
    <row r="627" spans="2:22">
      <c r="G627"/>
    </row>
    <row r="628" spans="2:22">
      <c r="B628" s="2" t="s">
        <v>577</v>
      </c>
      <c r="G628"/>
      <c r="I628" s="22"/>
    </row>
    <row r="629" spans="2:22">
      <c r="B629" s="407" t="s">
        <v>472</v>
      </c>
      <c r="G629" s="17" t="s">
        <v>315</v>
      </c>
      <c r="J629">
        <f>J588</f>
        <v>12.944925170794049</v>
      </c>
      <c r="K629">
        <f t="shared" ref="K629:V629" si="206">K588</f>
        <v>2.6549211924396947</v>
      </c>
      <c r="L629">
        <f t="shared" si="206"/>
        <v>2.8712972696235304</v>
      </c>
      <c r="M629">
        <f t="shared" si="206"/>
        <v>3.1053079970978485</v>
      </c>
      <c r="N629">
        <f t="shared" si="206"/>
        <v>3.3583905988613232</v>
      </c>
      <c r="O629">
        <f t="shared" si="206"/>
        <v>3.6320994326685212</v>
      </c>
      <c r="P629">
        <f t="shared" si="206"/>
        <v>3.928115536431005</v>
      </c>
      <c r="Q629">
        <f t="shared" si="206"/>
        <v>4.2482569526501326</v>
      </c>
      <c r="R629">
        <f t="shared" si="206"/>
        <v>4.5944898942911179</v>
      </c>
      <c r="S629">
        <f t="shared" si="206"/>
        <v>4.9689408206758436</v>
      </c>
      <c r="T629">
        <f t="shared" si="206"/>
        <v>5.2173878617096365</v>
      </c>
      <c r="U629">
        <f t="shared" si="206"/>
        <v>5.4782572547951185</v>
      </c>
      <c r="V629">
        <f t="shared" si="206"/>
        <v>5.7521701175348747</v>
      </c>
    </row>
    <row r="630" spans="2:22">
      <c r="B630" s="407" t="s">
        <v>517</v>
      </c>
      <c r="F630" s="73"/>
      <c r="G630" s="17" t="s">
        <v>325</v>
      </c>
      <c r="J630">
        <f>Input!K773</f>
        <v>0</v>
      </c>
      <c r="K630">
        <f>Input!L773</f>
        <v>0.34689845910707229</v>
      </c>
      <c r="L630">
        <f>Input!M773</f>
        <v>0.34689845910707229</v>
      </c>
      <c r="M630">
        <f>Input!N773</f>
        <v>0.34689845910707229</v>
      </c>
      <c r="N630">
        <f>Input!O773</f>
        <v>0.34689845910707229</v>
      </c>
      <c r="O630">
        <f>Input!P773</f>
        <v>0.34689845910707229</v>
      </c>
      <c r="P630">
        <f>Input!Q773</f>
        <v>0.34689845910707229</v>
      </c>
      <c r="Q630">
        <f>Input!R773</f>
        <v>0.34689845910707229</v>
      </c>
      <c r="R630">
        <f>Input!S773</f>
        <v>0.34689845910707229</v>
      </c>
      <c r="S630">
        <f>Input!T773</f>
        <v>0.34689845910707229</v>
      </c>
      <c r="T630">
        <f>Input!U773</f>
        <v>0.34689845910707229</v>
      </c>
      <c r="U630">
        <f>Input!V773</f>
        <v>0.34689845910707229</v>
      </c>
      <c r="V630">
        <f>Input!W773</f>
        <v>0.34689845910707229</v>
      </c>
    </row>
    <row r="631" spans="2:22">
      <c r="B631" s="28" t="s">
        <v>476</v>
      </c>
      <c r="C631" s="28"/>
      <c r="D631" s="28"/>
      <c r="E631" s="28"/>
      <c r="F631" s="28"/>
      <c r="G631" s="28"/>
      <c r="H631" s="28"/>
      <c r="I631" s="49">
        <f>SUM(J631:V631)</f>
        <v>17.278885605479118</v>
      </c>
      <c r="J631" s="47">
        <f t="shared" ref="J631:V631" si="207">J629*J630</f>
        <v>0</v>
      </c>
      <c r="K631" s="47">
        <f t="shared" si="207"/>
        <v>0.92098807070804101</v>
      </c>
      <c r="L631" s="47">
        <f t="shared" si="207"/>
        <v>0.99604859847074656</v>
      </c>
      <c r="M631" s="47">
        <f t="shared" si="207"/>
        <v>1.0772265592461125</v>
      </c>
      <c r="N631" s="47">
        <f t="shared" si="207"/>
        <v>1.1650205238246707</v>
      </c>
      <c r="O631" s="47">
        <f t="shared" si="207"/>
        <v>1.2599696965163814</v>
      </c>
      <c r="P631" s="47">
        <f t="shared" si="207"/>
        <v>1.3626572267824664</v>
      </c>
      <c r="Q631" s="47">
        <f t="shared" si="207"/>
        <v>1.4737137907652376</v>
      </c>
      <c r="R631" s="47">
        <f t="shared" si="207"/>
        <v>1.5938214647126043</v>
      </c>
      <c r="S631" s="47">
        <f t="shared" si="207"/>
        <v>1.7237179140866814</v>
      </c>
      <c r="T631" s="47">
        <f t="shared" si="207"/>
        <v>1.8099038097910156</v>
      </c>
      <c r="U631" s="47">
        <f t="shared" si="207"/>
        <v>1.9003990002805664</v>
      </c>
      <c r="V631" s="47">
        <f t="shared" si="207"/>
        <v>1.9954189502945949</v>
      </c>
    </row>
    <row r="632" spans="2:22">
      <c r="G632"/>
    </row>
    <row r="633" spans="2:22">
      <c r="B633" s="2" t="s">
        <v>584</v>
      </c>
      <c r="G633"/>
    </row>
    <row r="634" spans="2:22">
      <c r="B634" s="407" t="s">
        <v>478</v>
      </c>
      <c r="G634"/>
      <c r="I634" s="13">
        <v>1</v>
      </c>
      <c r="J634" s="13">
        <f>I634*(1+Input!K782)*J$12</f>
        <v>1.0349999999999999</v>
      </c>
      <c r="K634" s="13">
        <f>J634*(1+Input!L782)*K$12</f>
        <v>1.0712249999999999</v>
      </c>
      <c r="L634" s="13">
        <f>K634*(1+Input!M782)*L$12</f>
        <v>1.1087178749999997</v>
      </c>
      <c r="M634" s="13">
        <f>L634*(1+Input!N782)*M$12</f>
        <v>1.1475230006249997</v>
      </c>
      <c r="N634" s="13">
        <f>M634*(1+Input!O782)*N$12</f>
        <v>1.1876863056468745</v>
      </c>
      <c r="O634" s="13">
        <f>N634*(1+Input!P782)*O$12</f>
        <v>1.229255326344515</v>
      </c>
      <c r="P634" s="13">
        <f>O634*(1+Input!Q782)*P$12</f>
        <v>1.2722792627665729</v>
      </c>
      <c r="Q634" s="13">
        <f>P634*(1+Input!R782)*Q$12</f>
        <v>1.3168090369634029</v>
      </c>
      <c r="R634" s="13">
        <f>Q634*(1+Input!S782)*R$12</f>
        <v>1.3628973532571218</v>
      </c>
      <c r="S634" s="13">
        <f>R634*(1+Input!T782)*S$12</f>
        <v>1.410598760621121</v>
      </c>
      <c r="T634" s="13">
        <f>S634*(1+Input!U782)*T$12</f>
        <v>1.4599697172428601</v>
      </c>
      <c r="U634" s="13">
        <f>T634*(1+Input!V782)*U$12</f>
        <v>1.5110686573463601</v>
      </c>
      <c r="V634" s="13">
        <f>U634*(1+Input!W782)*V$12</f>
        <v>1.5639560603534826</v>
      </c>
    </row>
    <row r="635" spans="2:22">
      <c r="B635" t="s">
        <v>479</v>
      </c>
      <c r="F635" s="19">
        <f>Input!J787</f>
        <v>2.5544369389999999</v>
      </c>
      <c r="G635" s="17" t="s">
        <v>315</v>
      </c>
    </row>
    <row r="636" spans="2:22">
      <c r="B636" s="28" t="s">
        <v>584</v>
      </c>
      <c r="C636" s="28"/>
      <c r="D636" s="28"/>
      <c r="E636" s="28"/>
      <c r="F636" s="28"/>
      <c r="G636" s="28"/>
      <c r="H636" s="28"/>
      <c r="I636" s="28"/>
      <c r="J636" s="47">
        <f>$F635*J634</f>
        <v>2.6438422318649999</v>
      </c>
      <c r="K636" s="47">
        <f t="shared" ref="K636:V636" si="208">$F635*K634</f>
        <v>2.7363767099802745</v>
      </c>
      <c r="L636" s="79">
        <f t="shared" si="208"/>
        <v>2.832149894829584</v>
      </c>
      <c r="M636" s="79">
        <f t="shared" si="208"/>
        <v>2.9312751411486193</v>
      </c>
      <c r="N636" s="79">
        <f t="shared" si="208"/>
        <v>3.0338697710888205</v>
      </c>
      <c r="O636" s="79">
        <f t="shared" si="208"/>
        <v>3.1400552130769288</v>
      </c>
      <c r="P636" s="79">
        <f t="shared" si="208"/>
        <v>3.249957145534621</v>
      </c>
      <c r="Q636" s="79">
        <f t="shared" si="208"/>
        <v>3.3637056456283325</v>
      </c>
      <c r="R636" s="79">
        <f t="shared" si="208"/>
        <v>3.4814353432253236</v>
      </c>
      <c r="S636" s="79">
        <f t="shared" si="208"/>
        <v>3.60328558023821</v>
      </c>
      <c r="T636" s="47">
        <f t="shared" si="208"/>
        <v>3.7294005755465469</v>
      </c>
      <c r="U636" s="47">
        <f t="shared" si="208"/>
        <v>3.8599295956906756</v>
      </c>
      <c r="V636" s="47">
        <f t="shared" si="208"/>
        <v>3.9950271315398491</v>
      </c>
    </row>
    <row r="637" spans="2:22">
      <c r="G637"/>
    </row>
    <row r="638" spans="2:22">
      <c r="B638" s="2" t="s">
        <v>585</v>
      </c>
      <c r="G638"/>
    </row>
    <row r="639" spans="2:22">
      <c r="B639" s="407" t="s">
        <v>478</v>
      </c>
      <c r="G639"/>
      <c r="I639" s="13">
        <v>1</v>
      </c>
      <c r="J639" s="13">
        <f>I639*(1+Input!K789)*J$12</f>
        <v>1.01</v>
      </c>
      <c r="K639" s="13">
        <f>J639*(1+Input!L789)*K$12</f>
        <v>1.0201</v>
      </c>
      <c r="L639" s="13">
        <f>K639*(1+Input!M789)*L$12</f>
        <v>1.0303009999999999</v>
      </c>
      <c r="M639" s="13">
        <f>L639*(1+Input!N789)*M$12</f>
        <v>1.04060401</v>
      </c>
      <c r="N639" s="13">
        <f>M639*(1+Input!O789)*N$12</f>
        <v>1.0510100500999999</v>
      </c>
      <c r="O639" s="13">
        <f>N639*(1+Input!P789)*O$12</f>
        <v>1.0615201506009999</v>
      </c>
      <c r="P639" s="13">
        <f>O639*(1+Input!Q789)*P$12</f>
        <v>1.0721353521070098</v>
      </c>
      <c r="Q639" s="13">
        <f>P639*(1+Input!R789)*Q$12</f>
        <v>1.08285670562808</v>
      </c>
      <c r="R639" s="13">
        <f>Q639*(1+Input!S789)*R$12</f>
        <v>1.0936852726843609</v>
      </c>
      <c r="S639" s="13">
        <f>R639*(1+Input!T789)*S$12</f>
        <v>1.1046221254112045</v>
      </c>
      <c r="T639" s="13">
        <f>S639*(1+Input!U789)*T$12</f>
        <v>1.1156683466653166</v>
      </c>
      <c r="U639" s="13">
        <f>T639*(1+Input!V789)*U$12</f>
        <v>1.1268250301319698</v>
      </c>
      <c r="V639" s="13">
        <f>U639*(1+Input!W789)*V$12</f>
        <v>1.1380932804332895</v>
      </c>
    </row>
    <row r="640" spans="2:22">
      <c r="B640" t="s">
        <v>479</v>
      </c>
      <c r="F640" s="19">
        <f>Input!J794</f>
        <v>8.5200650999999999E-3</v>
      </c>
      <c r="G640" s="17" t="s">
        <v>315</v>
      </c>
    </row>
    <row r="641" spans="2:22">
      <c r="B641" s="28" t="s">
        <v>585</v>
      </c>
      <c r="C641" s="28"/>
      <c r="D641" s="28"/>
      <c r="E641" s="28"/>
      <c r="F641" s="28"/>
      <c r="G641" s="28"/>
      <c r="H641" s="28"/>
      <c r="I641" s="28"/>
      <c r="J641" s="47">
        <f>$F640*J639</f>
        <v>8.6052657509999991E-3</v>
      </c>
      <c r="K641" s="47">
        <f t="shared" ref="K641:V641" si="209">$F640*K639</f>
        <v>8.6913184085100001E-3</v>
      </c>
      <c r="L641" s="81">
        <f t="shared" si="209"/>
        <v>8.7782315925950989E-3</v>
      </c>
      <c r="M641" s="81">
        <f t="shared" si="209"/>
        <v>8.8660139085210508E-3</v>
      </c>
      <c r="N641" s="81">
        <f t="shared" si="209"/>
        <v>8.9546740476062602E-3</v>
      </c>
      <c r="O641" s="81">
        <f t="shared" si="209"/>
        <v>9.0442207880823237E-3</v>
      </c>
      <c r="P641" s="81">
        <f t="shared" si="209"/>
        <v>9.1346629959631453E-3</v>
      </c>
      <c r="Q641" s="81">
        <f t="shared" si="209"/>
        <v>9.2260096259227774E-3</v>
      </c>
      <c r="R641" s="81">
        <f t="shared" si="209"/>
        <v>9.3182697221820057E-3</v>
      </c>
      <c r="S641" s="81">
        <f t="shared" si="209"/>
        <v>9.4114524194038266E-3</v>
      </c>
      <c r="T641" s="81">
        <f t="shared" si="209"/>
        <v>9.5055669435978648E-3</v>
      </c>
      <c r="U641" s="81">
        <f t="shared" si="209"/>
        <v>9.6006226130338438E-3</v>
      </c>
      <c r="V641" s="81">
        <f t="shared" si="209"/>
        <v>9.6966288391641831E-3</v>
      </c>
    </row>
    <row r="642" spans="2:22">
      <c r="G642"/>
    </row>
    <row r="643" spans="2:22">
      <c r="B643" s="2" t="s">
        <v>586</v>
      </c>
      <c r="G643"/>
    </row>
    <row r="644" spans="2:22">
      <c r="B644" s="407" t="s">
        <v>478</v>
      </c>
      <c r="G644"/>
      <c r="I644" s="13">
        <v>1</v>
      </c>
      <c r="J644" s="13">
        <f>I644*(1+Input!K796)*J$12</f>
        <v>1.0001497468346698</v>
      </c>
      <c r="K644" s="13">
        <f>J644*(1+Input!L796)*K$12</f>
        <v>1.0002995160934542</v>
      </c>
      <c r="L644" s="13">
        <f>K644*(1+Input!M796)*L$12</f>
        <v>1.000449307779711</v>
      </c>
      <c r="M644" s="13">
        <f>L644*(1+Input!N796)*M$12</f>
        <v>1.0005991218967987</v>
      </c>
      <c r="N644" s="13">
        <f>M644*(1+Input!O796)*N$12</f>
        <v>1.0007489584480762</v>
      </c>
      <c r="O644" s="13">
        <f>N644*(1+Input!P796)*O$12</f>
        <v>1.0008988174369029</v>
      </c>
      <c r="P644" s="13">
        <f>O644*(1+Input!Q796)*P$12</f>
        <v>1.0010486988666389</v>
      </c>
      <c r="Q644" s="13">
        <f>P644*(1+Input!R796)*Q$12</f>
        <v>1.0011986027406445</v>
      </c>
      <c r="R644" s="13">
        <f>Q644*(1+Input!S796)*R$12</f>
        <v>1.0013485290622808</v>
      </c>
      <c r="S644" s="13">
        <f>R644*(1+Input!T796)*S$12</f>
        <v>1.0014984778349092</v>
      </c>
      <c r="T644" s="13">
        <f>S644*(1+Input!U796)*T$12</f>
        <v>1.0016484490618915</v>
      </c>
      <c r="U644" s="13">
        <f>T644*(1+Input!V796)*U$12</f>
        <v>1.0017984427465905</v>
      </c>
      <c r="V644" s="13">
        <f>U644*(1+Input!W796)*V$12</f>
        <v>1.0019484588923691</v>
      </c>
    </row>
    <row r="645" spans="2:22">
      <c r="B645" s="407" t="s">
        <v>587</v>
      </c>
      <c r="G645"/>
    </row>
    <row r="646" spans="2:22">
      <c r="B646" t="s">
        <v>479</v>
      </c>
      <c r="F646" s="19">
        <v>1.4974683466982317E-4</v>
      </c>
      <c r="G646" s="17" t="s">
        <v>315</v>
      </c>
    </row>
    <row r="647" spans="2:22">
      <c r="B647" s="28" t="s">
        <v>585</v>
      </c>
      <c r="C647" s="28"/>
      <c r="D647" s="28"/>
      <c r="E647" s="28"/>
      <c r="F647" s="28"/>
      <c r="G647" s="28"/>
      <c r="H647" s="28"/>
      <c r="I647" s="28"/>
      <c r="J647" s="79">
        <f>$F$646*J592</f>
        <v>6.6874000453433407E-3</v>
      </c>
      <c r="K647" s="79">
        <f t="shared" ref="K647:V647" si="210">$F$646*K592</f>
        <v>2.8003162288469884E-3</v>
      </c>
      <c r="L647" s="79">
        <f t="shared" si="210"/>
        <v>1.0248618095630745E-3</v>
      </c>
      <c r="M647" s="79">
        <f t="shared" si="210"/>
        <v>1.1083880470424653E-3</v>
      </c>
      <c r="N647" s="79">
        <f t="shared" si="210"/>
        <v>1.1987216728764263E-3</v>
      </c>
      <c r="O647" s="79">
        <f t="shared" si="210"/>
        <v>1.2964174892158551E-3</v>
      </c>
      <c r="P647" s="79">
        <f t="shared" si="210"/>
        <v>1.4020755145869469E-3</v>
      </c>
      <c r="Q647" s="79">
        <f t="shared" si="210"/>
        <v>1.5163446690257835E-3</v>
      </c>
      <c r="R647" s="79">
        <f t="shared" si="210"/>
        <v>1.6399267595513846E-3</v>
      </c>
      <c r="S647" s="79">
        <f t="shared" si="210"/>
        <v>1.7735807904548223E-3</v>
      </c>
      <c r="T647" s="79">
        <f t="shared" si="210"/>
        <v>1.8622598299775637E-3</v>
      </c>
      <c r="U647" s="79">
        <f t="shared" si="210"/>
        <v>1.9553728214764424E-3</v>
      </c>
      <c r="V647" s="79">
        <f t="shared" si="210"/>
        <v>2.0531414625502642E-3</v>
      </c>
    </row>
    <row r="648" spans="2:22">
      <c r="G648"/>
    </row>
    <row r="649" spans="2:22" ht="15.75">
      <c r="B649" s="15" t="s">
        <v>535</v>
      </c>
      <c r="G649"/>
      <c r="J649" s="2">
        <f>SUM(J654,J659,J664,J669,J674)</f>
        <v>1.6379636075811999</v>
      </c>
      <c r="K649" s="2">
        <f t="shared" ref="K649:V649" si="211">SUM(K654,K659,K664,K669,K674)</f>
        <v>1.654343243657012</v>
      </c>
      <c r="L649" s="2">
        <f t="shared" si="211"/>
        <v>1.6708866760935817</v>
      </c>
      <c r="M649" s="2">
        <f t="shared" si="211"/>
        <v>1.6875955428545177</v>
      </c>
      <c r="N649" s="2">
        <f t="shared" si="211"/>
        <v>1.7044714982830629</v>
      </c>
      <c r="O649" s="2">
        <f t="shared" si="211"/>
        <v>1.7215162132658932</v>
      </c>
      <c r="P649" s="2">
        <f t="shared" si="211"/>
        <v>1.7387313753985525</v>
      </c>
      <c r="Q649" s="2">
        <f t="shared" si="211"/>
        <v>1.756118689152538</v>
      </c>
      <c r="R649" s="2">
        <f t="shared" si="211"/>
        <v>1.7736798760440635</v>
      </c>
      <c r="S649" s="2">
        <f t="shared" si="211"/>
        <v>1.791416674804504</v>
      </c>
      <c r="T649" s="2">
        <f t="shared" si="211"/>
        <v>1.8093308415525493</v>
      </c>
      <c r="U649" s="2">
        <f t="shared" si="211"/>
        <v>1.827424149968075</v>
      </c>
      <c r="V649" s="2">
        <f t="shared" si="211"/>
        <v>1.8456983914677556</v>
      </c>
    </row>
    <row r="650" spans="2:22">
      <c r="G650"/>
    </row>
    <row r="651" spans="2:22">
      <c r="B651" s="2" t="s">
        <v>496</v>
      </c>
      <c r="G651"/>
    </row>
    <row r="652" spans="2:22">
      <c r="B652" s="407" t="s">
        <v>478</v>
      </c>
      <c r="G652"/>
      <c r="I652" s="13">
        <v>1</v>
      </c>
      <c r="J652" s="13">
        <f>I652*(1+Input!K804)*J$12</f>
        <v>1.01</v>
      </c>
      <c r="K652" s="13">
        <f>J652*(1+Input!L804)*K$12</f>
        <v>1.0201</v>
      </c>
      <c r="L652" s="13">
        <f>K652*(1+Input!M804)*L$12</f>
        <v>1.0303009999999999</v>
      </c>
      <c r="M652" s="13">
        <f>L652*(1+Input!N804)*M$12</f>
        <v>1.04060401</v>
      </c>
      <c r="N652" s="13">
        <f>M652*(1+Input!O804)*N$12</f>
        <v>1.0510100500999999</v>
      </c>
      <c r="O652" s="13">
        <f>N652*(1+Input!P804)*O$12</f>
        <v>1.0615201506009999</v>
      </c>
      <c r="P652" s="13">
        <f>O652*(1+Input!Q804)*P$12</f>
        <v>1.0721353521070098</v>
      </c>
      <c r="Q652" s="13">
        <f>P652*(1+Input!R804)*Q$12</f>
        <v>1.08285670562808</v>
      </c>
      <c r="R652" s="13">
        <f>Q652*(1+Input!S804)*R$12</f>
        <v>1.0936852726843609</v>
      </c>
      <c r="S652" s="13">
        <f>R652*(1+Input!T804)*S$12</f>
        <v>1.1046221254112045</v>
      </c>
      <c r="T652" s="13">
        <f>S652*(1+Input!U804)*T$12</f>
        <v>1.1156683466653166</v>
      </c>
      <c r="U652" s="13">
        <f>T652*(1+Input!V804)*U$12</f>
        <v>1.1268250301319698</v>
      </c>
      <c r="V652" s="13">
        <f>U652*(1+Input!W804)*V$12</f>
        <v>1.1380932804332895</v>
      </c>
    </row>
    <row r="653" spans="2:22">
      <c r="B653" t="s">
        <v>479</v>
      </c>
      <c r="F653" s="19">
        <f>Input!J809</f>
        <v>1.3845168216799999</v>
      </c>
      <c r="G653" s="17" t="s">
        <v>315</v>
      </c>
    </row>
    <row r="654" spans="2:22">
      <c r="B654" s="28" t="s">
        <v>585</v>
      </c>
      <c r="C654" s="28"/>
      <c r="D654" s="28"/>
      <c r="E654" s="28"/>
      <c r="F654" s="28"/>
      <c r="G654" s="28"/>
      <c r="H654" s="28"/>
      <c r="I654" s="28"/>
      <c r="J654" s="47">
        <f>$F653*J652</f>
        <v>1.3983619898967998</v>
      </c>
      <c r="K654" s="47">
        <f t="shared" ref="K654:V654" si="212">$F653*K652</f>
        <v>1.4123456097957678</v>
      </c>
      <c r="L654" s="47">
        <f t="shared" si="212"/>
        <v>1.4264690658937254</v>
      </c>
      <c r="M654" s="47">
        <f t="shared" si="212"/>
        <v>1.4407337565526628</v>
      </c>
      <c r="N654" s="47">
        <f t="shared" si="212"/>
        <v>1.4551410941181893</v>
      </c>
      <c r="O654" s="47">
        <f t="shared" si="212"/>
        <v>1.4696925050593712</v>
      </c>
      <c r="P654" s="47">
        <f t="shared" si="212"/>
        <v>1.4843894301099649</v>
      </c>
      <c r="Q654" s="47">
        <f t="shared" si="212"/>
        <v>1.4992333244110645</v>
      </c>
      <c r="R654" s="47">
        <f t="shared" si="212"/>
        <v>1.5142256576551754</v>
      </c>
      <c r="S654" s="47">
        <f t="shared" si="212"/>
        <v>1.5293679142317271</v>
      </c>
      <c r="T654" s="47">
        <f t="shared" si="212"/>
        <v>1.5446615933740444</v>
      </c>
      <c r="U654" s="47">
        <f t="shared" si="212"/>
        <v>1.5601082093077849</v>
      </c>
      <c r="V654" s="47">
        <f t="shared" si="212"/>
        <v>1.5757092914008628</v>
      </c>
    </row>
    <row r="655" spans="2:22">
      <c r="G655"/>
    </row>
    <row r="656" spans="2:22">
      <c r="B656" s="2" t="s">
        <v>499</v>
      </c>
      <c r="G656"/>
    </row>
    <row r="657" spans="2:22">
      <c r="B657" s="407" t="s">
        <v>478</v>
      </c>
      <c r="G657"/>
      <c r="I657" s="13">
        <v>1</v>
      </c>
      <c r="J657" s="13">
        <f>I657*(1+Input!K811)*J$12</f>
        <v>1.01</v>
      </c>
      <c r="K657" s="13">
        <f>J657*(1+Input!L811)*K$12</f>
        <v>1.0201</v>
      </c>
      <c r="L657" s="13">
        <f>K657*(1+Input!M811)*L$12</f>
        <v>1.0303009999999999</v>
      </c>
      <c r="M657" s="13">
        <f>L657*(1+Input!N811)*M$12</f>
        <v>1.04060401</v>
      </c>
      <c r="N657" s="13">
        <f>M657*(1+Input!O811)*N$12</f>
        <v>1.0510100500999999</v>
      </c>
      <c r="O657" s="13">
        <f>N657*(1+Input!P811)*O$12</f>
        <v>1.0615201506009999</v>
      </c>
      <c r="P657" s="13">
        <f>O657*(1+Input!Q811)*P$12</f>
        <v>1.0721353521070098</v>
      </c>
      <c r="Q657" s="13">
        <f>P657*(1+Input!R811)*Q$12</f>
        <v>1.08285670562808</v>
      </c>
      <c r="R657" s="13">
        <f>Q657*(1+Input!S811)*R$12</f>
        <v>1.0936852726843609</v>
      </c>
      <c r="S657" s="13">
        <f>R657*(1+Input!T811)*S$12</f>
        <v>1.1046221254112045</v>
      </c>
      <c r="T657" s="13">
        <f>S657*(1+Input!U811)*T$12</f>
        <v>1.1156683466653166</v>
      </c>
      <c r="U657" s="13">
        <f>T657*(1+Input!V811)*U$12</f>
        <v>1.1268250301319698</v>
      </c>
      <c r="V657" s="13">
        <f>U657*(1+Input!W811)*V$12</f>
        <v>1.1380932804332895</v>
      </c>
    </row>
    <row r="658" spans="2:22">
      <c r="B658" t="s">
        <v>479</v>
      </c>
      <c r="F658" s="19">
        <f>Input!J816</f>
        <v>9.1772826000000002E-2</v>
      </c>
      <c r="G658" s="17" t="s">
        <v>315</v>
      </c>
    </row>
    <row r="659" spans="2:22">
      <c r="B659" s="28" t="s">
        <v>585</v>
      </c>
      <c r="C659" s="28"/>
      <c r="D659" s="28"/>
      <c r="E659" s="28"/>
      <c r="F659" s="28"/>
      <c r="G659" s="28"/>
      <c r="H659" s="28"/>
      <c r="I659" s="28"/>
      <c r="J659" s="79">
        <f t="shared" ref="J659:V659" si="213">$F658*J657</f>
        <v>9.2690554260000002E-2</v>
      </c>
      <c r="K659" s="79">
        <f t="shared" si="213"/>
        <v>9.36174598026E-2</v>
      </c>
      <c r="L659" s="79">
        <f t="shared" si="213"/>
        <v>9.4553634400625988E-2</v>
      </c>
      <c r="M659" s="79">
        <f t="shared" si="213"/>
        <v>9.5499170744632267E-2</v>
      </c>
      <c r="N659" s="79">
        <f t="shared" si="213"/>
        <v>9.6454162452078579E-2</v>
      </c>
      <c r="O659" s="79">
        <f t="shared" si="213"/>
        <v>9.7418704076599361E-2</v>
      </c>
      <c r="P659" s="79">
        <f t="shared" si="213"/>
        <v>9.839289111736535E-2</v>
      </c>
      <c r="Q659" s="79">
        <f t="shared" si="213"/>
        <v>9.9376820028539009E-2</v>
      </c>
      <c r="R659" s="79">
        <f t="shared" si="213"/>
        <v>0.1003705882288244</v>
      </c>
      <c r="S659" s="79">
        <f t="shared" si="213"/>
        <v>0.10137429411111265</v>
      </c>
      <c r="T659" s="79">
        <f t="shared" si="213"/>
        <v>0.10238803705222378</v>
      </c>
      <c r="U659" s="79">
        <f t="shared" si="213"/>
        <v>0.10341191742274602</v>
      </c>
      <c r="V659" s="79">
        <f t="shared" si="213"/>
        <v>0.10444603659697349</v>
      </c>
    </row>
    <row r="660" spans="2:22">
      <c r="G660"/>
    </row>
    <row r="661" spans="2:22">
      <c r="B661" s="2" t="s">
        <v>569</v>
      </c>
      <c r="G661"/>
    </row>
    <row r="662" spans="2:22">
      <c r="B662" s="407" t="s">
        <v>478</v>
      </c>
      <c r="G662"/>
      <c r="I662" s="13">
        <v>1</v>
      </c>
      <c r="J662" s="13">
        <f>I662*(1+Input!K818)*J$12</f>
        <v>1.01</v>
      </c>
      <c r="K662" s="13">
        <f>J662*(1+Input!L818)*K$12</f>
        <v>1.0201</v>
      </c>
      <c r="L662" s="13">
        <f>K662*(1+Input!M818)*L$12</f>
        <v>1.0303009999999999</v>
      </c>
      <c r="M662" s="13">
        <f>L662*(1+Input!N818)*M$12</f>
        <v>1.04060401</v>
      </c>
      <c r="N662" s="13">
        <f>M662*(1+Input!O818)*N$12</f>
        <v>1.0510100500999999</v>
      </c>
      <c r="O662" s="13">
        <f>N662*(1+Input!P818)*O$12</f>
        <v>1.0615201506009999</v>
      </c>
      <c r="P662" s="13">
        <f>O662*(1+Input!Q818)*P$12</f>
        <v>1.0721353521070098</v>
      </c>
      <c r="Q662" s="13">
        <f>P662*(1+Input!R818)*Q$12</f>
        <v>1.08285670562808</v>
      </c>
      <c r="R662" s="13">
        <f>Q662*(1+Input!S818)*R$12</f>
        <v>1.0936852726843609</v>
      </c>
      <c r="S662" s="13">
        <f>R662*(1+Input!T818)*S$12</f>
        <v>1.1046221254112045</v>
      </c>
      <c r="T662" s="13">
        <f>S662*(1+Input!U818)*T$12</f>
        <v>1.1156683466653166</v>
      </c>
      <c r="U662" s="13">
        <f>T662*(1+Input!V818)*U$12</f>
        <v>1.1268250301319698</v>
      </c>
      <c r="V662" s="13">
        <f>U662*(1+Input!W818)*V$12</f>
        <v>1.1380932804332895</v>
      </c>
    </row>
    <row r="663" spans="2:22">
      <c r="B663" t="s">
        <v>479</v>
      </c>
      <c r="F663" s="19">
        <f>Input!J823</f>
        <v>0.09</v>
      </c>
      <c r="G663" s="17" t="s">
        <v>315</v>
      </c>
    </row>
    <row r="664" spans="2:22">
      <c r="B664" s="28" t="s">
        <v>585</v>
      </c>
      <c r="C664" s="28"/>
      <c r="D664" s="28"/>
      <c r="E664" s="28"/>
      <c r="F664" s="28"/>
      <c r="G664" s="28"/>
      <c r="H664" s="28"/>
      <c r="I664" s="28"/>
      <c r="J664" s="79">
        <f t="shared" ref="J664:V664" si="214">$F663*J662</f>
        <v>9.0899999999999995E-2</v>
      </c>
      <c r="K664" s="79">
        <f t="shared" si="214"/>
        <v>9.1809000000000002E-2</v>
      </c>
      <c r="L664" s="79">
        <f t="shared" si="214"/>
        <v>9.2727089999999984E-2</v>
      </c>
      <c r="M664" s="79">
        <f t="shared" si="214"/>
        <v>9.3654360899999997E-2</v>
      </c>
      <c r="N664" s="79">
        <f t="shared" si="214"/>
        <v>9.4590904508999984E-2</v>
      </c>
      <c r="O664" s="79">
        <f t="shared" si="214"/>
        <v>9.5536813554089994E-2</v>
      </c>
      <c r="P664" s="79">
        <f t="shared" si="214"/>
        <v>9.6492181689630876E-2</v>
      </c>
      <c r="Q664" s="79">
        <f t="shared" si="214"/>
        <v>9.7457103506527198E-2</v>
      </c>
      <c r="R664" s="79">
        <f t="shared" si="214"/>
        <v>9.8431674541592476E-2</v>
      </c>
      <c r="S664" s="79">
        <f t="shared" si="214"/>
        <v>9.9415991287008398E-2</v>
      </c>
      <c r="T664" s="79">
        <f t="shared" si="214"/>
        <v>0.10041015119987849</v>
      </c>
      <c r="U664" s="79">
        <f t="shared" si="214"/>
        <v>0.10141425271187728</v>
      </c>
      <c r="V664" s="79">
        <f t="shared" si="214"/>
        <v>0.10242839523899605</v>
      </c>
    </row>
    <row r="665" spans="2:22">
      <c r="G665"/>
    </row>
    <row r="666" spans="2:22">
      <c r="B666" s="2" t="s">
        <v>501</v>
      </c>
      <c r="G666"/>
    </row>
    <row r="667" spans="2:22">
      <c r="B667" s="407" t="s">
        <v>478</v>
      </c>
      <c r="G667"/>
      <c r="I667" s="13">
        <v>1</v>
      </c>
      <c r="J667" s="13">
        <f>I667*(1+Input!K825)*J$12</f>
        <v>1.01</v>
      </c>
      <c r="K667" s="13">
        <f>J667*(1+Input!L825)*K$12</f>
        <v>1.0201</v>
      </c>
      <c r="L667" s="13">
        <f>K667*(1+Input!M825)*L$12</f>
        <v>1.0303009999999999</v>
      </c>
      <c r="M667" s="13">
        <f>L667*(1+Input!N825)*M$12</f>
        <v>1.04060401</v>
      </c>
      <c r="N667" s="13">
        <f>M667*(1+Input!O825)*N$12</f>
        <v>1.0510100500999999</v>
      </c>
      <c r="O667" s="13">
        <f>N667*(1+Input!P825)*O$12</f>
        <v>1.0615201506009999</v>
      </c>
      <c r="P667" s="13">
        <f>O667*(1+Input!Q825)*P$12</f>
        <v>1.0721353521070098</v>
      </c>
      <c r="Q667" s="13">
        <f>P667*(1+Input!R825)*Q$12</f>
        <v>1.08285670562808</v>
      </c>
      <c r="R667" s="13">
        <f>Q667*(1+Input!S825)*R$12</f>
        <v>1.0936852726843609</v>
      </c>
      <c r="S667" s="13">
        <f>R667*(1+Input!T825)*S$12</f>
        <v>1.1046221254112045</v>
      </c>
      <c r="T667" s="13">
        <f>S667*(1+Input!U825)*T$12</f>
        <v>1.1156683466653166</v>
      </c>
      <c r="U667" s="13">
        <f>T667*(1+Input!V825)*U$12</f>
        <v>1.1268250301319698</v>
      </c>
      <c r="V667" s="13">
        <f>U667*(1+Input!W825)*V$12</f>
        <v>1.1380932804332895</v>
      </c>
    </row>
    <row r="668" spans="2:22">
      <c r="B668" t="s">
        <v>479</v>
      </c>
      <c r="F668" s="19">
        <f>Input!J830</f>
        <v>4.422234244E-2</v>
      </c>
      <c r="G668" s="17" t="s">
        <v>315</v>
      </c>
    </row>
    <row r="669" spans="2:22">
      <c r="B669" s="28" t="s">
        <v>585</v>
      </c>
      <c r="C669" s="28"/>
      <c r="D669" s="28"/>
      <c r="E669" s="28"/>
      <c r="F669" s="28"/>
      <c r="G669" s="28"/>
      <c r="H669" s="28"/>
      <c r="I669" s="28"/>
      <c r="J669" s="79">
        <f t="shared" ref="J669:V669" si="215">$F668*J667</f>
        <v>4.4664565864399999E-2</v>
      </c>
      <c r="K669" s="79">
        <f t="shared" si="215"/>
        <v>4.5111211523044002E-2</v>
      </c>
      <c r="L669" s="79">
        <f t="shared" si="215"/>
        <v>4.5562323638274435E-2</v>
      </c>
      <c r="M669" s="79">
        <f t="shared" si="215"/>
        <v>4.6017946874657184E-2</v>
      </c>
      <c r="N669" s="79">
        <f t="shared" si="215"/>
        <v>4.6478126343403751E-2</v>
      </c>
      <c r="O669" s="79">
        <f t="shared" si="215"/>
        <v>4.6942907606837787E-2</v>
      </c>
      <c r="P669" s="79">
        <f t="shared" si="215"/>
        <v>4.7412336682906162E-2</v>
      </c>
      <c r="Q669" s="79">
        <f t="shared" si="215"/>
        <v>4.7886460049735229E-2</v>
      </c>
      <c r="R669" s="79">
        <f t="shared" si="215"/>
        <v>4.8365324650232584E-2</v>
      </c>
      <c r="S669" s="79">
        <f t="shared" si="215"/>
        <v>4.884897789673491E-2</v>
      </c>
      <c r="T669" s="79">
        <f t="shared" si="215"/>
        <v>4.9337467675702261E-2</v>
      </c>
      <c r="U669" s="79">
        <f t="shared" si="215"/>
        <v>4.9830842352459284E-2</v>
      </c>
      <c r="V669" s="79">
        <f t="shared" si="215"/>
        <v>5.0329150775983877E-2</v>
      </c>
    </row>
    <row r="670" spans="2:22">
      <c r="G670"/>
    </row>
    <row r="671" spans="2:22">
      <c r="B671" s="2" t="s">
        <v>500</v>
      </c>
      <c r="G671"/>
    </row>
    <row r="672" spans="2:22">
      <c r="B672" s="407" t="s">
        <v>478</v>
      </c>
      <c r="G672"/>
      <c r="I672" s="13">
        <v>1</v>
      </c>
      <c r="J672" s="13">
        <f>I672*(1+Input!K832)*J$12</f>
        <v>1.01</v>
      </c>
      <c r="K672" s="13">
        <f>J672*(1+Input!L832)*K$12</f>
        <v>1.0201</v>
      </c>
      <c r="L672" s="13">
        <f>K672*(1+Input!M832)*L$12</f>
        <v>1.0303009999999999</v>
      </c>
      <c r="M672" s="13">
        <f>L672*(1+Input!N832)*M$12</f>
        <v>1.04060401</v>
      </c>
      <c r="N672" s="13">
        <f>M672*(1+Input!O832)*N$12</f>
        <v>1.0510100500999999</v>
      </c>
      <c r="O672" s="13">
        <f>N672*(1+Input!P832)*O$12</f>
        <v>1.0615201506009999</v>
      </c>
      <c r="P672" s="13">
        <f>O672*(1+Input!Q832)*P$12</f>
        <v>1.0721353521070098</v>
      </c>
      <c r="Q672" s="13">
        <f>P672*(1+Input!R832)*Q$12</f>
        <v>1.08285670562808</v>
      </c>
      <c r="R672" s="13">
        <f>Q672*(1+Input!S832)*R$12</f>
        <v>1.0936852726843609</v>
      </c>
      <c r="S672" s="13">
        <f>R672*(1+Input!T832)*S$12</f>
        <v>1.1046221254112045</v>
      </c>
      <c r="T672" s="13">
        <f>S672*(1+Input!U832)*T$12</f>
        <v>1.1156683466653166</v>
      </c>
      <c r="U672" s="13">
        <f>T672*(1+Input!V832)*U$12</f>
        <v>1.1268250301319698</v>
      </c>
      <c r="V672" s="13">
        <f>U672*(1+Input!W832)*V$12</f>
        <v>1.1380932804332895</v>
      </c>
    </row>
    <row r="673" spans="2:22">
      <c r="B673" t="s">
        <v>479</v>
      </c>
      <c r="F673" s="19">
        <f>Input!J837</f>
        <v>1.1234156E-2</v>
      </c>
      <c r="G673" s="17" t="s">
        <v>315</v>
      </c>
    </row>
    <row r="674" spans="2:22">
      <c r="B674" s="28" t="s">
        <v>585</v>
      </c>
      <c r="C674" s="28"/>
      <c r="D674" s="28"/>
      <c r="E674" s="28"/>
      <c r="F674" s="28"/>
      <c r="G674" s="28"/>
      <c r="H674" s="28"/>
      <c r="I674" s="28"/>
      <c r="J674" s="79">
        <f t="shared" ref="J674:V674" si="216">$F673*J672</f>
        <v>1.134649756E-2</v>
      </c>
      <c r="K674" s="79">
        <f t="shared" si="216"/>
        <v>1.1459962535600001E-2</v>
      </c>
      <c r="L674" s="79">
        <f t="shared" si="216"/>
        <v>1.1574562160955999E-2</v>
      </c>
      <c r="M674" s="79">
        <f t="shared" si="216"/>
        <v>1.1690307782565561E-2</v>
      </c>
      <c r="N674" s="79">
        <f t="shared" si="216"/>
        <v>1.1807210860391215E-2</v>
      </c>
      <c r="O674" s="79">
        <f t="shared" si="216"/>
        <v>1.1925282968995128E-2</v>
      </c>
      <c r="P674" s="79">
        <f t="shared" si="216"/>
        <v>1.2044535798685077E-2</v>
      </c>
      <c r="Q674" s="79">
        <f t="shared" si="216"/>
        <v>1.2164981156671929E-2</v>
      </c>
      <c r="R674" s="79">
        <f t="shared" si="216"/>
        <v>1.2286630968238649E-2</v>
      </c>
      <c r="S674" s="79">
        <f t="shared" si="216"/>
        <v>1.2409497277921035E-2</v>
      </c>
      <c r="T674" s="79">
        <f t="shared" si="216"/>
        <v>1.2533592250700247E-2</v>
      </c>
      <c r="U674" s="79">
        <f t="shared" si="216"/>
        <v>1.2658928173207249E-2</v>
      </c>
      <c r="V674" s="79">
        <f t="shared" si="216"/>
        <v>1.2785517454939322E-2</v>
      </c>
    </row>
    <row r="675" spans="2:22">
      <c r="G675"/>
    </row>
    <row r="676" spans="2:22">
      <c r="G676"/>
    </row>
    <row r="677" spans="2:22" ht="24" thickBot="1">
      <c r="B677" s="14" t="s">
        <v>588</v>
      </c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</row>
    <row r="678" spans="2:22">
      <c r="G678"/>
    </row>
    <row r="679" spans="2:22">
      <c r="B679" t="s">
        <v>37</v>
      </c>
      <c r="F679" s="19">
        <v>2026</v>
      </c>
      <c r="G679"/>
      <c r="J679" s="13">
        <f>IF(J$8&lt;$F679,0,1)*J$12</f>
        <v>0</v>
      </c>
      <c r="K679" s="13">
        <f t="shared" ref="K679:V679" si="217">IF(K$8&lt;$F679,0,1)*K$12</f>
        <v>0</v>
      </c>
      <c r="L679" s="13">
        <f t="shared" si="217"/>
        <v>1</v>
      </c>
      <c r="M679" s="13">
        <f t="shared" si="217"/>
        <v>1</v>
      </c>
      <c r="N679" s="13">
        <f t="shared" si="217"/>
        <v>1</v>
      </c>
      <c r="O679" s="13">
        <f t="shared" si="217"/>
        <v>1</v>
      </c>
      <c r="P679" s="13">
        <f t="shared" si="217"/>
        <v>1</v>
      </c>
      <c r="Q679" s="13">
        <f t="shared" si="217"/>
        <v>1</v>
      </c>
      <c r="R679" s="13">
        <f t="shared" si="217"/>
        <v>1</v>
      </c>
      <c r="S679" s="13">
        <f t="shared" si="217"/>
        <v>1</v>
      </c>
      <c r="T679" s="13">
        <f t="shared" si="217"/>
        <v>1</v>
      </c>
      <c r="U679" s="13">
        <f t="shared" si="217"/>
        <v>1</v>
      </c>
      <c r="V679" s="13">
        <f t="shared" si="217"/>
        <v>1</v>
      </c>
    </row>
    <row r="680" spans="2:22">
      <c r="G680"/>
    </row>
    <row r="681" spans="2:22" ht="15.75">
      <c r="B681" s="15" t="s">
        <v>589</v>
      </c>
      <c r="G681"/>
    </row>
    <row r="682" spans="2:22" ht="15.75">
      <c r="B682" s="41" t="s">
        <v>590</v>
      </c>
      <c r="F682" s="19">
        <v>2023</v>
      </c>
      <c r="G682"/>
      <c r="I682">
        <v>1</v>
      </c>
      <c r="J682" s="70">
        <f>IF(J$8&lt;$F682,0,IF(J$8=$F682,1,I682*(1+Input!K844)*J$12))</f>
        <v>1</v>
      </c>
      <c r="K682" s="70">
        <f>IF(K$8&lt;$F682,0,IF(K$8=$F682,1,J682*(1+Input!L844)*K$12))</f>
        <v>1.04</v>
      </c>
      <c r="L682" s="70">
        <f>IF(L$8&lt;$F682,0,IF(L$8=$F682,1,K682*(1+Input!M844)*L$12))</f>
        <v>1.0816000000000001</v>
      </c>
      <c r="M682" s="70">
        <f>IF(M$8&lt;$F682,0,IF(M$8=$F682,1,L682*(1+Input!N844)*M$12))</f>
        <v>1.1248640000000001</v>
      </c>
      <c r="N682" s="70">
        <f>IF(N$8&lt;$F682,0,IF(N$8=$F682,1,M682*(1+Input!O844)*N$12))</f>
        <v>1.1698585600000002</v>
      </c>
      <c r="O682" s="70">
        <f>IF(O$8&lt;$F682,0,IF(O$8=$F682,1,N682*(1+Input!P844)*O$12))</f>
        <v>1.2166529024000003</v>
      </c>
      <c r="P682" s="70">
        <f>IF(P$8&lt;$F682,0,IF(P$8=$F682,1,O682*(1+Input!Q844)*P$12))</f>
        <v>1.2653190184960004</v>
      </c>
      <c r="Q682" s="70">
        <f>IF(Q$8&lt;$F682,0,IF(Q$8=$F682,1,P682*(1+Input!R844)*Q$12))</f>
        <v>1.3159317792358405</v>
      </c>
      <c r="R682" s="70">
        <f>IF(R$8&lt;$F682,0,IF(R$8=$F682,1,Q682*(1+Input!S844)*R$12))</f>
        <v>1.3685690504052741</v>
      </c>
      <c r="S682" s="70">
        <f>IF(S$8&lt;$F682,0,IF(S$8=$F682,1,R682*(1+Input!T844)*S$12))</f>
        <v>1.4233118124214852</v>
      </c>
      <c r="T682" s="70">
        <f>IF(T$8&lt;$F682,0,IF(T$8=$F682,1,S682*(1+Input!U844)*T$12))</f>
        <v>1.4802442849183446</v>
      </c>
      <c r="U682" s="70">
        <f>IF(U$8&lt;$F682,0,IF(U$8=$F682,1,T682*(1+Input!V844)*U$12))</f>
        <v>1.5394540563150785</v>
      </c>
      <c r="V682" s="70">
        <f>IF(V$8&lt;$F682,0,IF(V$8=$F682,1,U682*(1+Input!W844)*V$12))</f>
        <v>1.6010322185676817</v>
      </c>
    </row>
    <row r="683" spans="2:22">
      <c r="B683" s="407" t="s">
        <v>407</v>
      </c>
      <c r="F683" s="6">
        <f>Input!$J$849</f>
        <v>276000</v>
      </c>
      <c r="G683" s="17" t="s">
        <v>315</v>
      </c>
      <c r="J683">
        <f t="shared" ref="J683:V683" si="218">$F683*J682</f>
        <v>276000</v>
      </c>
      <c r="K683">
        <f t="shared" si="218"/>
        <v>287040</v>
      </c>
      <c r="L683">
        <f t="shared" si="218"/>
        <v>298521.60000000003</v>
      </c>
      <c r="M683">
        <f t="shared" si="218"/>
        <v>310462.46400000004</v>
      </c>
      <c r="N683">
        <f t="shared" si="218"/>
        <v>322880.96256000007</v>
      </c>
      <c r="O683">
        <f t="shared" si="218"/>
        <v>335796.20106240007</v>
      </c>
      <c r="P683">
        <f t="shared" si="218"/>
        <v>349228.04910489608</v>
      </c>
      <c r="Q683">
        <f t="shared" si="218"/>
        <v>363197.171069092</v>
      </c>
      <c r="R683">
        <f t="shared" si="218"/>
        <v>377725.05791185563</v>
      </c>
      <c r="S683">
        <f t="shared" si="218"/>
        <v>392834.06022832991</v>
      </c>
      <c r="T683">
        <f t="shared" si="218"/>
        <v>408547.42263746308</v>
      </c>
      <c r="U683">
        <f t="shared" si="218"/>
        <v>424889.31954296166</v>
      </c>
      <c r="V683">
        <f t="shared" si="218"/>
        <v>441884.89232468017</v>
      </c>
    </row>
    <row r="684" spans="2:22">
      <c r="B684" s="407" t="s">
        <v>465</v>
      </c>
      <c r="J684">
        <f>Input!K852</f>
        <v>32000.000000000007</v>
      </c>
      <c r="K684">
        <f>Input!L852</f>
        <v>32960.000000000007</v>
      </c>
      <c r="L684">
        <f>Input!M852</f>
        <v>33948.80000000001</v>
      </c>
      <c r="M684">
        <f>Input!N852</f>
        <v>34967.26400000001</v>
      </c>
      <c r="N684">
        <f>Input!O852</f>
        <v>36016.281920000009</v>
      </c>
      <c r="O684">
        <f>Input!P852</f>
        <v>37096.770377600005</v>
      </c>
      <c r="P684">
        <f>Input!Q852</f>
        <v>38209.673488928005</v>
      </c>
      <c r="Q684">
        <f>Input!R852</f>
        <v>39355.963693595848</v>
      </c>
      <c r="R684">
        <f>Input!S852</f>
        <v>40536.642604403722</v>
      </c>
      <c r="S684">
        <f>Input!T852</f>
        <v>41752.741882535833</v>
      </c>
      <c r="T684">
        <f>Input!U810</f>
        <v>0</v>
      </c>
      <c r="U684">
        <f>Input!V810</f>
        <v>0</v>
      </c>
      <c r="V684">
        <f>Input!W810</f>
        <v>0</v>
      </c>
    </row>
    <row r="685" spans="2:22">
      <c r="B685" s="28" t="s">
        <v>9</v>
      </c>
      <c r="C685" s="28"/>
      <c r="D685" s="28"/>
      <c r="E685" s="28"/>
      <c r="F685" s="28"/>
      <c r="G685" s="28"/>
      <c r="H685" s="28"/>
      <c r="I685" s="48">
        <f>SUM(J685:V685)</f>
        <v>122.7207069758706</v>
      </c>
      <c r="J685" s="76">
        <f>J683*J684/Billion</f>
        <v>8.8320000000000025</v>
      </c>
      <c r="K685" s="76">
        <f t="shared" ref="K685:V685" si="219">K683*K684/Billion</f>
        <v>9.4608384000000019</v>
      </c>
      <c r="L685" s="76">
        <f t="shared" si="219"/>
        <v>10.134450094080004</v>
      </c>
      <c r="M685" s="76">
        <f t="shared" si="219"/>
        <v>10.8560229407785</v>
      </c>
      <c r="N685" s="76">
        <f t="shared" si="219"/>
        <v>11.628971774161931</v>
      </c>
      <c r="O685" s="76">
        <f t="shared" si="219"/>
        <v>12.456954564482258</v>
      </c>
      <c r="P685" s="76">
        <f t="shared" si="219"/>
        <v>13.343889729473396</v>
      </c>
      <c r="Q685" s="76">
        <f t="shared" si="219"/>
        <v>14.293974678211905</v>
      </c>
      <c r="R685" s="76">
        <f t="shared" si="219"/>
        <v>15.31170567530059</v>
      </c>
      <c r="S685" s="76">
        <f t="shared" si="219"/>
        <v>16.401899119381994</v>
      </c>
      <c r="T685" s="76">
        <f t="shared" si="219"/>
        <v>0</v>
      </c>
      <c r="U685" s="76">
        <f t="shared" si="219"/>
        <v>0</v>
      </c>
      <c r="V685" s="76">
        <f t="shared" si="219"/>
        <v>0</v>
      </c>
    </row>
    <row r="686" spans="2:22">
      <c r="G686"/>
      <c r="I686" s="21"/>
      <c r="K686" s="21"/>
      <c r="L686" s="21"/>
      <c r="M686" s="21"/>
      <c r="N686" s="21"/>
    </row>
    <row r="687" spans="2:22" ht="15.75">
      <c r="B687" s="41" t="s">
        <v>591</v>
      </c>
      <c r="F687" s="19">
        <v>2023</v>
      </c>
      <c r="G687"/>
      <c r="I687">
        <v>1</v>
      </c>
      <c r="J687" s="70">
        <f>IF(J$8&lt;$F687,0,IF(J$8=$F687,1,I687*(1+Input!K857)*J$12))</f>
        <v>1</v>
      </c>
      <c r="K687" s="70">
        <f>IF(K$8&lt;$F687,0,IF(K$8=$F687,1,J687*(1+Input!L857)*K$12))</f>
        <v>1.04</v>
      </c>
      <c r="L687" s="70">
        <f>IF(L$8&lt;$F687,0,IF(L$8=$F687,1,K687*(1+Input!M857)*L$12))</f>
        <v>1.0816000000000001</v>
      </c>
      <c r="M687" s="70">
        <f>IF(M$8&lt;$F687,0,IF(M$8=$F687,1,L687*(1+Input!N857)*M$12))</f>
        <v>1.1248640000000001</v>
      </c>
      <c r="N687" s="70">
        <f>IF(N$8&lt;$F687,0,IF(N$8=$F687,1,M687*(1+Input!O857)*N$12))</f>
        <v>1.1698585600000002</v>
      </c>
      <c r="O687" s="70">
        <f>IF(O$8&lt;$F687,0,IF(O$8=$F687,1,N687*(1+Input!P857)*O$12))</f>
        <v>1.2166529024000003</v>
      </c>
      <c r="P687" s="70">
        <f>IF(P$8&lt;$F687,0,IF(P$8=$F687,1,O687*(1+Input!Q857)*P$12))</f>
        <v>1.2653190184960004</v>
      </c>
      <c r="Q687" s="70">
        <f>IF(Q$8&lt;$F687,0,IF(Q$8=$F687,1,P687*(1+Input!R857)*Q$12))</f>
        <v>1.3159317792358405</v>
      </c>
      <c r="R687" s="70">
        <f>IF(R$8&lt;$F687,0,IF(R$8=$F687,1,Q687*(1+Input!S857)*R$12))</f>
        <v>1.3685690504052741</v>
      </c>
      <c r="S687" s="70">
        <f>IF(S$8&lt;$F687,0,IF(S$8=$F687,1,R687*(1+Input!T857)*S$12))</f>
        <v>1.4233118124214852</v>
      </c>
      <c r="T687" s="70">
        <f>IF(T$8&lt;$F687,0,IF(T$8=$F687,1,S687*(1+Input!U857)*T$12))</f>
        <v>1.4802442849183446</v>
      </c>
      <c r="U687" s="70">
        <f>IF(U$8&lt;$F687,0,IF(U$8=$F687,1,T687*(1+Input!V857)*U$12))</f>
        <v>1.5394540563150785</v>
      </c>
      <c r="V687" s="70">
        <f>IF(V$8&lt;$F687,0,IF(V$8=$F687,1,U687*(1+Input!W857)*V$12))</f>
        <v>1.6010322185676817</v>
      </c>
    </row>
    <row r="688" spans="2:22">
      <c r="B688" s="407" t="s">
        <v>407</v>
      </c>
      <c r="F688" s="16">
        <f>Input!J862</f>
        <v>80000</v>
      </c>
      <c r="G688" s="17" t="s">
        <v>315</v>
      </c>
      <c r="J688">
        <f t="shared" ref="J688:V688" si="220">$F688*J687</f>
        <v>80000</v>
      </c>
      <c r="K688">
        <f t="shared" si="220"/>
        <v>83200</v>
      </c>
      <c r="L688">
        <f t="shared" si="220"/>
        <v>86528.000000000015</v>
      </c>
      <c r="M688">
        <f t="shared" si="220"/>
        <v>89989.12000000001</v>
      </c>
      <c r="N688">
        <f t="shared" si="220"/>
        <v>93588.684800000017</v>
      </c>
      <c r="O688">
        <f t="shared" si="220"/>
        <v>97332.232192000025</v>
      </c>
      <c r="P688">
        <f t="shared" si="220"/>
        <v>101225.52147968003</v>
      </c>
      <c r="Q688">
        <f t="shared" si="220"/>
        <v>105274.54233886724</v>
      </c>
      <c r="R688">
        <f t="shared" si="220"/>
        <v>109485.52403242193</v>
      </c>
      <c r="S688">
        <f t="shared" si="220"/>
        <v>113864.94499371882</v>
      </c>
      <c r="T688">
        <f t="shared" si="220"/>
        <v>118419.54279346757</v>
      </c>
      <c r="U688">
        <f t="shared" si="220"/>
        <v>123156.32450520628</v>
      </c>
      <c r="V688">
        <f t="shared" si="220"/>
        <v>128082.57748541454</v>
      </c>
    </row>
    <row r="689" spans="2:22">
      <c r="B689" s="407" t="s">
        <v>465</v>
      </c>
      <c r="J689">
        <f>Input!K864</f>
        <v>84400</v>
      </c>
      <c r="K689">
        <f>Input!L864</f>
        <v>86932</v>
      </c>
      <c r="L689">
        <f>Input!M864</f>
        <v>89539.96</v>
      </c>
      <c r="M689">
        <f>Input!N864</f>
        <v>92226.158800000005</v>
      </c>
      <c r="N689">
        <f>Input!O864</f>
        <v>94992.943564000001</v>
      </c>
      <c r="O689">
        <f>Input!P864</f>
        <v>97842.731870920004</v>
      </c>
      <c r="P689">
        <f>Input!Q864</f>
        <v>100778.0138270476</v>
      </c>
      <c r="Q689">
        <f>Input!R864</f>
        <v>103801.35424185902</v>
      </c>
      <c r="R689">
        <f>Input!S864</f>
        <v>106915.3948691148</v>
      </c>
      <c r="S689">
        <f>Input!T864</f>
        <v>110122.85671518825</v>
      </c>
      <c r="T689">
        <f>Input!U864</f>
        <v>110122.85671518825</v>
      </c>
      <c r="U689">
        <f>Input!V864</f>
        <v>110122.85671518825</v>
      </c>
      <c r="V689">
        <f>Input!W864</f>
        <v>110122.85671518825</v>
      </c>
    </row>
    <row r="690" spans="2:22">
      <c r="B690" s="28" t="s">
        <v>9</v>
      </c>
      <c r="C690" s="28"/>
      <c r="D690" s="28"/>
      <c r="E690" s="28"/>
      <c r="F690" s="28"/>
      <c r="G690" s="28"/>
      <c r="H690" s="28"/>
      <c r="I690" s="48">
        <f>SUM(J690:V690)</f>
        <v>134.52693515108521</v>
      </c>
      <c r="J690" s="76">
        <f>J688*J689/Billion</f>
        <v>6.7519999999999998</v>
      </c>
      <c r="K690" s="76">
        <f t="shared" ref="K690:V690" si="221">K688*K689/Billion</f>
        <v>7.2327424000000002</v>
      </c>
      <c r="L690" s="76">
        <f t="shared" si="221"/>
        <v>7.7477136588800022</v>
      </c>
      <c r="M690" s="76">
        <f t="shared" si="221"/>
        <v>8.2993508713922584</v>
      </c>
      <c r="N690" s="76">
        <f t="shared" si="221"/>
        <v>8.890264653435386</v>
      </c>
      <c r="O690" s="76">
        <f t="shared" si="221"/>
        <v>9.5232514967599862</v>
      </c>
      <c r="P690" s="76">
        <f t="shared" si="221"/>
        <v>10.201307003329298</v>
      </c>
      <c r="Q690" s="76">
        <f t="shared" si="221"/>
        <v>10.927640061966343</v>
      </c>
      <c r="R690" s="76">
        <f t="shared" si="221"/>
        <v>11.705688034378349</v>
      </c>
      <c r="S690" s="76">
        <f t="shared" si="221"/>
        <v>12.539133022426089</v>
      </c>
      <c r="T690" s="76">
        <f t="shared" si="221"/>
        <v>13.040698343323131</v>
      </c>
      <c r="U690" s="76">
        <f t="shared" si="221"/>
        <v>13.562326277056059</v>
      </c>
      <c r="V690" s="76">
        <f t="shared" si="221"/>
        <v>14.104819328138301</v>
      </c>
    </row>
    <row r="691" spans="2:22">
      <c r="G691"/>
      <c r="I691" s="21"/>
      <c r="K691" s="21"/>
      <c r="L691" s="21"/>
      <c r="M691" s="21"/>
      <c r="N691" s="21"/>
    </row>
    <row r="692" spans="2:22">
      <c r="B692" t="s">
        <v>471</v>
      </c>
      <c r="G692"/>
      <c r="I692" s="21"/>
      <c r="J692">
        <f>SUM(J683,J688)</f>
        <v>356000</v>
      </c>
      <c r="K692">
        <f t="shared" ref="K692:V692" si="222">SUM(K683,K688)</f>
        <v>370240</v>
      </c>
      <c r="L692">
        <f t="shared" si="222"/>
        <v>385049.60000000003</v>
      </c>
      <c r="M692">
        <f t="shared" si="222"/>
        <v>400451.58400000003</v>
      </c>
      <c r="N692">
        <f t="shared" si="222"/>
        <v>416469.64736000006</v>
      </c>
      <c r="O692">
        <f t="shared" si="222"/>
        <v>433128.43325440009</v>
      </c>
      <c r="P692">
        <f t="shared" si="222"/>
        <v>450453.57058457611</v>
      </c>
      <c r="Q692">
        <f t="shared" si="222"/>
        <v>468471.71340795921</v>
      </c>
      <c r="R692">
        <f t="shared" si="222"/>
        <v>487210.58194427757</v>
      </c>
      <c r="S692">
        <f t="shared" si="222"/>
        <v>506699.00522204873</v>
      </c>
      <c r="T692">
        <f t="shared" si="222"/>
        <v>526966.96543093061</v>
      </c>
      <c r="U692">
        <f t="shared" si="222"/>
        <v>548045.64404816797</v>
      </c>
      <c r="V692">
        <f t="shared" si="222"/>
        <v>569967.46981009468</v>
      </c>
    </row>
    <row r="693" spans="2:22">
      <c r="B693" t="s">
        <v>578</v>
      </c>
      <c r="G693"/>
      <c r="I693" s="21"/>
      <c r="J693">
        <f>SUM(J685,J690)</f>
        <v>15.584000000000003</v>
      </c>
      <c r="K693">
        <f t="shared" ref="K693:V693" si="223">SUM(K685,K690)</f>
        <v>16.693580800000003</v>
      </c>
      <c r="L693">
        <f t="shared" si="223"/>
        <v>17.882163752960004</v>
      </c>
      <c r="M693">
        <f t="shared" si="223"/>
        <v>19.155373812170758</v>
      </c>
      <c r="N693">
        <f t="shared" si="223"/>
        <v>20.519236427597317</v>
      </c>
      <c r="O693">
        <f t="shared" si="223"/>
        <v>21.980206061242242</v>
      </c>
      <c r="P693">
        <f t="shared" si="223"/>
        <v>23.545196732802694</v>
      </c>
      <c r="Q693">
        <f t="shared" si="223"/>
        <v>25.221614740178246</v>
      </c>
      <c r="R693">
        <f t="shared" si="223"/>
        <v>27.017393709678942</v>
      </c>
      <c r="S693">
        <f t="shared" si="223"/>
        <v>28.941032141808083</v>
      </c>
      <c r="T693">
        <f t="shared" si="223"/>
        <v>13.040698343323131</v>
      </c>
      <c r="U693">
        <f t="shared" si="223"/>
        <v>13.562326277056059</v>
      </c>
      <c r="V693">
        <f t="shared" si="223"/>
        <v>14.104819328138301</v>
      </c>
    </row>
    <row r="694" spans="2:22">
      <c r="G694"/>
      <c r="I694" s="21"/>
    </row>
    <row r="695" spans="2:22" ht="15.75">
      <c r="B695" s="15" t="s">
        <v>473</v>
      </c>
      <c r="G695"/>
      <c r="I695" s="21"/>
      <c r="J695">
        <f t="shared" ref="J695:V695" si="224">SUM(J704,J710,J715,J720)*J12</f>
        <v>13.932671235536409</v>
      </c>
      <c r="K695">
        <f t="shared" si="224"/>
        <v>14.894117107720605</v>
      </c>
      <c r="L695">
        <f t="shared" si="224"/>
        <v>15.922959454353339</v>
      </c>
      <c r="M695">
        <f t="shared" si="224"/>
        <v>17.02395985790756</v>
      </c>
      <c r="N695">
        <f t="shared" si="224"/>
        <v>18.202217628900524</v>
      </c>
      <c r="O695">
        <f t="shared" si="224"/>
        <v>19.463193806748567</v>
      </c>
      <c r="P695">
        <f t="shared" si="224"/>
        <v>20.812736867894387</v>
      </c>
      <c r="Q695">
        <f t="shared" si="224"/>
        <v>22.257110262708999</v>
      </c>
      <c r="R695">
        <f t="shared" si="224"/>
        <v>23.803021911319675</v>
      </c>
      <c r="S695">
        <f t="shared" si="224"/>
        <v>25.457655797779658</v>
      </c>
      <c r="T695">
        <f t="shared" si="224"/>
        <v>12.1389552897862</v>
      </c>
      <c r="U695">
        <f t="shared" si="224"/>
        <v>12.618442515010333</v>
      </c>
      <c r="V695">
        <f t="shared" si="224"/>
        <v>13.116903002889975</v>
      </c>
    </row>
    <row r="696" spans="2:22">
      <c r="B696" s="2" t="s">
        <v>579</v>
      </c>
      <c r="F696" s="58" t="s">
        <v>580</v>
      </c>
      <c r="G696"/>
      <c r="I696" s="22"/>
    </row>
    <row r="697" spans="2:22">
      <c r="B697" s="407" t="s">
        <v>516</v>
      </c>
      <c r="F697" s="30">
        <f>Input!J874</f>
        <v>0.29629731224</v>
      </c>
      <c r="G697" s="17" t="s">
        <v>315</v>
      </c>
    </row>
    <row r="698" spans="2:22">
      <c r="B698" s="28" t="s">
        <v>476</v>
      </c>
      <c r="C698" s="28"/>
      <c r="D698" s="28"/>
      <c r="E698" s="28"/>
      <c r="F698" s="28"/>
      <c r="G698" s="28"/>
      <c r="H698" s="28"/>
      <c r="I698" s="49">
        <f>SUM(J698:V698)</f>
        <v>3.851865059120001</v>
      </c>
      <c r="J698" s="47">
        <f t="shared" ref="J698:V698" si="225">$F$697*J12</f>
        <v>0.29629731224</v>
      </c>
      <c r="K698" s="47">
        <f t="shared" si="225"/>
        <v>0.29629731224</v>
      </c>
      <c r="L698" s="47">
        <f t="shared" si="225"/>
        <v>0.29629731224</v>
      </c>
      <c r="M698" s="47">
        <f t="shared" si="225"/>
        <v>0.29629731224</v>
      </c>
      <c r="N698" s="47">
        <f t="shared" si="225"/>
        <v>0.29629731224</v>
      </c>
      <c r="O698" s="47">
        <f t="shared" si="225"/>
        <v>0.29629731224</v>
      </c>
      <c r="P698" s="47">
        <f t="shared" si="225"/>
        <v>0.29629731224</v>
      </c>
      <c r="Q698" s="47">
        <f t="shared" si="225"/>
        <v>0.29629731224</v>
      </c>
      <c r="R698" s="47">
        <f t="shared" si="225"/>
        <v>0.29629731224</v>
      </c>
      <c r="S698" s="47">
        <f t="shared" si="225"/>
        <v>0.29629731224</v>
      </c>
      <c r="T698" s="47">
        <f t="shared" si="225"/>
        <v>0.29629731224</v>
      </c>
      <c r="U698" s="47">
        <f t="shared" si="225"/>
        <v>0.29629731224</v>
      </c>
      <c r="V698" s="47">
        <f t="shared" si="225"/>
        <v>0.29629731224</v>
      </c>
    </row>
    <row r="699" spans="2:22">
      <c r="G699"/>
    </row>
    <row r="700" spans="2:22">
      <c r="B700" s="2" t="s">
        <v>592</v>
      </c>
      <c r="G700"/>
    </row>
    <row r="701" spans="2:22" ht="15.75">
      <c r="B701" s="41"/>
      <c r="F701" s="19">
        <v>2023</v>
      </c>
      <c r="G701"/>
      <c r="I701">
        <v>1</v>
      </c>
      <c r="J701" s="70">
        <f>IF(J$8&lt;$F701,0,IF(J$8=$F701,1,I701*(1+Input!K870)*J$12))</f>
        <v>1</v>
      </c>
      <c r="K701" s="70">
        <f>IF(K$8&lt;$F701,0,IF(K$8=$F701,1,J701*(1+Input!L870)*K$12))</f>
        <v>1</v>
      </c>
      <c r="L701" s="70">
        <f>IF(L$8&lt;$F701,0,IF(L$8=$F701,1,K701*(1+Input!M870)*L$12))</f>
        <v>1</v>
      </c>
      <c r="M701" s="70">
        <f>IF(M$8&lt;$F701,0,IF(M$8=$F701,1,L701*(1+Input!N870)*M$12))</f>
        <v>1</v>
      </c>
      <c r="N701" s="70">
        <f>IF(N$8&lt;$F701,0,IF(N$8=$F701,1,M701*(1+Input!O870)*N$12))</f>
        <v>1</v>
      </c>
      <c r="O701" s="70">
        <f>IF(O$8&lt;$F701,0,IF(O$8=$F701,1,N701*(1+Input!P870)*O$12))</f>
        <v>1</v>
      </c>
      <c r="P701" s="70">
        <f>IF(P$8&lt;$F701,0,IF(P$8=$F701,1,O701*(1+Input!Q870)*P$12))</f>
        <v>1</v>
      </c>
      <c r="Q701" s="70">
        <f>IF(Q$8&lt;$F701,0,IF(Q$8=$F701,1,P701*(1+Input!R870)*Q$12))</f>
        <v>1</v>
      </c>
      <c r="R701" s="70">
        <f>IF(R$8&lt;$F701,0,IF(R$8=$F701,1,Q701*(1+Input!S870)*R$12))</f>
        <v>1</v>
      </c>
      <c r="S701" s="70">
        <f>IF(S$8&lt;$F701,0,IF(S$8=$F701,1,R701*(1+Input!T870)*S$12))</f>
        <v>1</v>
      </c>
      <c r="T701" s="70">
        <f>IF(T$8&lt;$F701,0,IF(T$8=$F701,1,S701*(1+Input!U870)*T$12))</f>
        <v>1</v>
      </c>
      <c r="U701" s="70">
        <f>IF(U$8&lt;$F701,0,IF(U$8=$F701,1,T701*(1+Input!V870)*U$12))</f>
        <v>1</v>
      </c>
      <c r="V701" s="70">
        <f>IF(V$8&lt;$F701,0,IF(V$8=$F701,1,U701*(1+Input!W870)*V$12))</f>
        <v>1</v>
      </c>
    </row>
    <row r="702" spans="2:22">
      <c r="B702" s="407" t="s">
        <v>472</v>
      </c>
      <c r="F702" s="16">
        <f>Input!J875</f>
        <v>1.7999000000000001E-2</v>
      </c>
      <c r="G702" s="17" t="s">
        <v>315</v>
      </c>
      <c r="J702">
        <f>J693</f>
        <v>15.584000000000003</v>
      </c>
      <c r="K702">
        <f t="shared" ref="K702:V702" si="226">K693</f>
        <v>16.693580800000003</v>
      </c>
      <c r="L702">
        <f t="shared" si="226"/>
        <v>17.882163752960004</v>
      </c>
      <c r="M702">
        <f t="shared" si="226"/>
        <v>19.155373812170758</v>
      </c>
      <c r="N702">
        <f t="shared" si="226"/>
        <v>20.519236427597317</v>
      </c>
      <c r="O702">
        <f t="shared" si="226"/>
        <v>21.980206061242242</v>
      </c>
      <c r="P702">
        <f t="shared" si="226"/>
        <v>23.545196732802694</v>
      </c>
      <c r="Q702">
        <f t="shared" si="226"/>
        <v>25.221614740178246</v>
      </c>
      <c r="R702">
        <f t="shared" si="226"/>
        <v>27.017393709678942</v>
      </c>
      <c r="S702">
        <f t="shared" si="226"/>
        <v>28.941032141808083</v>
      </c>
      <c r="T702">
        <f t="shared" si="226"/>
        <v>13.040698343323131</v>
      </c>
      <c r="U702">
        <f t="shared" si="226"/>
        <v>13.562326277056059</v>
      </c>
      <c r="V702">
        <f t="shared" si="226"/>
        <v>14.104819328138301</v>
      </c>
    </row>
    <row r="703" spans="2:22">
      <c r="B703" s="407" t="s">
        <v>465</v>
      </c>
      <c r="F703" s="39">
        <v>0.83903628405324537</v>
      </c>
      <c r="J703" s="74">
        <f>$F$703</f>
        <v>0.83903628405324537</v>
      </c>
      <c r="K703" s="74">
        <f t="shared" ref="K703:V703" si="227">$F$703</f>
        <v>0.83903628405324537</v>
      </c>
      <c r="L703" s="74">
        <f t="shared" si="227"/>
        <v>0.83903628405324537</v>
      </c>
      <c r="M703" s="74">
        <f t="shared" si="227"/>
        <v>0.83903628405324537</v>
      </c>
      <c r="N703" s="74">
        <f t="shared" si="227"/>
        <v>0.83903628405324537</v>
      </c>
      <c r="O703" s="74">
        <f t="shared" si="227"/>
        <v>0.83903628405324537</v>
      </c>
      <c r="P703" s="74">
        <f t="shared" si="227"/>
        <v>0.83903628405324537</v>
      </c>
      <c r="Q703" s="74">
        <f t="shared" si="227"/>
        <v>0.83903628405324537</v>
      </c>
      <c r="R703" s="74">
        <f t="shared" si="227"/>
        <v>0.83903628405324537</v>
      </c>
      <c r="S703" s="74">
        <f t="shared" si="227"/>
        <v>0.83903628405324537</v>
      </c>
      <c r="T703" s="74">
        <f t="shared" si="227"/>
        <v>0.83903628405324537</v>
      </c>
      <c r="U703" s="74">
        <f t="shared" si="227"/>
        <v>0.83903628405324537</v>
      </c>
      <c r="V703" s="74">
        <f t="shared" si="227"/>
        <v>0.83903628405324537</v>
      </c>
    </row>
    <row r="704" spans="2:22">
      <c r="B704" s="28" t="s">
        <v>9</v>
      </c>
      <c r="C704" s="28"/>
      <c r="D704" s="28"/>
      <c r="E704" s="28"/>
      <c r="F704" s="28"/>
      <c r="G704" s="28"/>
      <c r="H704" s="28"/>
      <c r="I704" s="48">
        <f>SUM(J704:V704)</f>
        <v>215.84010573166003</v>
      </c>
      <c r="J704" s="76">
        <f t="shared" ref="J704:V704" si="228">J703*J702</f>
        <v>13.075541450685778</v>
      </c>
      <c r="K704" s="76">
        <f t="shared" si="228"/>
        <v>14.006520001974605</v>
      </c>
      <c r="L704" s="76">
        <f t="shared" si="228"/>
        <v>15.003784226115199</v>
      </c>
      <c r="M704" s="76">
        <f t="shared" si="228"/>
        <v>16.072053663014604</v>
      </c>
      <c r="N704" s="76">
        <f t="shared" si="228"/>
        <v>17.216383883821241</v>
      </c>
      <c r="O704" s="76">
        <f t="shared" si="228"/>
        <v>18.442190416349312</v>
      </c>
      <c r="P704" s="76">
        <f t="shared" si="228"/>
        <v>19.755274373993387</v>
      </c>
      <c r="Q704" s="76">
        <f t="shared" si="228"/>
        <v>21.161849909421715</v>
      </c>
      <c r="R704" s="76">
        <f t="shared" si="228"/>
        <v>22.668573622972545</v>
      </c>
      <c r="S704" s="76">
        <f t="shared" si="228"/>
        <v>24.28257606492819</v>
      </c>
      <c r="T704" s="76">
        <f t="shared" si="228"/>
        <v>10.941619079441153</v>
      </c>
      <c r="U704" s="76">
        <f t="shared" si="228"/>
        <v>11.379283842618801</v>
      </c>
      <c r="V704" s="76">
        <f t="shared" si="228"/>
        <v>11.834455196323553</v>
      </c>
    </row>
    <row r="705" spans="2:22">
      <c r="G705"/>
    </row>
    <row r="706" spans="2:22">
      <c r="G706"/>
    </row>
    <row r="707" spans="2:22">
      <c r="B707" s="2" t="s">
        <v>584</v>
      </c>
      <c r="G707"/>
    </row>
    <row r="708" spans="2:22">
      <c r="B708" s="407" t="s">
        <v>478</v>
      </c>
      <c r="G708"/>
      <c r="I708" s="71">
        <v>1</v>
      </c>
      <c r="J708" s="16">
        <f>I708*(1+Input!K879)*J$12</f>
        <v>1.0349999999999999</v>
      </c>
      <c r="K708" s="16">
        <f>J708*(1+Input!L879)*K$12</f>
        <v>1.0712249999999999</v>
      </c>
      <c r="L708" s="16">
        <f>K708*(1+Input!M879)*L$12</f>
        <v>1.1087178749999997</v>
      </c>
      <c r="M708" s="16">
        <f>L708*(1+Input!N879)*M$12</f>
        <v>1.1475230006249997</v>
      </c>
      <c r="N708" s="16">
        <f>M708*(1+Input!O879)*N$12</f>
        <v>1.1876863056468745</v>
      </c>
      <c r="O708" s="16">
        <f>N708*(1+Input!P879)*O$12</f>
        <v>1.229255326344515</v>
      </c>
      <c r="P708" s="16">
        <f>O708*(1+Input!Q879)*P$12</f>
        <v>1.2722792627665729</v>
      </c>
      <c r="Q708" s="16">
        <f>P708*(1+Input!R879)*Q$12</f>
        <v>1.3168090369634029</v>
      </c>
      <c r="R708" s="16">
        <f>Q708*(1+Input!S879)*R$12</f>
        <v>1.3628973532571218</v>
      </c>
      <c r="S708" s="16">
        <f>R708*(1+Input!T879)*S$12</f>
        <v>1.410598760621121</v>
      </c>
      <c r="T708" s="16">
        <f>S708*(1+Input!U879)*T$12</f>
        <v>1.4599697172428601</v>
      </c>
      <c r="U708" s="16">
        <f>T708*(1+Input!V879)*U$12</f>
        <v>1.5110686573463601</v>
      </c>
      <c r="V708" s="16">
        <f>U708*(1+Input!W879)*V$12</f>
        <v>1.5639560603534826</v>
      </c>
    </row>
    <row r="709" spans="2:22">
      <c r="B709" t="s">
        <v>479</v>
      </c>
      <c r="F709" s="19">
        <f>Input!J884</f>
        <v>0.80716489632999999</v>
      </c>
      <c r="G709" s="17" t="s">
        <v>315</v>
      </c>
    </row>
    <row r="710" spans="2:22">
      <c r="B710" s="28" t="s">
        <v>584</v>
      </c>
      <c r="C710" s="28"/>
      <c r="D710" s="28"/>
      <c r="E710" s="28"/>
      <c r="F710" s="28"/>
      <c r="G710" s="28"/>
      <c r="H710" s="28"/>
      <c r="I710" s="28"/>
      <c r="J710" s="47">
        <f>$F709*J708</f>
        <v>0.83541566770154996</v>
      </c>
      <c r="K710" s="47">
        <f t="shared" ref="K710:V710" si="229">$F709*K708</f>
        <v>0.86465521607110418</v>
      </c>
      <c r="L710" s="47">
        <f t="shared" si="229"/>
        <v>0.89491814863359265</v>
      </c>
      <c r="M710" s="47">
        <f t="shared" si="229"/>
        <v>0.9262402838357684</v>
      </c>
      <c r="N710" s="47">
        <f t="shared" si="229"/>
        <v>0.95865869377002011</v>
      </c>
      <c r="O710" s="47">
        <f t="shared" si="229"/>
        <v>0.99221174805197077</v>
      </c>
      <c r="P710" s="47">
        <f t="shared" si="229"/>
        <v>1.0269391592337895</v>
      </c>
      <c r="Q710" s="47">
        <f t="shared" si="229"/>
        <v>1.0628820298069723</v>
      </c>
      <c r="R710" s="47">
        <f t="shared" si="229"/>
        <v>1.1000829008502162</v>
      </c>
      <c r="S710" s="47">
        <f t="shared" si="229"/>
        <v>1.1385858023799735</v>
      </c>
      <c r="T710" s="47">
        <f t="shared" si="229"/>
        <v>1.1784363054632725</v>
      </c>
      <c r="U710" s="47">
        <f t="shared" si="229"/>
        <v>1.219681576154487</v>
      </c>
      <c r="V710" s="47">
        <f t="shared" si="229"/>
        <v>1.262370431319894</v>
      </c>
    </row>
    <row r="711" spans="2:22">
      <c r="G711"/>
    </row>
    <row r="712" spans="2:22">
      <c r="B712" s="2" t="s">
        <v>585</v>
      </c>
      <c r="G712"/>
    </row>
    <row r="713" spans="2:22">
      <c r="B713" s="407" t="s">
        <v>472</v>
      </c>
      <c r="G713"/>
      <c r="J713">
        <f>J693</f>
        <v>15.584000000000003</v>
      </c>
      <c r="K713">
        <f t="shared" ref="K713:V713" si="230">K693</f>
        <v>16.693580800000003</v>
      </c>
      <c r="L713">
        <f t="shared" si="230"/>
        <v>17.882163752960004</v>
      </c>
      <c r="M713">
        <f t="shared" si="230"/>
        <v>19.155373812170758</v>
      </c>
      <c r="N713">
        <f t="shared" si="230"/>
        <v>20.519236427597317</v>
      </c>
      <c r="O713">
        <f t="shared" si="230"/>
        <v>21.980206061242242</v>
      </c>
      <c r="P713">
        <f t="shared" si="230"/>
        <v>23.545196732802694</v>
      </c>
      <c r="Q713">
        <f t="shared" si="230"/>
        <v>25.221614740178246</v>
      </c>
      <c r="R713">
        <f t="shared" si="230"/>
        <v>27.017393709678942</v>
      </c>
      <c r="S713">
        <f t="shared" si="230"/>
        <v>28.941032141808083</v>
      </c>
      <c r="T713">
        <f t="shared" si="230"/>
        <v>13.040698343323131</v>
      </c>
      <c r="U713">
        <f t="shared" si="230"/>
        <v>13.562326277056059</v>
      </c>
      <c r="V713">
        <f t="shared" si="230"/>
        <v>14.104819328138301</v>
      </c>
    </row>
    <row r="714" spans="2:22">
      <c r="B714" t="s">
        <v>479</v>
      </c>
      <c r="F714" s="39">
        <v>1.1065192600795278E-3</v>
      </c>
      <c r="G714" s="17" t="s">
        <v>315</v>
      </c>
    </row>
    <row r="715" spans="2:22">
      <c r="B715" s="28" t="s">
        <v>585</v>
      </c>
      <c r="C715" s="28"/>
      <c r="D715" s="28"/>
      <c r="E715" s="28"/>
      <c r="F715" s="28"/>
      <c r="G715" s="28"/>
      <c r="H715" s="28"/>
      <c r="I715" s="28"/>
      <c r="J715" s="47">
        <f>J713*$F$714</f>
        <v>1.7243996149079364E-2</v>
      </c>
      <c r="K715" s="47">
        <f t="shared" ref="K715:V715" si="231">K713*$F$714</f>
        <v>1.8471768674893814E-2</v>
      </c>
      <c r="L715" s="47">
        <f t="shared" si="231"/>
        <v>1.9786958604546257E-2</v>
      </c>
      <c r="M715" s="47">
        <f t="shared" si="231"/>
        <v>2.1195790057189953E-2</v>
      </c>
      <c r="N715" s="47">
        <f t="shared" si="231"/>
        <v>2.2704930309261878E-2</v>
      </c>
      <c r="O715" s="47">
        <f t="shared" si="231"/>
        <v>2.4321521347281317E-2</v>
      </c>
      <c r="P715" s="47">
        <f t="shared" si="231"/>
        <v>2.6053213667207753E-2</v>
      </c>
      <c r="Q715" s="47">
        <f t="shared" si="231"/>
        <v>2.7908202480312946E-2</v>
      </c>
      <c r="R715" s="47">
        <f t="shared" si="231"/>
        <v>2.9895266496911231E-2</v>
      </c>
      <c r="S715" s="47">
        <f t="shared" si="231"/>
        <v>3.2023809471491312E-2</v>
      </c>
      <c r="T715" s="47">
        <f t="shared" si="231"/>
        <v>1.4429783881774235E-2</v>
      </c>
      <c r="U715" s="47">
        <f t="shared" si="231"/>
        <v>1.5006975237045207E-2</v>
      </c>
      <c r="V715" s="47">
        <f t="shared" si="231"/>
        <v>1.5607254246527017E-2</v>
      </c>
    </row>
    <row r="716" spans="2:22">
      <c r="G716"/>
    </row>
    <row r="717" spans="2:22">
      <c r="B717" s="2" t="s">
        <v>586</v>
      </c>
      <c r="G717"/>
    </row>
    <row r="718" spans="2:22">
      <c r="B718" s="407" t="s">
        <v>478</v>
      </c>
      <c r="G718"/>
      <c r="I718" s="13">
        <v>1</v>
      </c>
      <c r="J718" s="13">
        <f>I718*(1+Input!K912)*J$12</f>
        <v>1</v>
      </c>
      <c r="K718" s="13">
        <f>J718*(1+Input!L912)*K$12</f>
        <v>1</v>
      </c>
      <c r="L718" s="13">
        <f>K718*(1+Input!M912)*L$12</f>
        <v>1</v>
      </c>
      <c r="M718" s="13">
        <f>L718*(1+Input!N912)*M$12</f>
        <v>1</v>
      </c>
      <c r="N718" s="13">
        <f>M718*(1+Input!O912)*N$12</f>
        <v>1</v>
      </c>
      <c r="O718" s="13">
        <f>N718*(1+Input!P912)*O$12</f>
        <v>1</v>
      </c>
      <c r="P718" s="13">
        <f>O718*(1+Input!Q912)*P$12</f>
        <v>1</v>
      </c>
      <c r="Q718" s="13">
        <f>P718*(1+Input!R912)*Q$12</f>
        <v>1</v>
      </c>
      <c r="R718" s="13">
        <f>Q718*(1+Input!S912)*R$12</f>
        <v>1</v>
      </c>
      <c r="S718" s="13">
        <f>R718*(1+Input!T912)*S$12</f>
        <v>1</v>
      </c>
      <c r="T718" s="13">
        <f>S718*(1+Input!U912)*T$12</f>
        <v>1</v>
      </c>
      <c r="U718" s="13">
        <f>T718*(1+Input!V912)*U$12</f>
        <v>1</v>
      </c>
      <c r="V718" s="13">
        <f>U718*(1+Input!W912)*V$12</f>
        <v>1</v>
      </c>
    </row>
    <row r="719" spans="2:22">
      <c r="B719" t="s">
        <v>479</v>
      </c>
      <c r="F719" s="19">
        <f>Input!J876</f>
        <v>4.4701209999999996E-3</v>
      </c>
      <c r="G719" s="17" t="s">
        <v>315</v>
      </c>
    </row>
    <row r="720" spans="2:22">
      <c r="B720" s="28" t="s">
        <v>585</v>
      </c>
      <c r="C720" s="28"/>
      <c r="D720" s="28"/>
      <c r="E720" s="28"/>
      <c r="F720" s="28"/>
      <c r="G720" s="28"/>
      <c r="H720" s="28"/>
      <c r="I720" s="28"/>
      <c r="J720" s="79">
        <f>$F719</f>
        <v>4.4701209999999996E-3</v>
      </c>
      <c r="K720" s="79">
        <f t="shared" ref="K720:V720" si="232">$F719</f>
        <v>4.4701209999999996E-3</v>
      </c>
      <c r="L720" s="79">
        <f t="shared" si="232"/>
        <v>4.4701209999999996E-3</v>
      </c>
      <c r="M720" s="79">
        <f t="shared" si="232"/>
        <v>4.4701209999999996E-3</v>
      </c>
      <c r="N720" s="79">
        <f t="shared" si="232"/>
        <v>4.4701209999999996E-3</v>
      </c>
      <c r="O720" s="79">
        <f t="shared" si="232"/>
        <v>4.4701209999999996E-3</v>
      </c>
      <c r="P720" s="79">
        <f t="shared" si="232"/>
        <v>4.4701209999999996E-3</v>
      </c>
      <c r="Q720" s="79">
        <f t="shared" si="232"/>
        <v>4.4701209999999996E-3</v>
      </c>
      <c r="R720" s="79">
        <f t="shared" si="232"/>
        <v>4.4701209999999996E-3</v>
      </c>
      <c r="S720" s="79">
        <f t="shared" si="232"/>
        <v>4.4701209999999996E-3</v>
      </c>
      <c r="T720" s="79">
        <f t="shared" si="232"/>
        <v>4.4701209999999996E-3</v>
      </c>
      <c r="U720" s="79">
        <f t="shared" si="232"/>
        <v>4.4701209999999996E-3</v>
      </c>
      <c r="V720" s="79">
        <f t="shared" si="232"/>
        <v>4.4701209999999996E-3</v>
      </c>
    </row>
    <row r="721" spans="2:22">
      <c r="G721"/>
    </row>
    <row r="722" spans="2:22" ht="15.75">
      <c r="B722" s="15" t="s">
        <v>535</v>
      </c>
      <c r="G722"/>
      <c r="J722" s="83">
        <f>SUM(J727,J732,J737,J742,J747,J752)</f>
        <v>0.15091428416329999</v>
      </c>
      <c r="K722" s="83">
        <f t="shared" ref="K722:V722" si="233">SUM(K727,K732,K737,K742,K747,K752)</f>
        <v>0.152423427004933</v>
      </c>
      <c r="L722" s="83">
        <f t="shared" si="233"/>
        <v>0.1539476612749823</v>
      </c>
      <c r="M722" s="83">
        <f t="shared" si="233"/>
        <v>0.15548713788773216</v>
      </c>
      <c r="N722" s="83">
        <f t="shared" si="233"/>
        <v>0.15704200926660944</v>
      </c>
      <c r="O722" s="83">
        <f t="shared" si="233"/>
        <v>0.15861242935927555</v>
      </c>
      <c r="P722" s="83">
        <f t="shared" si="233"/>
        <v>0.16019855365286828</v>
      </c>
      <c r="Q722" s="83">
        <f t="shared" si="233"/>
        <v>0.16180053918939702</v>
      </c>
      <c r="R722" s="83">
        <f t="shared" si="233"/>
        <v>0.16341854458129101</v>
      </c>
      <c r="S722" s="83">
        <f t="shared" si="233"/>
        <v>0.16505273002710388</v>
      </c>
      <c r="T722" s="83">
        <f t="shared" si="233"/>
        <v>0.1667032573273749</v>
      </c>
      <c r="U722" s="83">
        <f t="shared" si="233"/>
        <v>0.16837028990064867</v>
      </c>
      <c r="V722" s="83">
        <f t="shared" si="233"/>
        <v>0.17005399279965516</v>
      </c>
    </row>
    <row r="723" spans="2:22">
      <c r="G723"/>
    </row>
    <row r="724" spans="2:22">
      <c r="B724" s="2" t="s">
        <v>496</v>
      </c>
      <c r="G724"/>
    </row>
    <row r="725" spans="2:22">
      <c r="B725" s="407" t="s">
        <v>478</v>
      </c>
      <c r="G725"/>
      <c r="I725" s="13">
        <v>1</v>
      </c>
      <c r="J725" s="13">
        <f>I725*(1+Input!K888)*J$12</f>
        <v>1.01</v>
      </c>
      <c r="K725" s="13">
        <f>J725*(1+Input!L888)*K$12</f>
        <v>1.0201</v>
      </c>
      <c r="L725" s="13">
        <f>K725*(1+Input!M888)*L$12</f>
        <v>1.0303009999999999</v>
      </c>
      <c r="M725" s="13">
        <f>L725*(1+Input!N888)*M$12</f>
        <v>1.04060401</v>
      </c>
      <c r="N725" s="13">
        <f>M725*(1+Input!O888)*N$12</f>
        <v>1.0510100500999999</v>
      </c>
      <c r="O725" s="13">
        <f>N725*(1+Input!P888)*O$12</f>
        <v>1.0615201506009999</v>
      </c>
      <c r="P725" s="13">
        <f>O725*(1+Input!Q888)*P$12</f>
        <v>1.0721353521070098</v>
      </c>
      <c r="Q725" s="13">
        <f>P725*(1+Input!R888)*Q$12</f>
        <v>1.08285670562808</v>
      </c>
      <c r="R725" s="13">
        <f>Q725*(1+Input!S888)*R$12</f>
        <v>1.0936852726843609</v>
      </c>
      <c r="S725" s="13">
        <f>R725*(1+Input!T888)*S$12</f>
        <v>1.1046221254112045</v>
      </c>
      <c r="T725" s="13">
        <f>S725*(1+Input!U888)*T$12</f>
        <v>1.1156683466653166</v>
      </c>
      <c r="U725" s="13">
        <f>T725*(1+Input!V888)*U$12</f>
        <v>1.1268250301319698</v>
      </c>
      <c r="V725" s="13">
        <f>U725*(1+Input!W888)*V$12</f>
        <v>1.1380932804332895</v>
      </c>
    </row>
    <row r="726" spans="2:22">
      <c r="B726" t="s">
        <v>479</v>
      </c>
      <c r="F726" s="19">
        <f>Input!J893</f>
        <v>4.1260885999999997E-2</v>
      </c>
      <c r="G726" s="17" t="s">
        <v>315</v>
      </c>
    </row>
    <row r="727" spans="2:22">
      <c r="B727" s="28" t="s">
        <v>585</v>
      </c>
      <c r="C727" s="28"/>
      <c r="D727" s="28"/>
      <c r="E727" s="28"/>
      <c r="F727" s="28"/>
      <c r="G727" s="28"/>
      <c r="H727" s="28"/>
      <c r="I727" s="28"/>
      <c r="J727" s="47">
        <f>$F726*J725</f>
        <v>4.167349486E-2</v>
      </c>
      <c r="K727" s="47">
        <f t="shared" ref="K727:V727" si="234">$F726*K725</f>
        <v>4.2090229808599999E-2</v>
      </c>
      <c r="L727" s="47">
        <f t="shared" si="234"/>
        <v>4.2511132106685993E-2</v>
      </c>
      <c r="M727" s="47">
        <f t="shared" si="234"/>
        <v>4.293624342775286E-2</v>
      </c>
      <c r="N727" s="47">
        <f t="shared" si="234"/>
        <v>4.3365605862030379E-2</v>
      </c>
      <c r="O727" s="47">
        <f t="shared" si="234"/>
        <v>4.3799261920650687E-2</v>
      </c>
      <c r="P727" s="47">
        <f t="shared" si="234"/>
        <v>4.423725453985719E-2</v>
      </c>
      <c r="Q727" s="47">
        <f t="shared" si="234"/>
        <v>4.4679627085255767E-2</v>
      </c>
      <c r="R727" s="47">
        <f t="shared" si="234"/>
        <v>4.5126423356108322E-2</v>
      </c>
      <c r="S727" s="47">
        <f t="shared" si="234"/>
        <v>4.5577687589669409E-2</v>
      </c>
      <c r="T727" s="47">
        <f t="shared" si="234"/>
        <v>4.6033464465566103E-2</v>
      </c>
      <c r="U727" s="47">
        <f t="shared" si="234"/>
        <v>4.6493799110221765E-2</v>
      </c>
      <c r="V727" s="47">
        <f t="shared" si="234"/>
        <v>4.6958737101323984E-2</v>
      </c>
    </row>
    <row r="728" spans="2:22">
      <c r="G728"/>
    </row>
    <row r="729" spans="2:22">
      <c r="B729" s="2" t="s">
        <v>499</v>
      </c>
      <c r="G729"/>
    </row>
    <row r="730" spans="2:22">
      <c r="B730" s="407" t="s">
        <v>478</v>
      </c>
      <c r="G730"/>
      <c r="I730" s="13">
        <v>1</v>
      </c>
      <c r="J730" s="13">
        <f>I730*(1+Input!K895)*J$12</f>
        <v>1.01</v>
      </c>
      <c r="K730" s="13">
        <f>J730*(1+Input!L895)*K$12</f>
        <v>1.0201</v>
      </c>
      <c r="L730" s="13">
        <f>K730*(1+Input!M895)*L$12</f>
        <v>1.0303009999999999</v>
      </c>
      <c r="M730" s="13">
        <f>L730*(1+Input!N895)*M$12</f>
        <v>1.04060401</v>
      </c>
      <c r="N730" s="13">
        <f>M730*(1+Input!O895)*N$12</f>
        <v>1.0510100500999999</v>
      </c>
      <c r="O730" s="13">
        <f>N730*(1+Input!P895)*O$12</f>
        <v>1.0615201506009999</v>
      </c>
      <c r="P730" s="13">
        <f>O730*(1+Input!Q895)*P$12</f>
        <v>1.0721353521070098</v>
      </c>
      <c r="Q730" s="13">
        <f>P730*(1+Input!R895)*Q$12</f>
        <v>1.08285670562808</v>
      </c>
      <c r="R730" s="13">
        <f>Q730*(1+Input!S895)*R$12</f>
        <v>1.0936852726843609</v>
      </c>
      <c r="S730" s="13">
        <f>R730*(1+Input!T895)*S$12</f>
        <v>1.1046221254112045</v>
      </c>
      <c r="T730" s="13">
        <f>S730*(1+Input!U895)*T$12</f>
        <v>1.1156683466653166</v>
      </c>
      <c r="U730" s="13">
        <f>T730*(1+Input!V895)*U$12</f>
        <v>1.1268250301319698</v>
      </c>
      <c r="V730" s="13">
        <f>U730*(1+Input!W895)*V$12</f>
        <v>1.1380932804332895</v>
      </c>
    </row>
    <row r="731" spans="2:22">
      <c r="B731" t="s">
        <v>479</v>
      </c>
      <c r="F731" s="19">
        <f>Input!J900</f>
        <v>1.7500000000000002E-2</v>
      </c>
      <c r="G731" s="17" t="s">
        <v>315</v>
      </c>
    </row>
    <row r="732" spans="2:22">
      <c r="B732" s="28" t="s">
        <v>585</v>
      </c>
      <c r="C732" s="28"/>
      <c r="D732" s="28"/>
      <c r="E732" s="28"/>
      <c r="F732" s="28"/>
      <c r="G732" s="28"/>
      <c r="H732" s="28"/>
      <c r="I732" s="28"/>
      <c r="J732" s="79">
        <f t="shared" ref="J732:V732" si="235">$F731*J730</f>
        <v>1.7675000000000003E-2</v>
      </c>
      <c r="K732" s="79">
        <f t="shared" si="235"/>
        <v>1.7851750000000003E-2</v>
      </c>
      <c r="L732" s="79">
        <f t="shared" si="235"/>
        <v>1.8030267499999999E-2</v>
      </c>
      <c r="M732" s="79">
        <f t="shared" si="235"/>
        <v>1.8210570175000003E-2</v>
      </c>
      <c r="N732" s="79">
        <f t="shared" si="235"/>
        <v>1.839267587675E-2</v>
      </c>
      <c r="O732" s="79">
        <f t="shared" si="235"/>
        <v>1.8576602635517501E-2</v>
      </c>
      <c r="P732" s="79">
        <f t="shared" si="235"/>
        <v>1.8762368661872673E-2</v>
      </c>
      <c r="Q732" s="79">
        <f t="shared" si="235"/>
        <v>1.8949992348491401E-2</v>
      </c>
      <c r="R732" s="79">
        <f t="shared" si="235"/>
        <v>1.9139492271976317E-2</v>
      </c>
      <c r="S732" s="79">
        <f t="shared" si="235"/>
        <v>1.933088719469608E-2</v>
      </c>
      <c r="T732" s="79">
        <f t="shared" si="235"/>
        <v>1.9524196066643042E-2</v>
      </c>
      <c r="U732" s="79">
        <f t="shared" si="235"/>
        <v>1.9719438027309473E-2</v>
      </c>
      <c r="V732" s="79">
        <f t="shared" si="235"/>
        <v>1.9916632407582568E-2</v>
      </c>
    </row>
    <row r="733" spans="2:22">
      <c r="G733"/>
    </row>
    <row r="734" spans="2:22">
      <c r="B734" s="2" t="s">
        <v>569</v>
      </c>
      <c r="G734"/>
    </row>
    <row r="735" spans="2:22">
      <c r="B735" s="407" t="s">
        <v>478</v>
      </c>
      <c r="G735"/>
      <c r="I735" s="13">
        <v>1</v>
      </c>
      <c r="J735" s="13">
        <f>I735*(1+Input!K902)*J$12</f>
        <v>1.01</v>
      </c>
      <c r="K735" s="13">
        <f>J735*(1+Input!L902)*K$12</f>
        <v>1.0201</v>
      </c>
      <c r="L735" s="13">
        <f>K735*(1+Input!M902)*L$12</f>
        <v>1.0303009999999999</v>
      </c>
      <c r="M735" s="13">
        <f>L735*(1+Input!N902)*M$12</f>
        <v>1.04060401</v>
      </c>
      <c r="N735" s="13">
        <f>M735*(1+Input!O902)*N$12</f>
        <v>1.0510100500999999</v>
      </c>
      <c r="O735" s="13">
        <f>N735*(1+Input!P902)*O$12</f>
        <v>1.0615201506009999</v>
      </c>
      <c r="P735" s="13">
        <f>O735*(1+Input!Q902)*P$12</f>
        <v>1.0721353521070098</v>
      </c>
      <c r="Q735" s="13">
        <f>P735*(1+Input!R902)*Q$12</f>
        <v>1.08285670562808</v>
      </c>
      <c r="R735" s="13">
        <f>Q735*(1+Input!S902)*R$12</f>
        <v>1.0936852726843609</v>
      </c>
      <c r="S735" s="13">
        <f>R735*(1+Input!T902)*S$12</f>
        <v>1.1046221254112045</v>
      </c>
      <c r="T735" s="13">
        <f>S735*(1+Input!U902)*T$12</f>
        <v>1.1156683466653166</v>
      </c>
      <c r="U735" s="13">
        <f>T735*(1+Input!V902)*U$12</f>
        <v>1.1268250301319698</v>
      </c>
      <c r="V735" s="13">
        <f>U735*(1+Input!W902)*V$12</f>
        <v>1.1380932804332895</v>
      </c>
    </row>
    <row r="736" spans="2:22">
      <c r="B736" t="s">
        <v>479</v>
      </c>
      <c r="F736" s="19">
        <f>Input!J907</f>
        <v>3.0499999999999999E-2</v>
      </c>
      <c r="G736" s="17" t="s">
        <v>315</v>
      </c>
    </row>
    <row r="737" spans="2:22">
      <c r="B737" s="28" t="s">
        <v>585</v>
      </c>
      <c r="C737" s="28"/>
      <c r="D737" s="28"/>
      <c r="E737" s="28"/>
      <c r="F737" s="28"/>
      <c r="G737" s="28"/>
      <c r="H737" s="28"/>
      <c r="I737" s="28"/>
      <c r="J737" s="79">
        <f t="shared" ref="J737:V737" si="236">$F736*J735</f>
        <v>3.0804999999999999E-2</v>
      </c>
      <c r="K737" s="79">
        <f t="shared" si="236"/>
        <v>3.111305E-2</v>
      </c>
      <c r="L737" s="79">
        <f t="shared" si="236"/>
        <v>3.1424180499999996E-2</v>
      </c>
      <c r="M737" s="79">
        <f t="shared" si="236"/>
        <v>3.1738422305E-2</v>
      </c>
      <c r="N737" s="79">
        <f t="shared" si="236"/>
        <v>3.2055806528049999E-2</v>
      </c>
      <c r="O737" s="79">
        <f t="shared" si="236"/>
        <v>3.2376364593330494E-2</v>
      </c>
      <c r="P737" s="79">
        <f t="shared" si="236"/>
        <v>3.2700128239263798E-2</v>
      </c>
      <c r="Q737" s="79">
        <f t="shared" si="236"/>
        <v>3.3027129521656443E-2</v>
      </c>
      <c r="R737" s="79">
        <f t="shared" si="236"/>
        <v>3.3357400816873009E-2</v>
      </c>
      <c r="S737" s="79">
        <f t="shared" si="236"/>
        <v>3.3690974825041735E-2</v>
      </c>
      <c r="T737" s="79">
        <f t="shared" si="236"/>
        <v>3.4027884573292151E-2</v>
      </c>
      <c r="U737" s="79">
        <f t="shared" si="236"/>
        <v>3.4368163419025079E-2</v>
      </c>
      <c r="V737" s="79">
        <f t="shared" si="236"/>
        <v>3.4711845053215326E-2</v>
      </c>
    </row>
    <row r="738" spans="2:22">
      <c r="G738"/>
    </row>
    <row r="739" spans="2:22">
      <c r="B739" s="2" t="s">
        <v>501</v>
      </c>
      <c r="G739"/>
    </row>
    <row r="740" spans="2:22">
      <c r="B740" s="407" t="s">
        <v>478</v>
      </c>
      <c r="G740"/>
      <c r="I740" s="71">
        <v>1</v>
      </c>
      <c r="J740" s="71">
        <f>I740*(1+Input!K909)*J$12</f>
        <v>1.01</v>
      </c>
      <c r="K740" s="13">
        <f>J740*(1+Input!L909)*K$12</f>
        <v>1.0201</v>
      </c>
      <c r="L740" s="13">
        <f>K740*(1+Input!M909)*L$12</f>
        <v>1.0303009999999999</v>
      </c>
      <c r="M740" s="13">
        <f>L740*(1+Input!N909)*M$12</f>
        <v>1.04060401</v>
      </c>
      <c r="N740" s="13">
        <f>M740*(1+Input!O909)*N$12</f>
        <v>1.0510100500999999</v>
      </c>
      <c r="O740" s="13">
        <f>N740*(1+Input!P909)*O$12</f>
        <v>1.0615201506009999</v>
      </c>
      <c r="P740" s="13">
        <f>O740*(1+Input!Q909)*P$12</f>
        <v>1.0721353521070098</v>
      </c>
      <c r="Q740" s="13">
        <f>P740*(1+Input!R909)*Q$12</f>
        <v>1.08285670562808</v>
      </c>
      <c r="R740" s="13">
        <f>Q740*(1+Input!S909)*R$12</f>
        <v>1.0936852726843609</v>
      </c>
      <c r="S740" s="13">
        <f>R740*(1+Input!T909)*S$12</f>
        <v>1.1046221254112045</v>
      </c>
      <c r="T740" s="13">
        <f>S740*(1+Input!U909)*T$12</f>
        <v>1.1156683466653166</v>
      </c>
      <c r="U740" s="13">
        <f>T740*(1+Input!V909)*U$12</f>
        <v>1.1268250301319698</v>
      </c>
      <c r="V740" s="13">
        <f>U740*(1+Input!W909)*V$12</f>
        <v>1.1380932804332895</v>
      </c>
    </row>
    <row r="741" spans="2:22">
      <c r="B741" t="s">
        <v>479</v>
      </c>
      <c r="F741" s="19">
        <f>Input!J914</f>
        <v>5.0327157329999997E-2</v>
      </c>
      <c r="G741" s="17" t="s">
        <v>315</v>
      </c>
    </row>
    <row r="742" spans="2:22">
      <c r="B742" s="28" t="s">
        <v>585</v>
      </c>
      <c r="C742" s="28"/>
      <c r="D742" s="28"/>
      <c r="E742" s="28"/>
      <c r="F742" s="28"/>
      <c r="G742" s="28"/>
      <c r="H742" s="28"/>
      <c r="I742" s="28"/>
      <c r="J742" s="79">
        <f t="shared" ref="J742:V742" si="237">$F741*J740</f>
        <v>5.0830428903299994E-2</v>
      </c>
      <c r="K742" s="79">
        <f t="shared" si="237"/>
        <v>5.1338733192332994E-2</v>
      </c>
      <c r="L742" s="79">
        <f t="shared" si="237"/>
        <v>5.185212052425632E-2</v>
      </c>
      <c r="M742" s="79">
        <f t="shared" si="237"/>
        <v>5.2370641729498894E-2</v>
      </c>
      <c r="N742" s="79">
        <f t="shared" si="237"/>
        <v>5.2894348146793876E-2</v>
      </c>
      <c r="O742" s="79">
        <f t="shared" si="237"/>
        <v>5.3423291628261815E-2</v>
      </c>
      <c r="P742" s="79">
        <f t="shared" si="237"/>
        <v>5.395752454454443E-2</v>
      </c>
      <c r="Q742" s="79">
        <f t="shared" si="237"/>
        <v>5.4497099789989872E-2</v>
      </c>
      <c r="R742" s="79">
        <f t="shared" si="237"/>
        <v>5.504207078788978E-2</v>
      </c>
      <c r="S742" s="79">
        <f t="shared" si="237"/>
        <v>5.5592491495768677E-2</v>
      </c>
      <c r="T742" s="79">
        <f t="shared" si="237"/>
        <v>5.6148416410726362E-2</v>
      </c>
      <c r="U742" s="79">
        <f t="shared" si="237"/>
        <v>5.6709900574833633E-2</v>
      </c>
      <c r="V742" s="79">
        <f t="shared" si="237"/>
        <v>5.7276999580581966E-2</v>
      </c>
    </row>
    <row r="743" spans="2:22">
      <c r="G743"/>
    </row>
    <row r="744" spans="2:22">
      <c r="B744" s="2" t="s">
        <v>500</v>
      </c>
      <c r="G744"/>
    </row>
    <row r="745" spans="2:22">
      <c r="B745" s="407" t="s">
        <v>478</v>
      </c>
      <c r="G745"/>
      <c r="I745" s="13">
        <v>1</v>
      </c>
      <c r="J745" s="13">
        <f>I745*(1+Input!K916)*J$12</f>
        <v>1.01</v>
      </c>
      <c r="K745" s="13">
        <f>J745*(1+Input!L916)*K$12</f>
        <v>1.0201</v>
      </c>
      <c r="L745" s="13">
        <f>K745*(1+Input!M916)*L$12</f>
        <v>1.0303009999999999</v>
      </c>
      <c r="M745" s="13">
        <f>L745*(1+Input!N916)*M$12</f>
        <v>1.04060401</v>
      </c>
      <c r="N745" s="13">
        <f>M745*(1+Input!O916)*N$12</f>
        <v>1.0510100500999999</v>
      </c>
      <c r="O745" s="13">
        <f>N745*(1+Input!P916)*O$12</f>
        <v>1.0615201506009999</v>
      </c>
      <c r="P745" s="13">
        <f>O745*(1+Input!Q916)*P$12</f>
        <v>1.0721353521070098</v>
      </c>
      <c r="Q745" s="13">
        <f>P745*(1+Input!R916)*Q$12</f>
        <v>1.08285670562808</v>
      </c>
      <c r="R745" s="13">
        <f>Q745*(1+Input!S916)*R$12</f>
        <v>1.0936852726843609</v>
      </c>
      <c r="S745" s="13">
        <f>R745*(1+Input!T916)*S$12</f>
        <v>1.1046221254112045</v>
      </c>
      <c r="T745" s="13">
        <f>S745*(1+Input!U916)*T$12</f>
        <v>1.1156683466653166</v>
      </c>
      <c r="U745" s="13">
        <f>T745*(1+Input!V916)*U$12</f>
        <v>1.1268250301319698</v>
      </c>
      <c r="V745" s="13">
        <f>U745*(1+Input!W916)*V$12</f>
        <v>1.1380932804332895</v>
      </c>
    </row>
    <row r="746" spans="2:22">
      <c r="B746" t="s">
        <v>479</v>
      </c>
      <c r="F746" s="19">
        <f>Input!J921</f>
        <v>3.8320400000000001E-3</v>
      </c>
      <c r="G746" s="17" t="s">
        <v>315</v>
      </c>
    </row>
    <row r="747" spans="2:22">
      <c r="B747" s="28" t="s">
        <v>585</v>
      </c>
      <c r="C747" s="28"/>
      <c r="D747" s="28"/>
      <c r="E747" s="28"/>
      <c r="F747" s="28"/>
      <c r="G747" s="28"/>
      <c r="H747" s="28"/>
      <c r="I747" s="28"/>
      <c r="J747" s="79">
        <f t="shared" ref="J747:V747" si="238">$F746*J745</f>
        <v>3.8703604000000003E-3</v>
      </c>
      <c r="K747" s="79">
        <f t="shared" si="238"/>
        <v>3.9090640040000003E-3</v>
      </c>
      <c r="L747" s="79">
        <f t="shared" si="238"/>
        <v>3.9481546440399999E-3</v>
      </c>
      <c r="M747" s="79">
        <f t="shared" si="238"/>
        <v>3.9876361904803998E-3</v>
      </c>
      <c r="N747" s="79">
        <f t="shared" si="238"/>
        <v>4.027512552385204E-3</v>
      </c>
      <c r="O747" s="79">
        <f t="shared" si="238"/>
        <v>4.0677876779090559E-3</v>
      </c>
      <c r="P747" s="79">
        <f t="shared" si="238"/>
        <v>4.1084655546881465E-3</v>
      </c>
      <c r="Q747" s="79">
        <f t="shared" si="238"/>
        <v>4.1495502102350274E-3</v>
      </c>
      <c r="R747" s="79">
        <f t="shared" si="238"/>
        <v>4.1910457123373783E-3</v>
      </c>
      <c r="S747" s="79">
        <f t="shared" si="238"/>
        <v>4.2329561694607522E-3</v>
      </c>
      <c r="T747" s="79">
        <f t="shared" si="238"/>
        <v>4.2752857311553595E-3</v>
      </c>
      <c r="U747" s="79">
        <f t="shared" si="238"/>
        <v>4.3180385884669138E-3</v>
      </c>
      <c r="V747" s="79">
        <f t="shared" si="238"/>
        <v>4.361218974351583E-3</v>
      </c>
    </row>
    <row r="748" spans="2:22">
      <c r="G748"/>
    </row>
    <row r="749" spans="2:22">
      <c r="B749" s="2" t="s">
        <v>507</v>
      </c>
      <c r="G749"/>
    </row>
    <row r="750" spans="2:22">
      <c r="B750" s="407" t="s">
        <v>478</v>
      </c>
      <c r="G750"/>
      <c r="I750" s="13">
        <v>1</v>
      </c>
      <c r="J750" s="13">
        <f>I750*(1+Input!K923)*J$12</f>
        <v>1.01</v>
      </c>
      <c r="K750" s="13">
        <f>J750*(1+Input!L923)*K$12</f>
        <v>1.0201</v>
      </c>
      <c r="L750" s="13">
        <f>K750*(1+Input!M923)*L$12</f>
        <v>1.0303009999999999</v>
      </c>
      <c r="M750" s="13">
        <f>L750*(1+Input!N923)*M$12</f>
        <v>1.04060401</v>
      </c>
      <c r="N750" s="13">
        <f>M750*(1+Input!O923)*N$12</f>
        <v>1.0510100500999999</v>
      </c>
      <c r="O750" s="13">
        <f>N750*(1+Input!P923)*O$12</f>
        <v>1.0615201506009999</v>
      </c>
      <c r="P750" s="13">
        <f>O750*(1+Input!Q923)*P$12</f>
        <v>1.0721353521070098</v>
      </c>
      <c r="Q750" s="13">
        <f>P750*(1+Input!R923)*Q$12</f>
        <v>1.08285670562808</v>
      </c>
      <c r="R750" s="13">
        <f>Q750*(1+Input!S923)*R$12</f>
        <v>1.0936852726843609</v>
      </c>
      <c r="S750" s="13">
        <f>R750*(1+Input!T923)*S$12</f>
        <v>1.1046221254112045</v>
      </c>
      <c r="T750" s="13">
        <f>S750*(1+Input!U923)*T$12</f>
        <v>1.1156683466653166</v>
      </c>
      <c r="U750" s="13">
        <f>T750*(1+Input!V923)*U$12</f>
        <v>1.1268250301319698</v>
      </c>
      <c r="V750" s="13">
        <f>U750*(1+Input!W923)*V$12</f>
        <v>1.1380932804332895</v>
      </c>
    </row>
    <row r="751" spans="2:22">
      <c r="B751" t="s">
        <v>479</v>
      </c>
      <c r="F751" s="19">
        <f>Input!J928</f>
        <v>6.0000000000000001E-3</v>
      </c>
      <c r="G751" s="17" t="s">
        <v>315</v>
      </c>
    </row>
    <row r="752" spans="2:22">
      <c r="B752" s="28" t="s">
        <v>585</v>
      </c>
      <c r="C752" s="28"/>
      <c r="D752" s="28"/>
      <c r="E752" s="28"/>
      <c r="F752" s="28"/>
      <c r="G752" s="28"/>
      <c r="H752" s="28"/>
      <c r="I752" s="28"/>
      <c r="J752" s="79">
        <f t="shared" ref="J752:V752" si="239">$F751*J750</f>
        <v>6.0600000000000003E-3</v>
      </c>
      <c r="K752" s="79">
        <f t="shared" si="239"/>
        <v>6.1206000000000003E-3</v>
      </c>
      <c r="L752" s="79">
        <f t="shared" si="239"/>
        <v>6.1818059999999998E-3</v>
      </c>
      <c r="M752" s="79">
        <f t="shared" si="239"/>
        <v>6.2436240600000003E-3</v>
      </c>
      <c r="N752" s="79">
        <f t="shared" si="239"/>
        <v>6.3060603005999994E-3</v>
      </c>
      <c r="O752" s="79">
        <f t="shared" si="239"/>
        <v>6.3691209036059997E-3</v>
      </c>
      <c r="P752" s="79">
        <f t="shared" si="239"/>
        <v>6.4328121126420593E-3</v>
      </c>
      <c r="Q752" s="79">
        <f t="shared" si="239"/>
        <v>6.4971402337684805E-3</v>
      </c>
      <c r="R752" s="79">
        <f t="shared" si="239"/>
        <v>6.5621116361061658E-3</v>
      </c>
      <c r="S752" s="79">
        <f t="shared" si="239"/>
        <v>6.6277327524672273E-3</v>
      </c>
      <c r="T752" s="79">
        <f t="shared" si="239"/>
        <v>6.6940100799918996E-3</v>
      </c>
      <c r="U752" s="79">
        <f t="shared" si="239"/>
        <v>6.760950180791819E-3</v>
      </c>
      <c r="V752" s="79">
        <f t="shared" si="239"/>
        <v>6.8285596825997368E-3</v>
      </c>
    </row>
    <row r="753" spans="2:22">
      <c r="G753"/>
    </row>
    <row r="754" spans="2:22">
      <c r="G754"/>
    </row>
    <row r="755" spans="2:22" ht="24" thickBot="1">
      <c r="B755" s="14" t="s">
        <v>593</v>
      </c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</row>
    <row r="756" spans="2:22">
      <c r="G756"/>
    </row>
    <row r="757" spans="2:22">
      <c r="B757" t="s">
        <v>37</v>
      </c>
      <c r="F757" s="19">
        <v>2026</v>
      </c>
      <c r="G757"/>
      <c r="J757" s="13">
        <f>IF(J$8&lt;$F757,0,1)*J$12</f>
        <v>0</v>
      </c>
      <c r="K757" s="13">
        <f t="shared" ref="K757:V757" si="240">IF(K$8&lt;$F757,0,1)*K$12</f>
        <v>0</v>
      </c>
      <c r="L757" s="13">
        <f t="shared" si="240"/>
        <v>1</v>
      </c>
      <c r="M757" s="13">
        <f t="shared" si="240"/>
        <v>1</v>
      </c>
      <c r="N757" s="13">
        <f t="shared" si="240"/>
        <v>1</v>
      </c>
      <c r="O757" s="13">
        <f t="shared" si="240"/>
        <v>1</v>
      </c>
      <c r="P757" s="13">
        <f t="shared" si="240"/>
        <v>1</v>
      </c>
      <c r="Q757" s="13">
        <f t="shared" si="240"/>
        <v>1</v>
      </c>
      <c r="R757" s="13">
        <f t="shared" si="240"/>
        <v>1</v>
      </c>
      <c r="S757" s="13">
        <f t="shared" si="240"/>
        <v>1</v>
      </c>
      <c r="T757" s="13">
        <f t="shared" si="240"/>
        <v>1</v>
      </c>
      <c r="U757" s="13">
        <f t="shared" si="240"/>
        <v>1</v>
      </c>
      <c r="V757" s="13">
        <f t="shared" si="240"/>
        <v>1</v>
      </c>
    </row>
    <row r="758" spans="2:22">
      <c r="G758"/>
    </row>
    <row r="759" spans="2:22" ht="15.75">
      <c r="B759" s="15" t="s">
        <v>594</v>
      </c>
      <c r="G759"/>
    </row>
    <row r="760" spans="2:22" ht="15.75">
      <c r="B760" s="41" t="s">
        <v>595</v>
      </c>
      <c r="F760" s="19">
        <v>2023</v>
      </c>
      <c r="G760"/>
      <c r="I760">
        <v>1</v>
      </c>
      <c r="J760" s="77">
        <f>IF(J$8&lt;$F760,0,IF(J$8=$F760,1,I760*(1+Input!K935)*J$12))</f>
        <v>1</v>
      </c>
      <c r="K760" s="77">
        <f>IF(K$8&lt;$F760,0,IF(K$8=$F760,1,J760*(1+Input!L935)*K$12))</f>
        <v>1.05</v>
      </c>
      <c r="L760" s="77">
        <f>IF(L$8&lt;$F760,0,IF(L$8=$F760,1,K760*(1+Input!M935)*L$12))</f>
        <v>1.1025</v>
      </c>
      <c r="M760" s="77">
        <f>IF(M$8&lt;$F760,0,IF(M$8=$F760,1,L760*(1+Input!N935)*M$12))</f>
        <v>1.1576250000000001</v>
      </c>
      <c r="N760" s="77">
        <f>IF(N$8&lt;$F760,0,IF(N$8=$F760,1,M760*(1+Input!O935)*N$12))</f>
        <v>1.2155062500000002</v>
      </c>
      <c r="O760" s="77">
        <f>IF(O$8&lt;$F760,0,IF(O$8=$F760,1,N760*(1+Input!P935)*O$12))</f>
        <v>1.2762815625000004</v>
      </c>
      <c r="P760" s="77">
        <f>IF(P$8&lt;$F760,0,IF(P$8=$F760,1,O760*(1+Input!Q935)*P$12))</f>
        <v>1.3400956406250004</v>
      </c>
      <c r="Q760" s="77">
        <f>IF(Q$8&lt;$F760,0,IF(Q$8=$F760,1,P760*(1+Input!R935)*Q$12))</f>
        <v>1.4071004226562505</v>
      </c>
      <c r="R760" s="77">
        <f>IF(R$8&lt;$F760,0,IF(R$8=$F760,1,Q760*(1+Input!S935)*R$12))</f>
        <v>1.477455443789063</v>
      </c>
      <c r="S760" s="77">
        <f>IF(S$8&lt;$F760,0,IF(S$8=$F760,1,R760*(1+Input!T935)*S$12))</f>
        <v>1.5513282159785162</v>
      </c>
      <c r="T760" s="77">
        <f>IF(T$8&lt;$F760,0,IF(T$8=$F760,1,S760*(1+Input!U935)*T$12))</f>
        <v>1.628894626777442</v>
      </c>
      <c r="U760" s="77">
        <f>IF(U$8&lt;$F760,0,IF(U$8=$F760,1,T760*(1+Input!V935)*U$12))</f>
        <v>1.7103393581163142</v>
      </c>
      <c r="V760" s="77">
        <f>IF(V$8&lt;$F760,0,IF(V$8=$F760,1,U760*(1+Input!W935)*V$12))</f>
        <v>1.7958563260221301</v>
      </c>
    </row>
    <row r="761" spans="2:22">
      <c r="B761" s="407" t="s">
        <v>407</v>
      </c>
      <c r="F761" s="6">
        <f>Input!$J$940</f>
        <v>533360.00000000012</v>
      </c>
      <c r="G761" s="17" t="s">
        <v>315</v>
      </c>
      <c r="J761">
        <f t="shared" ref="J761:V761" si="241">$F761*J760</f>
        <v>533360.00000000012</v>
      </c>
      <c r="K761">
        <f t="shared" si="241"/>
        <v>560028.00000000012</v>
      </c>
      <c r="L761">
        <f t="shared" si="241"/>
        <v>588029.40000000014</v>
      </c>
      <c r="M761">
        <f t="shared" si="241"/>
        <v>617430.87000000023</v>
      </c>
      <c r="N761">
        <f t="shared" si="241"/>
        <v>648302.41350000026</v>
      </c>
      <c r="O761">
        <f t="shared" si="241"/>
        <v>680717.53417500039</v>
      </c>
      <c r="P761">
        <f t="shared" si="241"/>
        <v>714753.41088375042</v>
      </c>
      <c r="Q761">
        <f t="shared" si="241"/>
        <v>750491.08142793796</v>
      </c>
      <c r="R761">
        <f t="shared" si="241"/>
        <v>788015.63549933478</v>
      </c>
      <c r="S761">
        <f t="shared" si="241"/>
        <v>827416.41727430164</v>
      </c>
      <c r="T761">
        <f t="shared" si="241"/>
        <v>868787.23813801666</v>
      </c>
      <c r="U761">
        <f t="shared" si="241"/>
        <v>912226.60004491755</v>
      </c>
      <c r="V761">
        <f t="shared" si="241"/>
        <v>957837.93004716351</v>
      </c>
    </row>
    <row r="762" spans="2:22">
      <c r="B762" s="407" t="s">
        <v>465</v>
      </c>
      <c r="J762">
        <f>Input!K942</f>
        <v>14625.411202416168</v>
      </c>
      <c r="K762">
        <f>Input!L942</f>
        <v>15064.173538488652</v>
      </c>
      <c r="L762">
        <f>Input!M942</f>
        <v>15516.098744643312</v>
      </c>
      <c r="M762">
        <f>Input!N942</f>
        <v>15981.581706982612</v>
      </c>
      <c r="N762">
        <f>Input!O942</f>
        <v>16461.02915819209</v>
      </c>
      <c r="O762">
        <f>Input!P942</f>
        <v>16954.860032937853</v>
      </c>
      <c r="P762">
        <f>Input!Q942</f>
        <v>17463.505833925989</v>
      </c>
      <c r="Q762">
        <f>Input!R942</f>
        <v>17987.411008943767</v>
      </c>
      <c r="R762">
        <f>Input!S942</f>
        <v>18527.033339212081</v>
      </c>
      <c r="S762">
        <f>Input!T942</f>
        <v>19082.844339388444</v>
      </c>
      <c r="T762">
        <f>Input!U942</f>
        <v>19082.844339388444</v>
      </c>
      <c r="U762">
        <f>Input!V942</f>
        <v>19082.844339388444</v>
      </c>
      <c r="V762">
        <f>Input!W942</f>
        <v>19082.844339388444</v>
      </c>
    </row>
    <row r="763" spans="2:22">
      <c r="B763" s="28" t="s">
        <v>9</v>
      </c>
      <c r="C763" s="28"/>
      <c r="D763" s="28"/>
      <c r="E763" s="28"/>
      <c r="F763" s="28"/>
      <c r="G763" s="28"/>
      <c r="H763" s="28"/>
      <c r="I763" s="48">
        <f>SUM(J763:V763)</f>
        <v>166.07723238384685</v>
      </c>
      <c r="J763" s="76">
        <f>J761*J762/Billion</f>
        <v>7.8006093189206887</v>
      </c>
      <c r="K763" s="76">
        <f t="shared" ref="K763:V763" si="242">K761*K762/Billion</f>
        <v>8.4363589784127253</v>
      </c>
      <c r="L763" s="76">
        <f t="shared" si="242"/>
        <v>9.123922235153362</v>
      </c>
      <c r="M763" s="76">
        <f t="shared" si="242"/>
        <v>9.8675218973183636</v>
      </c>
      <c r="N763" s="76">
        <f t="shared" si="242"/>
        <v>10.671724931949811</v>
      </c>
      <c r="O763" s="76">
        <f t="shared" si="242"/>
        <v>11.541470513903722</v>
      </c>
      <c r="P763" s="76">
        <f t="shared" si="242"/>
        <v>12.482100360786875</v>
      </c>
      <c r="Q763" s="76">
        <f t="shared" si="242"/>
        <v>13.499391540191004</v>
      </c>
      <c r="R763" s="76">
        <f t="shared" si="242"/>
        <v>14.599591950716571</v>
      </c>
      <c r="S763" s="76">
        <f t="shared" si="242"/>
        <v>15.789458694699974</v>
      </c>
      <c r="T763" s="76">
        <f t="shared" si="242"/>
        <v>16.578931629434972</v>
      </c>
      <c r="U763" s="76">
        <f t="shared" si="242"/>
        <v>17.407878210906723</v>
      </c>
      <c r="V763" s="76">
        <f t="shared" si="242"/>
        <v>18.278272121452062</v>
      </c>
    </row>
    <row r="764" spans="2:22">
      <c r="G764"/>
      <c r="I764" s="21"/>
      <c r="K764" s="21"/>
      <c r="L764" s="21"/>
      <c r="M764" s="21"/>
      <c r="N764" s="21"/>
    </row>
    <row r="765" spans="2:22" ht="15.75">
      <c r="B765" s="41" t="s">
        <v>596</v>
      </c>
      <c r="F765" s="19">
        <v>2023</v>
      </c>
      <c r="G765"/>
      <c r="I765">
        <v>1</v>
      </c>
      <c r="J765" s="70">
        <f>IF(J$8&lt;$F765,0,IF(J$8=$F765,1,I765*(1+Input!K948)*J$12))</f>
        <v>1</v>
      </c>
      <c r="K765" s="70">
        <f>IF(K$8&lt;$F765,0,IF(K$8=$F765,1,J765*(1+Input!L948)*K$12))</f>
        <v>1.05</v>
      </c>
      <c r="L765" s="70">
        <f>IF(L$8&lt;$F765,0,IF(L$8=$F765,1,K765*(1+Input!M948)*L$12))</f>
        <v>1.1025</v>
      </c>
      <c r="M765" s="70">
        <f>IF(M$8&lt;$F765,0,IF(M$8=$F765,1,L765*(1+Input!N948)*M$12))</f>
        <v>1.1576250000000001</v>
      </c>
      <c r="N765" s="70">
        <f>IF(N$8&lt;$F765,0,IF(N$8=$F765,1,M765*(1+Input!O948)*N$12))</f>
        <v>1.2155062500000002</v>
      </c>
      <c r="O765" s="70">
        <f>IF(O$8&lt;$F765,0,IF(O$8=$F765,1,N765*(1+Input!P948)*O$12))</f>
        <v>1.2762815625000004</v>
      </c>
      <c r="P765" s="70">
        <f>IF(P$8&lt;$F765,0,IF(P$8=$F765,1,O765*(1+Input!Q948)*P$12))</f>
        <v>1.3400956406250004</v>
      </c>
      <c r="Q765" s="70">
        <f>IF(Q$8&lt;$F765,0,IF(Q$8=$F765,1,P765*(1+Input!R948)*Q$12))</f>
        <v>1.4071004226562505</v>
      </c>
      <c r="R765" s="70">
        <f>IF(R$8&lt;$F765,0,IF(R$8=$F765,1,Q765*(1+Input!S948)*R$12))</f>
        <v>1.477455443789063</v>
      </c>
      <c r="S765" s="70">
        <f>IF(S$8&lt;$F765,0,IF(S$8=$F765,1,R765*(1+Input!T948)*S$12))</f>
        <v>1.5513282159785162</v>
      </c>
      <c r="T765" s="70">
        <f>IF(T$8&lt;$F765,0,IF(T$8=$F765,1,S765*(1+Input!U948)*T$12))</f>
        <v>1.628894626777442</v>
      </c>
      <c r="U765" s="70">
        <f>IF(U$8&lt;$F765,0,IF(U$8=$F765,1,T765*(1+Input!V948)*U$12))</f>
        <v>1.7103393581163142</v>
      </c>
      <c r="V765" s="70">
        <f>IF(V$8&lt;$F765,0,IF(V$8=$F765,1,U765*(1+Input!W948)*V$12))</f>
        <v>1.7958563260221301</v>
      </c>
    </row>
    <row r="766" spans="2:22">
      <c r="B766" s="407" t="s">
        <v>407</v>
      </c>
      <c r="F766" s="16">
        <f>Input!J953</f>
        <v>214500</v>
      </c>
      <c r="G766" s="17" t="s">
        <v>315</v>
      </c>
      <c r="J766">
        <f t="shared" ref="J766:V766" si="243">$F766*J765</f>
        <v>214500</v>
      </c>
      <c r="K766">
        <f t="shared" si="243"/>
        <v>225225</v>
      </c>
      <c r="L766">
        <f t="shared" si="243"/>
        <v>236486.25</v>
      </c>
      <c r="M766">
        <f t="shared" si="243"/>
        <v>248310.56250000003</v>
      </c>
      <c r="N766">
        <f t="shared" si="243"/>
        <v>260726.09062500004</v>
      </c>
      <c r="O766">
        <f t="shared" si="243"/>
        <v>273762.3951562501</v>
      </c>
      <c r="P766">
        <f t="shared" si="243"/>
        <v>287450.51491406257</v>
      </c>
      <c r="Q766">
        <f t="shared" si="243"/>
        <v>301823.04065976571</v>
      </c>
      <c r="R766">
        <f t="shared" si="243"/>
        <v>316914.19269275403</v>
      </c>
      <c r="S766">
        <f t="shared" si="243"/>
        <v>332759.90232739173</v>
      </c>
      <c r="T766">
        <f t="shared" si="243"/>
        <v>349397.89744376129</v>
      </c>
      <c r="U766">
        <f t="shared" si="243"/>
        <v>366867.79231594939</v>
      </c>
      <c r="V766">
        <f t="shared" si="243"/>
        <v>385211.18193174689</v>
      </c>
    </row>
    <row r="767" spans="2:22">
      <c r="B767" s="407" t="s">
        <v>465</v>
      </c>
      <c r="J767">
        <f>Input!K955</f>
        <v>6500.0000000000018</v>
      </c>
      <c r="K767">
        <f>Input!L955</f>
        <v>6695.0000000000018</v>
      </c>
      <c r="L767">
        <f>Input!M955</f>
        <v>6895.8500000000022</v>
      </c>
      <c r="M767">
        <f>Input!N955</f>
        <v>7102.7255000000023</v>
      </c>
      <c r="N767">
        <f>Input!O955</f>
        <v>7315.8072650000022</v>
      </c>
      <c r="O767">
        <f>Input!P955</f>
        <v>7535.2814829500021</v>
      </c>
      <c r="P767">
        <f>Input!Q955</f>
        <v>7761.3399274385019</v>
      </c>
      <c r="Q767">
        <f>Input!R955</f>
        <v>7994.1801252616569</v>
      </c>
      <c r="R767">
        <f>Input!S955</f>
        <v>8234.0055290195069</v>
      </c>
      <c r="S767">
        <f>Input!T955</f>
        <v>8481.0256948900915</v>
      </c>
      <c r="T767">
        <f>Input!U955</f>
        <v>8481.0256948900915</v>
      </c>
      <c r="U767">
        <f>Input!V955</f>
        <v>8481.0256948900915</v>
      </c>
      <c r="V767">
        <f>Input!W955</f>
        <v>8481.0256948900915</v>
      </c>
    </row>
    <row r="768" spans="2:22">
      <c r="B768" s="28" t="s">
        <v>9</v>
      </c>
      <c r="C768" s="28"/>
      <c r="D768" s="28"/>
      <c r="E768" s="28"/>
      <c r="F768" s="28"/>
      <c r="G768" s="28"/>
      <c r="H768" s="28"/>
      <c r="I768" s="48">
        <f>SUM(J768:V768)</f>
        <v>29.683986440589585</v>
      </c>
      <c r="J768" s="76">
        <f>J766*J767/Billion</f>
        <v>1.3942500000000004</v>
      </c>
      <c r="K768" s="76">
        <f t="shared" ref="K768:V768" si="244">K766*K767/Billion</f>
        <v>1.5078813750000004</v>
      </c>
      <c r="L768" s="76">
        <f t="shared" si="244"/>
        <v>1.6307737070625006</v>
      </c>
      <c r="M768" s="76">
        <f t="shared" si="244"/>
        <v>1.7636817641880946</v>
      </c>
      <c r="N768" s="76">
        <f t="shared" si="244"/>
        <v>1.9074218279694242</v>
      </c>
      <c r="O768" s="76">
        <f t="shared" si="244"/>
        <v>2.0628767069489324</v>
      </c>
      <c r="P768" s="76">
        <f t="shared" si="244"/>
        <v>2.2310011585652703</v>
      </c>
      <c r="Q768" s="76">
        <f t="shared" si="244"/>
        <v>2.4128277529883397</v>
      </c>
      <c r="R768" s="76">
        <f t="shared" si="244"/>
        <v>2.60947321485689</v>
      </c>
      <c r="S768" s="76">
        <f t="shared" si="244"/>
        <v>2.8221452818677264</v>
      </c>
      <c r="T768" s="76">
        <f t="shared" si="244"/>
        <v>2.9632525459611125</v>
      </c>
      <c r="U768" s="76">
        <f t="shared" si="244"/>
        <v>3.1114151732591688</v>
      </c>
      <c r="V768" s="76">
        <f t="shared" si="244"/>
        <v>3.2669859319221271</v>
      </c>
    </row>
    <row r="769" spans="2:22">
      <c r="G769"/>
      <c r="I769" s="21"/>
      <c r="K769" s="21"/>
      <c r="L769" s="21"/>
      <c r="M769" s="21"/>
      <c r="N769" s="21"/>
    </row>
    <row r="770" spans="2:22">
      <c r="B770" t="s">
        <v>471</v>
      </c>
      <c r="G770"/>
      <c r="I770" s="21"/>
      <c r="J770">
        <f>SUM(J761,J766)</f>
        <v>747860.00000000012</v>
      </c>
      <c r="K770">
        <f t="shared" ref="K770:V770" si="245">SUM(K761,K766)</f>
        <v>785253.00000000012</v>
      </c>
      <c r="L770">
        <f t="shared" si="245"/>
        <v>824515.65000000014</v>
      </c>
      <c r="M770">
        <f t="shared" si="245"/>
        <v>865741.43250000023</v>
      </c>
      <c r="N770">
        <f t="shared" si="245"/>
        <v>909028.50412500033</v>
      </c>
      <c r="O770">
        <f t="shared" si="245"/>
        <v>954479.92933125049</v>
      </c>
      <c r="P770">
        <f t="shared" si="245"/>
        <v>1002203.925797813</v>
      </c>
      <c r="Q770">
        <f t="shared" si="245"/>
        <v>1052314.1220877036</v>
      </c>
      <c r="R770">
        <f t="shared" si="245"/>
        <v>1104929.8281920888</v>
      </c>
      <c r="S770">
        <f t="shared" si="245"/>
        <v>1160176.3196016934</v>
      </c>
      <c r="T770">
        <f t="shared" si="245"/>
        <v>1218185.1355817779</v>
      </c>
      <c r="U770">
        <f t="shared" si="245"/>
        <v>1279094.392360867</v>
      </c>
      <c r="V770">
        <f t="shared" si="245"/>
        <v>1343049.1119789104</v>
      </c>
    </row>
    <row r="771" spans="2:22">
      <c r="B771" t="s">
        <v>578</v>
      </c>
      <c r="G771"/>
      <c r="I771" s="21"/>
      <c r="J771">
        <f>SUM(J763,J768)</f>
        <v>9.1948593189206882</v>
      </c>
      <c r="K771">
        <f t="shared" ref="K771:V771" si="246">SUM(K763,K768)</f>
        <v>9.9442403534127255</v>
      </c>
      <c r="L771">
        <f t="shared" si="246"/>
        <v>10.754695942215863</v>
      </c>
      <c r="M771">
        <f t="shared" si="246"/>
        <v>11.631203661506458</v>
      </c>
      <c r="N771">
        <f t="shared" si="246"/>
        <v>12.579146759919235</v>
      </c>
      <c r="O771">
        <f t="shared" si="246"/>
        <v>13.604347220852654</v>
      </c>
      <c r="P771">
        <f t="shared" si="246"/>
        <v>14.713101519352145</v>
      </c>
      <c r="Q771">
        <f t="shared" si="246"/>
        <v>15.912219293179344</v>
      </c>
      <c r="R771">
        <f t="shared" si="246"/>
        <v>17.20906516557346</v>
      </c>
      <c r="S771">
        <f t="shared" si="246"/>
        <v>18.6116039765677</v>
      </c>
      <c r="T771">
        <f t="shared" si="246"/>
        <v>19.542184175396084</v>
      </c>
      <c r="U771">
        <f t="shared" si="246"/>
        <v>20.519293384165891</v>
      </c>
      <c r="V771">
        <f t="shared" si="246"/>
        <v>21.545258053374191</v>
      </c>
    </row>
    <row r="772" spans="2:22">
      <c r="G772"/>
      <c r="I772" s="21"/>
    </row>
    <row r="773" spans="2:22" ht="15.75">
      <c r="B773" s="15" t="s">
        <v>473</v>
      </c>
      <c r="G773"/>
      <c r="I773" s="21"/>
      <c r="J773">
        <f t="shared" ref="J773:V773" si="247">SUM(J782,J788,J793,J798)*J12</f>
        <v>7.2337100025868368</v>
      </c>
      <c r="K773">
        <f t="shared" si="247"/>
        <v>7.8069424754420353</v>
      </c>
      <c r="L773">
        <f t="shared" si="247"/>
        <v>8.4263299401753606</v>
      </c>
      <c r="M773">
        <f t="shared" si="247"/>
        <v>9.0956143077118021</v>
      </c>
      <c r="N773">
        <f t="shared" si="247"/>
        <v>9.8188417644847608</v>
      </c>
      <c r="O773">
        <f t="shared" si="247"/>
        <v>10.600387546731902</v>
      </c>
      <c r="P773">
        <f t="shared" si="247"/>
        <v>11.444982733050519</v>
      </c>
      <c r="Q773">
        <f t="shared" si="247"/>
        <v>12.357743219671075</v>
      </c>
      <c r="R773">
        <f t="shared" si="247"/>
        <v>13.34420105630978</v>
      </c>
      <c r="S773">
        <f t="shared" si="247"/>
        <v>14.410338334955664</v>
      </c>
      <c r="T773">
        <f t="shared" si="247"/>
        <v>15.123644917335865</v>
      </c>
      <c r="U773">
        <f t="shared" si="247"/>
        <v>15.872369109201461</v>
      </c>
      <c r="V773">
        <f t="shared" si="247"/>
        <v>16.658273120839546</v>
      </c>
    </row>
    <row r="774" spans="2:22">
      <c r="B774" s="2" t="s">
        <v>579</v>
      </c>
      <c r="F774" s="58" t="s">
        <v>580</v>
      </c>
      <c r="G774"/>
      <c r="I774" s="22"/>
    </row>
    <row r="775" spans="2:22">
      <c r="B775" s="407" t="s">
        <v>516</v>
      </c>
      <c r="F775" s="30">
        <f>Input!J965</f>
        <v>8.3321613719999993E-2</v>
      </c>
      <c r="G775" s="17" t="s">
        <v>315</v>
      </c>
    </row>
    <row r="776" spans="2:22">
      <c r="B776" s="28" t="s">
        <v>476</v>
      </c>
      <c r="C776" s="28"/>
      <c r="D776" s="28"/>
      <c r="E776" s="28"/>
      <c r="F776" s="28"/>
      <c r="G776" s="28"/>
      <c r="H776" s="28"/>
      <c r="I776" s="49">
        <f>SUM(J776:V776)</f>
        <v>1.0831809783600002</v>
      </c>
      <c r="J776" s="47">
        <f t="shared" ref="J776:V776" si="248">$F775*J12</f>
        <v>8.3321613719999993E-2</v>
      </c>
      <c r="K776" s="47">
        <f t="shared" si="248"/>
        <v>8.3321613719999993E-2</v>
      </c>
      <c r="L776" s="47">
        <f t="shared" si="248"/>
        <v>8.3321613719999993E-2</v>
      </c>
      <c r="M776" s="47">
        <f t="shared" si="248"/>
        <v>8.3321613719999993E-2</v>
      </c>
      <c r="N776" s="47">
        <f t="shared" si="248"/>
        <v>8.3321613719999993E-2</v>
      </c>
      <c r="O776" s="47">
        <f t="shared" si="248"/>
        <v>8.3321613719999993E-2</v>
      </c>
      <c r="P776" s="47">
        <f t="shared" si="248"/>
        <v>8.3321613719999993E-2</v>
      </c>
      <c r="Q776" s="47">
        <f t="shared" si="248"/>
        <v>8.3321613719999993E-2</v>
      </c>
      <c r="R776" s="47">
        <f t="shared" si="248"/>
        <v>8.3321613719999993E-2</v>
      </c>
      <c r="S776" s="47">
        <f t="shared" si="248"/>
        <v>8.3321613719999993E-2</v>
      </c>
      <c r="T776" s="47">
        <f t="shared" si="248"/>
        <v>8.3321613719999993E-2</v>
      </c>
      <c r="U776" s="47">
        <f t="shared" si="248"/>
        <v>8.3321613719999993E-2</v>
      </c>
      <c r="V776" s="47">
        <f t="shared" si="248"/>
        <v>8.3321613719999993E-2</v>
      </c>
    </row>
    <row r="777" spans="2:22">
      <c r="G777"/>
    </row>
    <row r="778" spans="2:22">
      <c r="B778" s="2" t="s">
        <v>592</v>
      </c>
      <c r="G778"/>
    </row>
    <row r="779" spans="2:22" ht="15.75">
      <c r="B779" s="41"/>
      <c r="F779" s="19">
        <v>2023</v>
      </c>
      <c r="G779"/>
      <c r="I779">
        <v>1</v>
      </c>
      <c r="J779" s="70">
        <f>IF(J$8&lt;$F779,0,IF(J$8=$F779,1,I779*(1+Input!K948)*J$12))</f>
        <v>1</v>
      </c>
      <c r="K779" s="70">
        <f>IF(K$8&lt;$F779,0,IF(K$8=$F779,1,J779*(1+Input!L948)*K$12))</f>
        <v>1.05</v>
      </c>
      <c r="L779" s="70">
        <f>IF(L$8&lt;$F779,0,IF(L$8=$F779,1,K779*(1+Input!M948)*L$12))</f>
        <v>1.1025</v>
      </c>
      <c r="M779" s="70">
        <f>IF(M$8&lt;$F779,0,IF(M$8=$F779,1,L779*(1+Input!N948)*M$12))</f>
        <v>1.1576250000000001</v>
      </c>
      <c r="N779" s="70">
        <f>IF(N$8&lt;$F779,0,IF(N$8=$F779,1,M779*(1+Input!O948)*N$12))</f>
        <v>1.2155062500000002</v>
      </c>
      <c r="O779" s="70">
        <f>IF(O$8&lt;$F779,0,IF(O$8=$F779,1,N779*(1+Input!P948)*O$12))</f>
        <v>1.2762815625000004</v>
      </c>
      <c r="P779" s="70">
        <f>IF(P$8&lt;$F779,0,IF(P$8=$F779,1,O779*(1+Input!Q948)*P$12))</f>
        <v>1.3400956406250004</v>
      </c>
      <c r="Q779" s="70">
        <f>IF(Q$8&lt;$F779,0,IF(Q$8=$F779,1,P779*(1+Input!R948)*Q$12))</f>
        <v>1.4071004226562505</v>
      </c>
      <c r="R779" s="70">
        <f>IF(R$8&lt;$F779,0,IF(R$8=$F779,1,Q779*(1+Input!S948)*R$12))</f>
        <v>1.477455443789063</v>
      </c>
      <c r="S779" s="70">
        <f>IF(S$8&lt;$F779,0,IF(S$8=$F779,1,R779*(1+Input!T948)*S$12))</f>
        <v>1.5513282159785162</v>
      </c>
      <c r="T779" s="70">
        <f>IF(T$8&lt;$F779,0,IF(T$8=$F779,1,S779*(1+Input!U948)*T$12))</f>
        <v>1.628894626777442</v>
      </c>
      <c r="U779" s="70">
        <f>IF(U$8&lt;$F779,0,IF(U$8=$F779,1,T779*(1+Input!V948)*U$12))</f>
        <v>1.7103393581163142</v>
      </c>
      <c r="V779" s="70">
        <f>IF(V$8&lt;$F779,0,IF(V$8=$F779,1,U779*(1+Input!W948)*V$12))</f>
        <v>1.7958563260221301</v>
      </c>
    </row>
    <row r="780" spans="2:22">
      <c r="B780" s="407" t="s">
        <v>472</v>
      </c>
      <c r="G780" s="17" t="s">
        <v>315</v>
      </c>
      <c r="J780">
        <f>J771</f>
        <v>9.1948593189206882</v>
      </c>
      <c r="K780">
        <f t="shared" ref="K780:V780" si="249">K771</f>
        <v>9.9442403534127255</v>
      </c>
      <c r="L780">
        <f t="shared" si="249"/>
        <v>10.754695942215863</v>
      </c>
      <c r="M780">
        <f t="shared" si="249"/>
        <v>11.631203661506458</v>
      </c>
      <c r="N780">
        <f t="shared" si="249"/>
        <v>12.579146759919235</v>
      </c>
      <c r="O780">
        <f t="shared" si="249"/>
        <v>13.604347220852654</v>
      </c>
      <c r="P780">
        <f t="shared" si="249"/>
        <v>14.713101519352145</v>
      </c>
      <c r="Q780">
        <f t="shared" si="249"/>
        <v>15.912219293179344</v>
      </c>
      <c r="R780">
        <f t="shared" si="249"/>
        <v>17.20906516557346</v>
      </c>
      <c r="S780">
        <f t="shared" si="249"/>
        <v>18.6116039765677</v>
      </c>
      <c r="T780">
        <f t="shared" si="249"/>
        <v>19.542184175396084</v>
      </c>
      <c r="U780">
        <f t="shared" si="249"/>
        <v>20.519293384165891</v>
      </c>
      <c r="V780">
        <f t="shared" si="249"/>
        <v>21.545258053374191</v>
      </c>
    </row>
    <row r="781" spans="2:22">
      <c r="B781" s="407" t="s">
        <v>465</v>
      </c>
      <c r="F781" s="39">
        <v>0.74876623324901359</v>
      </c>
      <c r="J781" s="74">
        <f>$F781</f>
        <v>0.74876623324901359</v>
      </c>
      <c r="K781" s="74">
        <f t="shared" ref="K781:V781" si="250">$F781</f>
        <v>0.74876623324901359</v>
      </c>
      <c r="L781" s="74">
        <f t="shared" si="250"/>
        <v>0.74876623324901359</v>
      </c>
      <c r="M781" s="74">
        <f t="shared" si="250"/>
        <v>0.74876623324901359</v>
      </c>
      <c r="N781" s="74">
        <f t="shared" si="250"/>
        <v>0.74876623324901359</v>
      </c>
      <c r="O781" s="74">
        <f t="shared" si="250"/>
        <v>0.74876623324901359</v>
      </c>
      <c r="P781" s="74">
        <f t="shared" si="250"/>
        <v>0.74876623324901359</v>
      </c>
      <c r="Q781" s="74">
        <f t="shared" si="250"/>
        <v>0.74876623324901359</v>
      </c>
      <c r="R781" s="74">
        <f t="shared" si="250"/>
        <v>0.74876623324901359</v>
      </c>
      <c r="S781" s="74">
        <f t="shared" si="250"/>
        <v>0.74876623324901359</v>
      </c>
      <c r="T781" s="74">
        <f t="shared" si="250"/>
        <v>0.74876623324901359</v>
      </c>
      <c r="U781" s="74">
        <f t="shared" si="250"/>
        <v>0.74876623324901359</v>
      </c>
      <c r="V781" s="74">
        <f t="shared" si="250"/>
        <v>0.74876623324901359</v>
      </c>
    </row>
    <row r="782" spans="2:22">
      <c r="B782" s="28" t="s">
        <v>9</v>
      </c>
      <c r="C782" s="28"/>
      <c r="D782" s="28"/>
      <c r="E782" s="28"/>
      <c r="F782" s="28"/>
      <c r="G782" s="28"/>
      <c r="H782" s="28"/>
      <c r="I782" s="48">
        <f>SUM(J782:V782)</f>
        <v>146.57939043540918</v>
      </c>
      <c r="J782" s="76">
        <f t="shared" ref="J782:V782" si="251">J781*J780</f>
        <v>6.884800177482834</v>
      </c>
      <c r="K782" s="76">
        <f t="shared" si="251"/>
        <v>7.4459113919476865</v>
      </c>
      <c r="L782" s="76">
        <f t="shared" si="251"/>
        <v>8.0527531703914228</v>
      </c>
      <c r="M782" s="76">
        <f t="shared" si="251"/>
        <v>8.7090525537783261</v>
      </c>
      <c r="N782" s="76">
        <f t="shared" si="251"/>
        <v>9.4188403369112592</v>
      </c>
      <c r="O782" s="76">
        <f t="shared" si="251"/>
        <v>10.186475824369529</v>
      </c>
      <c r="P782" s="76">
        <f t="shared" si="251"/>
        <v>11.016673604055645</v>
      </c>
      <c r="Q782" s="76">
        <f t="shared" si="251"/>
        <v>11.914532502786178</v>
      </c>
      <c r="R782" s="76">
        <f t="shared" si="251"/>
        <v>12.885566901763251</v>
      </c>
      <c r="S782" s="76">
        <f t="shared" si="251"/>
        <v>13.93574060425696</v>
      </c>
      <c r="T782" s="76">
        <f t="shared" si="251"/>
        <v>14.632527634469806</v>
      </c>
      <c r="U782" s="76">
        <f t="shared" si="251"/>
        <v>15.364154016193298</v>
      </c>
      <c r="V782" s="76">
        <f t="shared" si="251"/>
        <v>16.132361717002969</v>
      </c>
    </row>
    <row r="783" spans="2:22">
      <c r="G783"/>
    </row>
    <row r="784" spans="2:22">
      <c r="G784"/>
    </row>
    <row r="785" spans="2:22">
      <c r="B785" s="2" t="s">
        <v>584</v>
      </c>
      <c r="G785"/>
    </row>
    <row r="786" spans="2:22">
      <c r="B786" s="407" t="s">
        <v>478</v>
      </c>
      <c r="G786"/>
      <c r="I786" s="71">
        <v>1</v>
      </c>
      <c r="J786" s="16">
        <f>I786*(1+Input!K974)*J$12</f>
        <v>1.0349999999999999</v>
      </c>
      <c r="K786" s="16">
        <f>J786*(1+Input!L974)*K$12</f>
        <v>1.0712249999999999</v>
      </c>
      <c r="L786" s="16">
        <f>K786*(1+Input!M974)*L$12</f>
        <v>1.1087178749999997</v>
      </c>
      <c r="M786" s="16">
        <f>L786*(1+Input!N974)*M$12</f>
        <v>1.1475230006249997</v>
      </c>
      <c r="N786" s="16">
        <f>M786*(1+Input!O974)*N$12</f>
        <v>1.1876863056468745</v>
      </c>
      <c r="O786" s="16">
        <f>N786*(1+Input!P974)*O$12</f>
        <v>1.229255326344515</v>
      </c>
      <c r="P786" s="16">
        <f>O786*(1+Input!Q974)*P$12</f>
        <v>1.2722792627665729</v>
      </c>
      <c r="Q786" s="16">
        <f>P786*(1+Input!R974)*Q$12</f>
        <v>1.3168090369634029</v>
      </c>
      <c r="R786" s="16">
        <f>Q786*(1+Input!S974)*R$12</f>
        <v>1.3628973532571218</v>
      </c>
      <c r="S786" s="16">
        <f>R786*(1+Input!T974)*S$12</f>
        <v>1.410598760621121</v>
      </c>
      <c r="T786" s="16">
        <f>S786*(1+Input!U974)*T$12</f>
        <v>1.4599697172428601</v>
      </c>
      <c r="U786" s="16">
        <f>T786*(1+Input!V974)*U$12</f>
        <v>1.5110686573463601</v>
      </c>
      <c r="V786" s="16">
        <f>U786*(1+Input!W974)*V$12</f>
        <v>1.5639560603534826</v>
      </c>
    </row>
    <row r="787" spans="2:22">
      <c r="B787" t="s">
        <v>479</v>
      </c>
      <c r="F787" s="19">
        <f>Input!J979</f>
        <v>0.33450115960999999</v>
      </c>
      <c r="G787" s="17" t="s">
        <v>315</v>
      </c>
    </row>
    <row r="788" spans="2:22">
      <c r="B788" s="28" t="s">
        <v>584</v>
      </c>
      <c r="C788" s="28"/>
      <c r="D788" s="28"/>
      <c r="E788" s="28"/>
      <c r="F788" s="28"/>
      <c r="G788" s="28"/>
      <c r="H788" s="28"/>
      <c r="I788" s="28"/>
      <c r="J788" s="47">
        <f>$F787*J786</f>
        <v>0.34620870019634997</v>
      </c>
      <c r="K788" s="47">
        <f t="shared" ref="K788:V788" si="252">$F787*K786</f>
        <v>0.35832600470322218</v>
      </c>
      <c r="L788" s="47">
        <f t="shared" si="252"/>
        <v>0.37086741486783492</v>
      </c>
      <c r="M788" s="47">
        <f t="shared" si="252"/>
        <v>0.38384777438820911</v>
      </c>
      <c r="N788" s="47">
        <f t="shared" si="252"/>
        <v>0.39728244649179639</v>
      </c>
      <c r="O788" s="47">
        <f t="shared" si="252"/>
        <v>0.41118733211900921</v>
      </c>
      <c r="P788" s="47">
        <f t="shared" si="252"/>
        <v>0.42557888874317451</v>
      </c>
      <c r="Q788" s="47">
        <f t="shared" si="252"/>
        <v>0.44047414984918559</v>
      </c>
      <c r="R788" s="47">
        <f t="shared" si="252"/>
        <v>0.45589074509390703</v>
      </c>
      <c r="S788" s="47">
        <f t="shared" si="252"/>
        <v>0.47184692117219373</v>
      </c>
      <c r="T788" s="47">
        <f t="shared" si="252"/>
        <v>0.48836156341322051</v>
      </c>
      <c r="U788" s="47">
        <f t="shared" si="252"/>
        <v>0.50545421813268321</v>
      </c>
      <c r="V788" s="47">
        <f t="shared" si="252"/>
        <v>0.52314511576732703</v>
      </c>
    </row>
    <row r="789" spans="2:22">
      <c r="G789"/>
    </row>
    <row r="790" spans="2:22">
      <c r="B790" s="2" t="s">
        <v>585</v>
      </c>
      <c r="G790"/>
    </row>
    <row r="791" spans="2:22">
      <c r="B791" s="407" t="s">
        <v>472</v>
      </c>
      <c r="G791"/>
      <c r="J791">
        <f>J771</f>
        <v>9.1948593189206882</v>
      </c>
      <c r="K791">
        <f t="shared" ref="K791:V791" si="253">K771</f>
        <v>9.9442403534127255</v>
      </c>
      <c r="L791">
        <f t="shared" si="253"/>
        <v>10.754695942215863</v>
      </c>
      <c r="M791">
        <f t="shared" si="253"/>
        <v>11.631203661506458</v>
      </c>
      <c r="N791">
        <f t="shared" si="253"/>
        <v>12.579146759919235</v>
      </c>
      <c r="O791">
        <f t="shared" si="253"/>
        <v>13.604347220852654</v>
      </c>
      <c r="P791">
        <f t="shared" si="253"/>
        <v>14.713101519352145</v>
      </c>
      <c r="Q791">
        <f t="shared" si="253"/>
        <v>15.912219293179344</v>
      </c>
      <c r="R791">
        <f t="shared" si="253"/>
        <v>17.20906516557346</v>
      </c>
      <c r="S791">
        <f t="shared" si="253"/>
        <v>18.6116039765677</v>
      </c>
      <c r="T791">
        <f t="shared" si="253"/>
        <v>19.542184175396084</v>
      </c>
      <c r="U791">
        <f t="shared" si="253"/>
        <v>20.519293384165891</v>
      </c>
      <c r="V791">
        <f t="shared" si="253"/>
        <v>21.545258053374191</v>
      </c>
    </row>
    <row r="792" spans="2:22">
      <c r="B792" t="s">
        <v>479</v>
      </c>
      <c r="F792" s="39">
        <v>1.1065192600795278E-3</v>
      </c>
      <c r="G792" s="17" t="s">
        <v>315</v>
      </c>
      <c r="J792" s="80">
        <f>Input!K969*J12</f>
        <v>5.2761990118853996E-6</v>
      </c>
      <c r="K792" s="80">
        <f>Input!L969*K12</f>
        <v>5.2761990118853996E-6</v>
      </c>
      <c r="L792" s="80">
        <f>Input!M969*L12</f>
        <v>5.2761990118853996E-6</v>
      </c>
      <c r="M792" s="80">
        <f>Input!N969*M12</f>
        <v>5.2761990118853996E-6</v>
      </c>
      <c r="N792" s="80">
        <f>Input!O969*N12</f>
        <v>5.2761990118853996E-6</v>
      </c>
      <c r="O792" s="80">
        <f>Input!P969*O12</f>
        <v>5.2761990118853996E-6</v>
      </c>
      <c r="P792" s="80">
        <f>Input!Q969*P12</f>
        <v>5.2761990118853996E-6</v>
      </c>
      <c r="Q792" s="80">
        <f>Input!R969*Q12</f>
        <v>5.2761990118853996E-6</v>
      </c>
      <c r="R792" s="80">
        <f>Input!S969*R12</f>
        <v>5.2761990118853996E-6</v>
      </c>
      <c r="S792" s="80">
        <f>Input!T969*S12</f>
        <v>5.2761990118853996E-6</v>
      </c>
      <c r="T792" s="80">
        <f>Input!U969*T12</f>
        <v>5.2761990118853996E-6</v>
      </c>
      <c r="U792" s="80">
        <f>Input!V969*U12</f>
        <v>5.2761990118853996E-6</v>
      </c>
      <c r="V792" s="80">
        <f>Input!W969*V12</f>
        <v>5.2761990118853996E-6</v>
      </c>
    </row>
    <row r="793" spans="2:22">
      <c r="B793" s="28" t="s">
        <v>585</v>
      </c>
      <c r="C793" s="28"/>
      <c r="D793" s="28"/>
      <c r="E793" s="28"/>
      <c r="F793" s="28"/>
      <c r="G793" s="28"/>
      <c r="H793" s="28"/>
      <c r="I793" s="28"/>
      <c r="J793" s="82">
        <f>J791*J792</f>
        <v>4.8513907652914594E-5</v>
      </c>
      <c r="K793" s="82">
        <f t="shared" ref="K793:V793" si="254">K791*K792</f>
        <v>5.2467791126627138E-5</v>
      </c>
      <c r="L793" s="82">
        <f t="shared" si="254"/>
        <v>5.6743916103447254E-5</v>
      </c>
      <c r="M793" s="82">
        <f t="shared" si="254"/>
        <v>6.1368545265878211E-5</v>
      </c>
      <c r="N793" s="82">
        <f t="shared" si="254"/>
        <v>6.6370081705047299E-5</v>
      </c>
      <c r="O793" s="82">
        <f t="shared" si="254"/>
        <v>7.1779243364008651E-5</v>
      </c>
      <c r="P793" s="82">
        <f t="shared" si="254"/>
        <v>7.7629251698175362E-5</v>
      </c>
      <c r="Q793" s="82">
        <f t="shared" si="254"/>
        <v>8.3956035711576647E-5</v>
      </c>
      <c r="R793" s="82">
        <f t="shared" si="254"/>
        <v>9.0798452622070134E-5</v>
      </c>
      <c r="S793" s="82">
        <f t="shared" si="254"/>
        <v>9.8198526510768873E-5</v>
      </c>
      <c r="T793" s="82">
        <f t="shared" si="254"/>
        <v>1.0310845283630731E-4</v>
      </c>
      <c r="U793" s="82">
        <f t="shared" si="254"/>
        <v>1.082638754781227E-4</v>
      </c>
      <c r="V793" s="82">
        <f t="shared" si="254"/>
        <v>1.1367706925202885E-4</v>
      </c>
    </row>
    <row r="794" spans="2:22">
      <c r="G794"/>
    </row>
    <row r="795" spans="2:22">
      <c r="B795" s="2" t="s">
        <v>586</v>
      </c>
      <c r="G795"/>
    </row>
    <row r="796" spans="2:22">
      <c r="B796" s="407" t="s">
        <v>478</v>
      </c>
      <c r="G796"/>
      <c r="I796" s="13">
        <v>1</v>
      </c>
      <c r="J796" s="13">
        <f>I796*(1+Input!K990)*J$12</f>
        <v>1.01</v>
      </c>
      <c r="K796" s="13">
        <f>J796*(1+Input!L990)*K$12</f>
        <v>1.0201</v>
      </c>
      <c r="L796" s="13">
        <f>K796*(1+Input!M990)*L$12</f>
        <v>1.0303009999999999</v>
      </c>
      <c r="M796" s="13">
        <f>L796*(1+Input!N990)*M$12</f>
        <v>1.04060401</v>
      </c>
      <c r="N796" s="13">
        <f>M796*(1+Input!O990)*N$12</f>
        <v>1.0510100500999999</v>
      </c>
      <c r="O796" s="13">
        <f>N796*(1+Input!P990)*O$12</f>
        <v>1.0615201506009999</v>
      </c>
      <c r="P796" s="13">
        <f>O796*(1+Input!Q990)*P$12</f>
        <v>1.0721353521070098</v>
      </c>
      <c r="Q796" s="13">
        <f>P796*(1+Input!R990)*Q$12</f>
        <v>1.08285670562808</v>
      </c>
      <c r="R796" s="13">
        <f>Q796*(1+Input!S990)*R$12</f>
        <v>1.0936852726843609</v>
      </c>
      <c r="S796" s="13">
        <f>R796*(1+Input!T990)*S$12</f>
        <v>1.1046221254112045</v>
      </c>
      <c r="T796" s="13">
        <f>S796*(1+Input!U990)*T$12</f>
        <v>1.1156683466653166</v>
      </c>
      <c r="U796" s="13">
        <f>T796*(1+Input!V990)*U$12</f>
        <v>1.1268250301319698</v>
      </c>
      <c r="V796" s="13">
        <f>U796*(1+Input!W990)*V$12</f>
        <v>1.1380932804332895</v>
      </c>
    </row>
    <row r="797" spans="2:22">
      <c r="B797" t="s">
        <v>479</v>
      </c>
      <c r="F797" s="19">
        <f>Input!J971</f>
        <v>2.652611E-3</v>
      </c>
      <c r="G797" s="17" t="s">
        <v>315</v>
      </c>
    </row>
    <row r="798" spans="2:22">
      <c r="B798" s="28" t="s">
        <v>585</v>
      </c>
      <c r="C798" s="28"/>
      <c r="D798" s="28"/>
      <c r="E798" s="28"/>
      <c r="F798" s="28"/>
      <c r="G798" s="28"/>
      <c r="H798" s="28"/>
      <c r="I798" s="28"/>
      <c r="J798" s="79">
        <f t="shared" ref="J798:V798" si="255">$F797</f>
        <v>2.652611E-3</v>
      </c>
      <c r="K798" s="79">
        <f t="shared" si="255"/>
        <v>2.652611E-3</v>
      </c>
      <c r="L798" s="79">
        <f t="shared" si="255"/>
        <v>2.652611E-3</v>
      </c>
      <c r="M798" s="79">
        <f t="shared" si="255"/>
        <v>2.652611E-3</v>
      </c>
      <c r="N798" s="79">
        <f t="shared" si="255"/>
        <v>2.652611E-3</v>
      </c>
      <c r="O798" s="79">
        <f t="shared" si="255"/>
        <v>2.652611E-3</v>
      </c>
      <c r="P798" s="79">
        <f t="shared" si="255"/>
        <v>2.652611E-3</v>
      </c>
      <c r="Q798" s="79">
        <f t="shared" si="255"/>
        <v>2.652611E-3</v>
      </c>
      <c r="R798" s="79">
        <f t="shared" si="255"/>
        <v>2.652611E-3</v>
      </c>
      <c r="S798" s="79">
        <f t="shared" si="255"/>
        <v>2.652611E-3</v>
      </c>
      <c r="T798" s="79">
        <f t="shared" si="255"/>
        <v>2.652611E-3</v>
      </c>
      <c r="U798" s="79">
        <f t="shared" si="255"/>
        <v>2.652611E-3</v>
      </c>
      <c r="V798" s="79">
        <f t="shared" si="255"/>
        <v>2.652611E-3</v>
      </c>
    </row>
    <row r="799" spans="2:22">
      <c r="G799"/>
    </row>
    <row r="800" spans="2:22" ht="15.75">
      <c r="B800" s="15" t="s">
        <v>535</v>
      </c>
      <c r="G800"/>
      <c r="J800" s="83">
        <f>SUM(J805,J810,J815,J820,J825,J830)</f>
        <v>8.2754052736800005E-2</v>
      </c>
      <c r="K800" s="83">
        <f t="shared" ref="K800:V800" si="256">SUM(K805,K810,K815,K820,K825,K830)</f>
        <v>8.3581593264168003E-2</v>
      </c>
      <c r="L800" s="83">
        <f t="shared" si="256"/>
        <v>8.4417409196809665E-2</v>
      </c>
      <c r="M800" s="83">
        <f t="shared" si="256"/>
        <v>8.5261583288777781E-2</v>
      </c>
      <c r="N800" s="83">
        <f t="shared" si="256"/>
        <v>8.6114199121665541E-2</v>
      </c>
      <c r="O800" s="83">
        <f t="shared" si="256"/>
        <v>8.6975341112882215E-2</v>
      </c>
      <c r="P800" s="83">
        <f t="shared" si="256"/>
        <v>8.7845094524011028E-2</v>
      </c>
      <c r="Q800" s="83">
        <f t="shared" si="256"/>
        <v>8.8723545469251139E-2</v>
      </c>
      <c r="R800" s="83">
        <f t="shared" si="256"/>
        <v>8.9610780923943645E-2</v>
      </c>
      <c r="S800" s="83">
        <f t="shared" si="256"/>
        <v>9.0506888733183091E-2</v>
      </c>
      <c r="T800" s="83">
        <f t="shared" si="256"/>
        <v>9.1411957620514933E-2</v>
      </c>
      <c r="U800" s="83">
        <f t="shared" si="256"/>
        <v>9.2326077196720063E-2</v>
      </c>
      <c r="V800" s="83">
        <f t="shared" si="256"/>
        <v>9.3249337968687285E-2</v>
      </c>
    </row>
    <row r="801" spans="2:22">
      <c r="G801"/>
    </row>
    <row r="802" spans="2:22">
      <c r="B802" s="2" t="s">
        <v>496</v>
      </c>
      <c r="G802"/>
    </row>
    <row r="803" spans="2:22">
      <c r="B803" s="407" t="s">
        <v>478</v>
      </c>
      <c r="G803"/>
      <c r="I803" s="13">
        <v>1</v>
      </c>
      <c r="J803" s="13">
        <f>I803*(1+Input!K983)*J$12</f>
        <v>1.01</v>
      </c>
      <c r="K803" s="13">
        <f>J803*(1+Input!L983)*K$12</f>
        <v>1.0201</v>
      </c>
      <c r="L803" s="13">
        <f>K803*(1+Input!M983)*L$12</f>
        <v>1.0303009999999999</v>
      </c>
      <c r="M803" s="13">
        <f>L803*(1+Input!N983)*M$12</f>
        <v>1.04060401</v>
      </c>
      <c r="N803" s="13">
        <f>M803*(1+Input!O983)*N$12</f>
        <v>1.0510100500999999</v>
      </c>
      <c r="O803" s="13">
        <f>N803*(1+Input!P983)*O$12</f>
        <v>1.0615201506009999</v>
      </c>
      <c r="P803" s="13">
        <f>O803*(1+Input!Q983)*P$12</f>
        <v>1.0721353521070098</v>
      </c>
      <c r="Q803" s="13">
        <f>P803*(1+Input!R983)*Q$12</f>
        <v>1.08285670562808</v>
      </c>
      <c r="R803" s="13">
        <f>Q803*(1+Input!S983)*R$12</f>
        <v>1.0936852726843609</v>
      </c>
      <c r="S803" s="13">
        <f>R803*(1+Input!T983)*S$12</f>
        <v>1.1046221254112045</v>
      </c>
      <c r="T803" s="13">
        <f>S803*(1+Input!U983)*T$12</f>
        <v>1.1156683466653166</v>
      </c>
      <c r="U803" s="13">
        <f>T803*(1+Input!V983)*U$12</f>
        <v>1.1268250301319698</v>
      </c>
      <c r="V803" s="13">
        <f>U803*(1+Input!W983)*V$12</f>
        <v>1.1380932804332895</v>
      </c>
    </row>
    <row r="804" spans="2:22">
      <c r="B804" t="s">
        <v>479</v>
      </c>
      <c r="F804" s="19">
        <f>Input!J988</f>
        <v>3.800000001E-2</v>
      </c>
      <c r="G804" s="17" t="s">
        <v>315</v>
      </c>
    </row>
    <row r="805" spans="2:22">
      <c r="B805" s="28" t="s">
        <v>585</v>
      </c>
      <c r="C805" s="28"/>
      <c r="D805" s="28"/>
      <c r="E805" s="28"/>
      <c r="F805" s="28"/>
      <c r="G805" s="28"/>
      <c r="H805" s="28"/>
      <c r="I805" s="28"/>
      <c r="J805" s="47">
        <f>$F804*J803</f>
        <v>3.8380000010100002E-2</v>
      </c>
      <c r="K805" s="47">
        <f t="shared" ref="K805:V805" si="257">$F804*K803</f>
        <v>3.8763800010201001E-2</v>
      </c>
      <c r="L805" s="47">
        <f t="shared" si="257"/>
        <v>3.9151438010303005E-2</v>
      </c>
      <c r="M805" s="47">
        <f t="shared" si="257"/>
        <v>3.954295239040604E-2</v>
      </c>
      <c r="N805" s="47">
        <f t="shared" si="257"/>
        <v>3.9938381914310095E-2</v>
      </c>
      <c r="O805" s="47">
        <f t="shared" si="257"/>
        <v>4.0337765733453199E-2</v>
      </c>
      <c r="P805" s="47">
        <f t="shared" si="257"/>
        <v>4.0741143390787729E-2</v>
      </c>
      <c r="Q805" s="47">
        <f t="shared" si="257"/>
        <v>4.1148554824695607E-2</v>
      </c>
      <c r="R805" s="47">
        <f t="shared" si="257"/>
        <v>4.1560040372942565E-2</v>
      </c>
      <c r="S805" s="47">
        <f t="shared" si="257"/>
        <v>4.1975640776671992E-2</v>
      </c>
      <c r="T805" s="47">
        <f t="shared" si="257"/>
        <v>4.2395397184438716E-2</v>
      </c>
      <c r="U805" s="47">
        <f t="shared" si="257"/>
        <v>4.2819351156283103E-2</v>
      </c>
      <c r="V805" s="47">
        <f t="shared" si="257"/>
        <v>4.3247544667845937E-2</v>
      </c>
    </row>
    <row r="806" spans="2:22">
      <c r="G806"/>
    </row>
    <row r="807" spans="2:22">
      <c r="B807" s="2" t="s">
        <v>499</v>
      </c>
      <c r="G807"/>
    </row>
    <row r="808" spans="2:22">
      <c r="B808" s="407" t="s">
        <v>478</v>
      </c>
      <c r="G808"/>
      <c r="I808" s="13">
        <v>1</v>
      </c>
      <c r="J808" s="13">
        <f>I808*(1+Input!K990)*J$12</f>
        <v>1.01</v>
      </c>
      <c r="K808" s="13">
        <f>J808*(1+Input!L990)*K$12</f>
        <v>1.0201</v>
      </c>
      <c r="L808" s="13">
        <f>K808*(1+Input!M990)*L$12</f>
        <v>1.0303009999999999</v>
      </c>
      <c r="M808" s="13">
        <f>L808*(1+Input!N990)*M$12</f>
        <v>1.04060401</v>
      </c>
      <c r="N808" s="13">
        <f>M808*(1+Input!O990)*N$12</f>
        <v>1.0510100500999999</v>
      </c>
      <c r="O808" s="13">
        <f>N808*(1+Input!P990)*O$12</f>
        <v>1.0615201506009999</v>
      </c>
      <c r="P808" s="13">
        <f>O808*(1+Input!Q990)*P$12</f>
        <v>1.0721353521070098</v>
      </c>
      <c r="Q808" s="13">
        <f>P808*(1+Input!R990)*Q$12</f>
        <v>1.08285670562808</v>
      </c>
      <c r="R808" s="13">
        <f>Q808*(1+Input!S990)*R$12</f>
        <v>1.0936852726843609</v>
      </c>
      <c r="S808" s="13">
        <f>R808*(1+Input!T990)*S$12</f>
        <v>1.1046221254112045</v>
      </c>
      <c r="T808" s="13">
        <f>S808*(1+Input!U990)*T$12</f>
        <v>1.1156683466653166</v>
      </c>
      <c r="U808" s="13">
        <f>T808*(1+Input!V990)*U$12</f>
        <v>1.1268250301319698</v>
      </c>
      <c r="V808" s="13">
        <f>U808*(1+Input!W990)*V$12</f>
        <v>1.1380932804332895</v>
      </c>
    </row>
    <row r="809" spans="2:22">
      <c r="B809" t="s">
        <v>479</v>
      </c>
      <c r="F809" s="19">
        <f>Input!J995</f>
        <v>1.8822505E-2</v>
      </c>
      <c r="G809" s="17" t="s">
        <v>315</v>
      </c>
    </row>
    <row r="810" spans="2:22">
      <c r="B810" s="28" t="s">
        <v>585</v>
      </c>
      <c r="C810" s="28"/>
      <c r="D810" s="28"/>
      <c r="E810" s="28"/>
      <c r="F810" s="28"/>
      <c r="G810" s="28"/>
      <c r="H810" s="28"/>
      <c r="I810" s="28"/>
      <c r="J810" s="79">
        <f t="shared" ref="J810:V810" si="258">$F809*J808</f>
        <v>1.9010730050000001E-2</v>
      </c>
      <c r="K810" s="79">
        <f t="shared" si="258"/>
        <v>1.9200837350499999E-2</v>
      </c>
      <c r="L810" s="79">
        <f t="shared" si="258"/>
        <v>1.9392845724004997E-2</v>
      </c>
      <c r="M810" s="79">
        <f t="shared" si="258"/>
        <v>1.9586774181245051E-2</v>
      </c>
      <c r="N810" s="79">
        <f t="shared" si="258"/>
        <v>1.9782641923057499E-2</v>
      </c>
      <c r="O810" s="79">
        <f t="shared" si="258"/>
        <v>1.9980468342288074E-2</v>
      </c>
      <c r="P810" s="79">
        <f t="shared" si="258"/>
        <v>2.0180273025710953E-2</v>
      </c>
      <c r="Q810" s="79">
        <f t="shared" si="258"/>
        <v>2.0382075755968065E-2</v>
      </c>
      <c r="R810" s="79">
        <f t="shared" si="258"/>
        <v>2.0585896513527747E-2</v>
      </c>
      <c r="S810" s="79">
        <f t="shared" si="258"/>
        <v>2.0791755478663024E-2</v>
      </c>
      <c r="T810" s="79">
        <f t="shared" si="258"/>
        <v>2.0999673033449653E-2</v>
      </c>
      <c r="U810" s="79">
        <f t="shared" si="258"/>
        <v>2.1209669763784151E-2</v>
      </c>
      <c r="V810" s="79">
        <f t="shared" si="258"/>
        <v>2.1421766461421993E-2</v>
      </c>
    </row>
    <row r="811" spans="2:22">
      <c r="G811"/>
    </row>
    <row r="812" spans="2:22">
      <c r="B812" s="2" t="s">
        <v>569</v>
      </c>
      <c r="G812"/>
    </row>
    <row r="813" spans="2:22">
      <c r="B813" s="407" t="s">
        <v>478</v>
      </c>
      <c r="G813"/>
      <c r="I813" s="13">
        <v>1</v>
      </c>
      <c r="J813" s="13">
        <f>I813*(1+Input!K980)*J$12</f>
        <v>1</v>
      </c>
      <c r="K813" s="13">
        <f>J813*(1+Input!L980)*K$12</f>
        <v>1</v>
      </c>
      <c r="L813" s="13">
        <f>K813*(1+Input!M980)*L$12</f>
        <v>1</v>
      </c>
      <c r="M813" s="13">
        <f>L813*(1+Input!N980)*M$12</f>
        <v>1</v>
      </c>
      <c r="N813" s="13">
        <f>M813*(1+Input!O980)*N$12</f>
        <v>1</v>
      </c>
      <c r="O813" s="13">
        <f>N813*(1+Input!P980)*O$12</f>
        <v>1</v>
      </c>
      <c r="P813" s="13">
        <f>O813*(1+Input!Q980)*P$12</f>
        <v>1</v>
      </c>
      <c r="Q813" s="13">
        <f>P813*(1+Input!R980)*Q$12</f>
        <v>1</v>
      </c>
      <c r="R813" s="13">
        <f>Q813*(1+Input!S980)*R$12</f>
        <v>1</v>
      </c>
      <c r="S813" s="13">
        <f>R813*(1+Input!T980)*S$12</f>
        <v>1</v>
      </c>
      <c r="T813" s="13">
        <f>S813*(1+Input!U980)*T$12</f>
        <v>1</v>
      </c>
      <c r="U813" s="13">
        <f>T813*(1+Input!V980)*U$12</f>
        <v>1</v>
      </c>
      <c r="V813" s="13">
        <f>U813*(1+Input!W980)*V$12</f>
        <v>1</v>
      </c>
    </row>
    <row r="814" spans="2:22">
      <c r="B814" t="s">
        <v>479</v>
      </c>
      <c r="F814" s="19"/>
      <c r="G814" s="17" t="s">
        <v>315</v>
      </c>
    </row>
    <row r="815" spans="2:22">
      <c r="B815" s="28" t="s">
        <v>585</v>
      </c>
      <c r="C815" s="28"/>
      <c r="D815" s="28"/>
      <c r="E815" s="28"/>
      <c r="F815" s="28"/>
      <c r="G815" s="28"/>
      <c r="H815" s="28"/>
      <c r="I815" s="28"/>
      <c r="J815" s="79">
        <f t="shared" ref="J815:V815" si="259">$F814*J813</f>
        <v>0</v>
      </c>
      <c r="K815" s="79">
        <f t="shared" si="259"/>
        <v>0</v>
      </c>
      <c r="L815" s="79">
        <f t="shared" si="259"/>
        <v>0</v>
      </c>
      <c r="M815" s="79">
        <f t="shared" si="259"/>
        <v>0</v>
      </c>
      <c r="N815" s="79">
        <f t="shared" si="259"/>
        <v>0</v>
      </c>
      <c r="O815" s="79">
        <f t="shared" si="259"/>
        <v>0</v>
      </c>
      <c r="P815" s="79">
        <f t="shared" si="259"/>
        <v>0</v>
      </c>
      <c r="Q815" s="79">
        <f t="shared" si="259"/>
        <v>0</v>
      </c>
      <c r="R815" s="79">
        <f t="shared" si="259"/>
        <v>0</v>
      </c>
      <c r="S815" s="79">
        <f t="shared" si="259"/>
        <v>0</v>
      </c>
      <c r="T815" s="79">
        <f t="shared" si="259"/>
        <v>0</v>
      </c>
      <c r="U815" s="79">
        <f t="shared" si="259"/>
        <v>0</v>
      </c>
      <c r="V815" s="79">
        <f t="shared" si="259"/>
        <v>0</v>
      </c>
    </row>
    <row r="816" spans="2:22">
      <c r="G816"/>
    </row>
    <row r="817" spans="2:22">
      <c r="B817" s="2" t="s">
        <v>501</v>
      </c>
      <c r="G817"/>
    </row>
    <row r="818" spans="2:22">
      <c r="B818" s="407" t="s">
        <v>478</v>
      </c>
      <c r="G818"/>
      <c r="I818" s="71">
        <v>1</v>
      </c>
      <c r="J818" s="16">
        <f>I818*(1+Input!K997)*J$12</f>
        <v>1.01</v>
      </c>
      <c r="K818" s="16">
        <f>J818*(1+Input!L997)*K$12</f>
        <v>1.0201</v>
      </c>
      <c r="L818" s="16">
        <f>K818*(1+Input!M997)*L$12</f>
        <v>1.0303009999999999</v>
      </c>
      <c r="M818" s="16">
        <f>L818*(1+Input!N997)*M$12</f>
        <v>1.04060401</v>
      </c>
      <c r="N818" s="16">
        <f>M818*(1+Input!O997)*N$12</f>
        <v>1.0510100500999999</v>
      </c>
      <c r="O818" s="16">
        <f>N818*(1+Input!P997)*O$12</f>
        <v>1.0615201506009999</v>
      </c>
      <c r="P818" s="16">
        <f>O818*(1+Input!Q997)*P$12</f>
        <v>1.0721353521070098</v>
      </c>
      <c r="Q818" s="16">
        <f>P818*(1+Input!R997)*Q$12</f>
        <v>1.08285670562808</v>
      </c>
      <c r="R818" s="16">
        <f>Q818*(1+Input!S997)*R$12</f>
        <v>1.0936852726843609</v>
      </c>
      <c r="S818" s="16">
        <f>R818*(1+Input!T997)*S$12</f>
        <v>1.1046221254112045</v>
      </c>
      <c r="T818" s="16">
        <f>S818*(1+Input!U997)*T$12</f>
        <v>1.1156683466653166</v>
      </c>
      <c r="U818" s="16">
        <f>T818*(1+Input!V997)*U$12</f>
        <v>1.1268250301319698</v>
      </c>
      <c r="V818" s="16">
        <f>U818*(1+Input!W997)*V$12</f>
        <v>1.1380932804332895</v>
      </c>
    </row>
    <row r="819" spans="2:22">
      <c r="B819" t="s">
        <v>479</v>
      </c>
      <c r="F819" s="19">
        <f>Input!J1002</f>
        <v>1.5713000670000001E-2</v>
      </c>
      <c r="G819" s="17" t="s">
        <v>315</v>
      </c>
    </row>
    <row r="820" spans="2:22">
      <c r="B820" s="28" t="s">
        <v>585</v>
      </c>
      <c r="C820" s="28"/>
      <c r="D820" s="28"/>
      <c r="E820" s="28"/>
      <c r="F820" s="28"/>
      <c r="G820" s="28"/>
      <c r="H820" s="28"/>
      <c r="I820" s="28"/>
      <c r="J820" s="79">
        <f t="shared" ref="J820:V820" si="260">$F819*J818</f>
        <v>1.5870130676700001E-2</v>
      </c>
      <c r="K820" s="79">
        <f t="shared" si="260"/>
        <v>1.6028831983467003E-2</v>
      </c>
      <c r="L820" s="79">
        <f t="shared" si="260"/>
        <v>1.618912030330167E-2</v>
      </c>
      <c r="M820" s="79">
        <f t="shared" si="260"/>
        <v>1.6351011506334688E-2</v>
      </c>
      <c r="N820" s="79">
        <f t="shared" si="260"/>
        <v>1.6514521621398034E-2</v>
      </c>
      <c r="O820" s="79">
        <f t="shared" si="260"/>
        <v>1.6679666837612014E-2</v>
      </c>
      <c r="P820" s="79">
        <f t="shared" si="260"/>
        <v>1.6846463505988132E-2</v>
      </c>
      <c r="Q820" s="79">
        <f t="shared" si="260"/>
        <v>1.7014928141048016E-2</v>
      </c>
      <c r="R820" s="79">
        <f t="shared" si="260"/>
        <v>1.7185077422458495E-2</v>
      </c>
      <c r="S820" s="79">
        <f t="shared" si="260"/>
        <v>1.7356928196683084E-2</v>
      </c>
      <c r="T820" s="79">
        <f t="shared" si="260"/>
        <v>1.7530497478649914E-2</v>
      </c>
      <c r="U820" s="79">
        <f t="shared" si="260"/>
        <v>1.7705802453436413E-2</v>
      </c>
      <c r="V820" s="79">
        <f t="shared" si="260"/>
        <v>1.7882860477970778E-2</v>
      </c>
    </row>
    <row r="821" spans="2:22">
      <c r="G821"/>
    </row>
    <row r="822" spans="2:22">
      <c r="B822" s="2" t="s">
        <v>500</v>
      </c>
      <c r="G822"/>
    </row>
    <row r="823" spans="2:22">
      <c r="B823" s="407" t="s">
        <v>478</v>
      </c>
      <c r="G823"/>
      <c r="I823" s="13">
        <v>1</v>
      </c>
      <c r="J823" s="13">
        <f>I823*(1+Input!K1004)*J$12</f>
        <v>1.01</v>
      </c>
      <c r="K823" s="13">
        <f>J823*(1+Input!L1004)*K$12</f>
        <v>1.0201</v>
      </c>
      <c r="L823" s="13">
        <f>K823*(1+Input!M1004)*L$12</f>
        <v>1.0303009999999999</v>
      </c>
      <c r="M823" s="13">
        <f>L823*(1+Input!N1004)*M$12</f>
        <v>1.04060401</v>
      </c>
      <c r="N823" s="13">
        <f>M823*(1+Input!O1004)*N$12</f>
        <v>1.0510100500999999</v>
      </c>
      <c r="O823" s="13">
        <f>N823*(1+Input!P1004)*O$12</f>
        <v>1.0615201506009999</v>
      </c>
      <c r="P823" s="13">
        <f>O823*(1+Input!Q1004)*P$12</f>
        <v>1.0721353521070098</v>
      </c>
      <c r="Q823" s="13">
        <f>P823*(1+Input!R1004)*Q$12</f>
        <v>1.08285670562808</v>
      </c>
      <c r="R823" s="13">
        <f>Q823*(1+Input!S1004)*R$12</f>
        <v>1.0936852726843609</v>
      </c>
      <c r="S823" s="13">
        <f>R823*(1+Input!T1004)*S$12</f>
        <v>1.1046221254112045</v>
      </c>
      <c r="T823" s="13">
        <f>S823*(1+Input!U1004)*T$12</f>
        <v>1.1156683466653166</v>
      </c>
      <c r="U823" s="13">
        <f>T823*(1+Input!V1004)*U$12</f>
        <v>1.1268250301319698</v>
      </c>
      <c r="V823" s="13">
        <f>U823*(1+Input!W1004)*V$12</f>
        <v>1.1380932804332895</v>
      </c>
    </row>
    <row r="824" spans="2:22">
      <c r="B824" t="s">
        <v>479</v>
      </c>
      <c r="F824" s="19">
        <f>Input!J1009</f>
        <v>9.3991999999999999E-3</v>
      </c>
      <c r="G824" s="17" t="s">
        <v>315</v>
      </c>
    </row>
    <row r="825" spans="2:22">
      <c r="B825" s="28" t="s">
        <v>585</v>
      </c>
      <c r="C825" s="28"/>
      <c r="D825" s="28"/>
      <c r="E825" s="28"/>
      <c r="F825" s="28"/>
      <c r="G825" s="28"/>
      <c r="H825" s="28"/>
      <c r="I825" s="28"/>
      <c r="J825" s="79">
        <f t="shared" ref="J825:V825" si="261">$F824*J823</f>
        <v>9.4931919999999993E-3</v>
      </c>
      <c r="K825" s="79">
        <f t="shared" si="261"/>
        <v>9.5881239200000003E-3</v>
      </c>
      <c r="L825" s="79">
        <f t="shared" si="261"/>
        <v>9.6840051591999994E-3</v>
      </c>
      <c r="M825" s="79">
        <f t="shared" si="261"/>
        <v>9.780845210792E-3</v>
      </c>
      <c r="N825" s="79">
        <f t="shared" si="261"/>
        <v>9.8786536628999184E-3</v>
      </c>
      <c r="O825" s="79">
        <f t="shared" si="261"/>
        <v>9.9774401995289183E-3</v>
      </c>
      <c r="P825" s="79">
        <f t="shared" si="261"/>
        <v>1.0077214601524206E-2</v>
      </c>
      <c r="Q825" s="79">
        <f t="shared" si="261"/>
        <v>1.0177986747539449E-2</v>
      </c>
      <c r="R825" s="79">
        <f t="shared" si="261"/>
        <v>1.0279766615014846E-2</v>
      </c>
      <c r="S825" s="79">
        <f t="shared" si="261"/>
        <v>1.0382564281164993E-2</v>
      </c>
      <c r="T825" s="79">
        <f t="shared" si="261"/>
        <v>1.0486389923976644E-2</v>
      </c>
      <c r="U825" s="79">
        <f t="shared" si="261"/>
        <v>1.059125382321641E-2</v>
      </c>
      <c r="V825" s="79">
        <f t="shared" si="261"/>
        <v>1.0697166361448575E-2</v>
      </c>
    </row>
    <row r="826" spans="2:22">
      <c r="G826"/>
    </row>
    <row r="827" spans="2:22">
      <c r="B827" s="2" t="s">
        <v>507</v>
      </c>
      <c r="G827"/>
    </row>
    <row r="828" spans="2:22">
      <c r="B828" s="407" t="s">
        <v>478</v>
      </c>
      <c r="G828"/>
      <c r="I828" s="13">
        <v>1</v>
      </c>
      <c r="J828" s="13">
        <f>I828*(1+Input!K1001)*J$12</f>
        <v>1</v>
      </c>
      <c r="K828" s="13">
        <f>J828*(1+Input!L1001)*K$12</f>
        <v>1</v>
      </c>
      <c r="L828" s="13">
        <f>K828*(1+Input!M1001)*L$12</f>
        <v>1</v>
      </c>
      <c r="M828" s="13">
        <f>L828*(1+Input!N1001)*M$12</f>
        <v>1</v>
      </c>
      <c r="N828" s="13">
        <f>M828*(1+Input!O1001)*N$12</f>
        <v>1</v>
      </c>
      <c r="O828" s="13">
        <f>N828*(1+Input!P1001)*O$12</f>
        <v>1</v>
      </c>
      <c r="P828" s="13">
        <f>O828*(1+Input!Q1001)*P$12</f>
        <v>1</v>
      </c>
      <c r="Q828" s="13">
        <f>P828*(1+Input!R1001)*Q$12</f>
        <v>1</v>
      </c>
      <c r="R828" s="13">
        <f>Q828*(1+Input!S1001)*R$12</f>
        <v>1</v>
      </c>
      <c r="S828" s="13">
        <f>R828*(1+Input!T1001)*S$12</f>
        <v>1</v>
      </c>
      <c r="T828" s="13">
        <f>S828*(1+Input!U1001)*T$12</f>
        <v>1</v>
      </c>
      <c r="U828" s="13">
        <f>T828*(1+Input!V1001)*U$12</f>
        <v>1</v>
      </c>
      <c r="V828" s="13">
        <f>U828*(1+Input!W1001)*V$12</f>
        <v>1</v>
      </c>
    </row>
    <row r="829" spans="2:22">
      <c r="B829" t="s">
        <v>479</v>
      </c>
      <c r="F829" s="19">
        <v>0</v>
      </c>
      <c r="G829" s="17" t="s">
        <v>315</v>
      </c>
    </row>
    <row r="830" spans="2:22">
      <c r="B830" s="28" t="s">
        <v>585</v>
      </c>
      <c r="C830" s="28"/>
      <c r="D830" s="28"/>
      <c r="E830" s="28"/>
      <c r="F830" s="28"/>
      <c r="G830" s="28"/>
      <c r="H830" s="28"/>
      <c r="I830" s="28"/>
      <c r="J830" s="79">
        <f t="shared" ref="J830:V830" si="262">$F829*J828</f>
        <v>0</v>
      </c>
      <c r="K830" s="79">
        <f t="shared" si="262"/>
        <v>0</v>
      </c>
      <c r="L830" s="79">
        <f t="shared" si="262"/>
        <v>0</v>
      </c>
      <c r="M830" s="79">
        <f t="shared" si="262"/>
        <v>0</v>
      </c>
      <c r="N830" s="79">
        <f t="shared" si="262"/>
        <v>0</v>
      </c>
      <c r="O830" s="79">
        <f t="shared" si="262"/>
        <v>0</v>
      </c>
      <c r="P830" s="79">
        <f t="shared" si="262"/>
        <v>0</v>
      </c>
      <c r="Q830" s="79">
        <f t="shared" si="262"/>
        <v>0</v>
      </c>
      <c r="R830" s="79">
        <f t="shared" si="262"/>
        <v>0</v>
      </c>
      <c r="S830" s="79">
        <f t="shared" si="262"/>
        <v>0</v>
      </c>
      <c r="T830" s="79">
        <f t="shared" si="262"/>
        <v>0</v>
      </c>
      <c r="U830" s="79">
        <f t="shared" si="262"/>
        <v>0</v>
      </c>
      <c r="V830" s="79">
        <f t="shared" si="262"/>
        <v>0</v>
      </c>
    </row>
    <row r="831" spans="2:22">
      <c r="G831"/>
    </row>
    <row r="832" spans="2:22" ht="24" thickBot="1">
      <c r="B832" s="14" t="s">
        <v>597</v>
      </c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</row>
    <row r="833" spans="2:22">
      <c r="G833"/>
    </row>
    <row r="834" spans="2:22">
      <c r="B834" t="s">
        <v>37</v>
      </c>
      <c r="F834" s="19">
        <v>2026</v>
      </c>
      <c r="G834"/>
      <c r="J834" s="13">
        <f>IF(J$8&lt;$F834,0,1)*J$12</f>
        <v>0</v>
      </c>
      <c r="K834" s="13">
        <f t="shared" ref="K834:V834" si="263">IF(K$8&lt;$F834,0,1)*K$12</f>
        <v>0</v>
      </c>
      <c r="L834" s="13">
        <f t="shared" si="263"/>
        <v>1</v>
      </c>
      <c r="M834" s="13">
        <f t="shared" si="263"/>
        <v>1</v>
      </c>
      <c r="N834" s="13">
        <f t="shared" si="263"/>
        <v>1</v>
      </c>
      <c r="O834" s="13">
        <f t="shared" si="263"/>
        <v>1</v>
      </c>
      <c r="P834" s="13">
        <f t="shared" si="263"/>
        <v>1</v>
      </c>
      <c r="Q834" s="13">
        <f t="shared" si="263"/>
        <v>1</v>
      </c>
      <c r="R834" s="13">
        <f t="shared" si="263"/>
        <v>1</v>
      </c>
      <c r="S834" s="13">
        <f t="shared" si="263"/>
        <v>1</v>
      </c>
      <c r="T834" s="13">
        <f t="shared" si="263"/>
        <v>1</v>
      </c>
      <c r="U834" s="13">
        <f t="shared" si="263"/>
        <v>1</v>
      </c>
      <c r="V834" s="13">
        <f t="shared" si="263"/>
        <v>1</v>
      </c>
    </row>
    <row r="835" spans="2:22">
      <c r="G835"/>
    </row>
    <row r="836" spans="2:22" ht="15.75">
      <c r="B836" s="15" t="s">
        <v>598</v>
      </c>
      <c r="G836"/>
    </row>
    <row r="837" spans="2:22" ht="15.75">
      <c r="B837" s="41" t="s">
        <v>573</v>
      </c>
      <c r="F837" s="19">
        <v>2026</v>
      </c>
      <c r="G837"/>
      <c r="I837">
        <v>1</v>
      </c>
      <c r="J837" s="77">
        <f>IF(J$8&lt;$F837,0,IF(J$8=$F837,1,I837*(1+Input!K1016)*J$12))</f>
        <v>0</v>
      </c>
      <c r="K837" s="77">
        <f>IF(K$8&lt;$F837,0,IF(K$8=$F837,1,J837*(1+Input!L1016)*K$12))</f>
        <v>0</v>
      </c>
      <c r="L837" s="77">
        <f>IF(L$8&lt;$F837,0,IF(L$8=$F837,1,K837*(1+Input!M1016)*L$12))</f>
        <v>1</v>
      </c>
      <c r="M837" s="77">
        <f>IF(M$8&lt;$F837,0,IF(M$8=$F837,1,L837*(1+Input!N1016)*M$12))</f>
        <v>1.05</v>
      </c>
      <c r="N837" s="77">
        <f>IF(N$8&lt;$F837,0,IF(N$8=$F837,1,M837*(1+Input!O1016)*N$12))</f>
        <v>1.1025</v>
      </c>
      <c r="O837" s="77">
        <f>IF(O$8&lt;$F837,0,IF(O$8=$F837,1,N837*(1+Input!P1016)*O$12))</f>
        <v>1.1576250000000001</v>
      </c>
      <c r="P837" s="77">
        <f>IF(P$8&lt;$F837,0,IF(P$8=$F837,1,O837*(1+Input!Q1016)*P$12))</f>
        <v>1.2155062500000002</v>
      </c>
      <c r="Q837" s="77">
        <f>IF(Q$8&lt;$F837,0,IF(Q$8=$F837,1,P837*(1+Input!R1016)*Q$12))</f>
        <v>1.2762815625000004</v>
      </c>
      <c r="R837" s="77">
        <f>IF(R$8&lt;$F837,0,IF(R$8=$F837,1,Q837*(1+Input!S1016)*R$12))</f>
        <v>1.3400956406250004</v>
      </c>
      <c r="S837" s="77">
        <f>IF(S$8&lt;$F837,0,IF(S$8=$F837,1,R837*(1+Input!T1016)*S$12))</f>
        <v>1.4071004226562505</v>
      </c>
      <c r="T837" s="77">
        <f>IF(T$8&lt;$F837,0,IF(T$8=$F837,1,S837*(1+Input!U1016)*T$12))</f>
        <v>1.477455443789063</v>
      </c>
      <c r="U837" s="77">
        <f>IF(U$8&lt;$F837,0,IF(U$8=$F837,1,T837*(1+Input!V1016)*U$12))</f>
        <v>1.5513282159785162</v>
      </c>
      <c r="V837" s="77">
        <f>IF(V$8&lt;$F837,0,IF(V$8=$F837,1,U837*(1+Input!W1016)*V$12))</f>
        <v>1.628894626777442</v>
      </c>
    </row>
    <row r="838" spans="2:22">
      <c r="B838" s="407" t="s">
        <v>407</v>
      </c>
      <c r="F838" s="6">
        <f>Input!M1021</f>
        <v>100000</v>
      </c>
      <c r="G838" s="17" t="s">
        <v>315</v>
      </c>
      <c r="J838">
        <f>$F838*J837*J834</f>
        <v>0</v>
      </c>
      <c r="K838">
        <f t="shared" ref="K838:V838" si="264">$F838*K837*K834</f>
        <v>0</v>
      </c>
      <c r="L838">
        <f t="shared" si="264"/>
        <v>100000</v>
      </c>
      <c r="M838">
        <f t="shared" si="264"/>
        <v>105000</v>
      </c>
      <c r="N838">
        <f t="shared" si="264"/>
        <v>110250</v>
      </c>
      <c r="O838">
        <f t="shared" si="264"/>
        <v>115762.50000000001</v>
      </c>
      <c r="P838">
        <f t="shared" si="264"/>
        <v>121550.62500000003</v>
      </c>
      <c r="Q838">
        <f t="shared" si="264"/>
        <v>127628.15625000003</v>
      </c>
      <c r="R838">
        <f t="shared" si="264"/>
        <v>134009.56406250005</v>
      </c>
      <c r="S838">
        <f t="shared" si="264"/>
        <v>140710.04226562506</v>
      </c>
      <c r="T838">
        <f t="shared" si="264"/>
        <v>147745.54437890631</v>
      </c>
      <c r="U838">
        <f t="shared" si="264"/>
        <v>155132.82159785161</v>
      </c>
      <c r="V838">
        <f t="shared" si="264"/>
        <v>162889.46267774419</v>
      </c>
    </row>
    <row r="839" spans="2:22">
      <c r="B839" s="407" t="s">
        <v>465</v>
      </c>
      <c r="J839">
        <f>Input!K1023</f>
        <v>0</v>
      </c>
      <c r="K839">
        <f>Input!L1023</f>
        <v>0</v>
      </c>
      <c r="L839">
        <f>Input!M1023</f>
        <v>16189.178284696094</v>
      </c>
      <c r="M839">
        <f>Input!N1023</f>
        <v>16674.853633236977</v>
      </c>
      <c r="N839">
        <f>Input!O1023</f>
        <v>17175.099242234086</v>
      </c>
      <c r="O839">
        <f>Input!P1023</f>
        <v>17690.35221950111</v>
      </c>
      <c r="P839">
        <f>Input!Q1023</f>
        <v>18221.062786086142</v>
      </c>
      <c r="Q839">
        <f>Input!R1023</f>
        <v>18767.694669668726</v>
      </c>
      <c r="R839">
        <f>Input!S1023</f>
        <v>19330.725509758788</v>
      </c>
      <c r="S839">
        <f>Input!T1023</f>
        <v>19910.64727505155</v>
      </c>
      <c r="T839">
        <f>Input!U1023</f>
        <v>19910.64727505155</v>
      </c>
      <c r="U839">
        <f>Input!V1023</f>
        <v>19910.64727505155</v>
      </c>
      <c r="V839">
        <f>Input!W1023</f>
        <v>19910.64727505155</v>
      </c>
    </row>
    <row r="840" spans="2:22">
      <c r="B840" s="28" t="s">
        <v>9</v>
      </c>
      <c r="C840" s="28"/>
      <c r="D840" s="28"/>
      <c r="E840" s="28"/>
      <c r="F840" s="28"/>
      <c r="G840" s="28"/>
      <c r="H840" s="28"/>
      <c r="I840" s="48">
        <f>SUM(J840:V840)</f>
        <v>26.587148454381101</v>
      </c>
      <c r="J840" s="76">
        <f>J838*J839/Billion</f>
        <v>0</v>
      </c>
      <c r="K840" s="76">
        <f t="shared" ref="K840:V840" si="265">K838*K839/Billion</f>
        <v>0</v>
      </c>
      <c r="L840" s="76">
        <f t="shared" si="265"/>
        <v>1.6189178284696095</v>
      </c>
      <c r="M840" s="76">
        <f t="shared" si="265"/>
        <v>1.7508596314898826</v>
      </c>
      <c r="N840" s="76">
        <f t="shared" si="265"/>
        <v>1.8935546914563079</v>
      </c>
      <c r="O840" s="76">
        <f t="shared" si="265"/>
        <v>2.0478793988099975</v>
      </c>
      <c r="P840" s="76">
        <f t="shared" si="265"/>
        <v>2.2147815698130127</v>
      </c>
      <c r="Q840" s="76">
        <f t="shared" si="265"/>
        <v>2.3952862677527729</v>
      </c>
      <c r="R840" s="76">
        <f t="shared" si="265"/>
        <v>2.5905020985746239</v>
      </c>
      <c r="S840" s="76">
        <f t="shared" si="265"/>
        <v>2.8016280196084562</v>
      </c>
      <c r="T840" s="76">
        <f t="shared" si="265"/>
        <v>2.9417094205888787</v>
      </c>
      <c r="U840" s="76">
        <f t="shared" si="265"/>
        <v>3.0887948916183223</v>
      </c>
      <c r="V840" s="76">
        <f t="shared" si="265"/>
        <v>3.2432346361992384</v>
      </c>
    </row>
    <row r="841" spans="2:22">
      <c r="G841"/>
      <c r="I841" s="21"/>
      <c r="K841" s="21"/>
      <c r="L841" s="21"/>
      <c r="M841" s="21"/>
      <c r="N841" s="21"/>
    </row>
    <row r="842" spans="2:22" ht="15.75">
      <c r="B842" s="41" t="s">
        <v>574</v>
      </c>
      <c r="F842" s="19">
        <v>2023</v>
      </c>
      <c r="G842"/>
      <c r="I842">
        <v>1</v>
      </c>
      <c r="J842" s="70">
        <f>IF(J$8&lt;$F842,0,IF(J$8=$F842,1,I842*(1+Input!K1029)*J$12))</f>
        <v>1</v>
      </c>
      <c r="K842" s="70">
        <f>IF(K$8&lt;$F842,0,IF(K$8=$F842,1,J842*(1+Input!L1029)*K$12))</f>
        <v>1.05</v>
      </c>
      <c r="L842" s="70">
        <f>IF(L$8&lt;$F842,0,IF(L$8=$F842,1,K842*(1+Input!M1029)*L$12))</f>
        <v>1.1025</v>
      </c>
      <c r="M842" s="70">
        <f>IF(M$8&lt;$F842,0,IF(M$8=$F842,1,L842*(1+Input!N1029)*M$12))</f>
        <v>1.1576250000000001</v>
      </c>
      <c r="N842" s="70">
        <f>IF(N$8&lt;$F842,0,IF(N$8=$F842,1,M842*(1+Input!O1029)*N$12))</f>
        <v>1.2155062500000002</v>
      </c>
      <c r="O842" s="70">
        <f>IF(O$8&lt;$F842,0,IF(O$8=$F842,1,N842*(1+Input!P1029)*O$12))</f>
        <v>1.2762815625000004</v>
      </c>
      <c r="P842" s="70">
        <f>IF(P$8&lt;$F842,0,IF(P$8=$F842,1,O842*(1+Input!Q1029)*P$12))</f>
        <v>1.3400956406250004</v>
      </c>
      <c r="Q842" s="70">
        <f>IF(Q$8&lt;$F842,0,IF(Q$8=$F842,1,P842*(1+Input!R1029)*Q$12))</f>
        <v>1.4071004226562505</v>
      </c>
      <c r="R842" s="70">
        <f>IF(R$8&lt;$F842,0,IF(R$8=$F842,1,Q842*(1+Input!S1029)*R$12))</f>
        <v>1.477455443789063</v>
      </c>
      <c r="S842" s="70">
        <f>IF(S$8&lt;$F842,0,IF(S$8=$F842,1,R842*(1+Input!T1029)*S$12))</f>
        <v>1.5513282159785162</v>
      </c>
      <c r="T842" s="70">
        <f>IF(T$8&lt;$F842,0,IF(T$8=$F842,1,S842*(1+Input!U1029)*T$12))</f>
        <v>1.628894626777442</v>
      </c>
      <c r="U842" s="70">
        <f>IF(U$8&lt;$F842,0,IF(U$8=$F842,1,T842*(1+Input!V1029)*U$12))</f>
        <v>1.7103393581163142</v>
      </c>
      <c r="V842" s="70">
        <f>IF(V$8&lt;$F842,0,IF(V$8=$F842,1,U842*(1+Input!W1029)*V$12))</f>
        <v>1.7958563260221301</v>
      </c>
    </row>
    <row r="843" spans="2:22">
      <c r="B843" s="407" t="s">
        <v>407</v>
      </c>
      <c r="F843" s="16">
        <f>Input!K1034</f>
        <v>771624</v>
      </c>
      <c r="G843" s="17" t="s">
        <v>315</v>
      </c>
      <c r="J843">
        <f t="shared" ref="J843:V843" si="266">$F843*J842</f>
        <v>771624</v>
      </c>
      <c r="K843">
        <f t="shared" si="266"/>
        <v>810205.20000000007</v>
      </c>
      <c r="L843">
        <f t="shared" si="266"/>
        <v>850715.46000000008</v>
      </c>
      <c r="M843">
        <f t="shared" si="266"/>
        <v>893251.23300000012</v>
      </c>
      <c r="N843">
        <f t="shared" si="266"/>
        <v>937913.79465000017</v>
      </c>
      <c r="O843">
        <f t="shared" si="266"/>
        <v>984809.48438250029</v>
      </c>
      <c r="P843">
        <f t="shared" si="266"/>
        <v>1034049.9586016253</v>
      </c>
      <c r="Q843">
        <f t="shared" si="266"/>
        <v>1085752.4565317065</v>
      </c>
      <c r="R843">
        <f t="shared" si="266"/>
        <v>1140040.079358292</v>
      </c>
      <c r="S843">
        <f t="shared" si="266"/>
        <v>1197042.0833262065</v>
      </c>
      <c r="T843">
        <f t="shared" si="266"/>
        <v>1256894.1874925168</v>
      </c>
      <c r="U843">
        <f t="shared" si="266"/>
        <v>1319738.8968671428</v>
      </c>
      <c r="V843">
        <f t="shared" si="266"/>
        <v>1385725.8417105002</v>
      </c>
    </row>
    <row r="844" spans="2:22">
      <c r="B844" s="407" t="s">
        <v>465</v>
      </c>
      <c r="J844">
        <f>Input!K1036</f>
        <v>14300.28815172633</v>
      </c>
      <c r="K844">
        <f>Input!L1036</f>
        <v>14729.29679627812</v>
      </c>
      <c r="L844">
        <f>Input!M1036</f>
        <v>15171.175700166465</v>
      </c>
      <c r="M844">
        <f>Input!N1036</f>
        <v>15626.310971171459</v>
      </c>
      <c r="N844">
        <f>Input!O1036</f>
        <v>16095.100300306602</v>
      </c>
      <c r="O844">
        <f>Input!P1036</f>
        <v>16577.953309315799</v>
      </c>
      <c r="P844">
        <f>Input!Q1036</f>
        <v>17075.291908595274</v>
      </c>
      <c r="Q844">
        <f>Input!R1036</f>
        <v>17587.550665853134</v>
      </c>
      <c r="R844">
        <f>Input!S1036</f>
        <v>18115.177185828728</v>
      </c>
      <c r="S844">
        <f>Input!T1036</f>
        <v>18658.63250140359</v>
      </c>
      <c r="T844">
        <f>Input!U1036</f>
        <v>18658.63250140359</v>
      </c>
      <c r="U844">
        <f>Input!V1036</f>
        <v>18658.63250140359</v>
      </c>
      <c r="V844">
        <f>Input!W1036</f>
        <v>18658.63250140359</v>
      </c>
    </row>
    <row r="845" spans="2:22">
      <c r="B845" s="28" t="s">
        <v>9</v>
      </c>
      <c r="C845" s="28"/>
      <c r="D845" s="28"/>
      <c r="E845" s="28"/>
      <c r="F845" s="28"/>
      <c r="G845" s="28"/>
      <c r="H845" s="28"/>
      <c r="I845" s="48">
        <f>SUM(J845:V845)</f>
        <v>234.92654253605994</v>
      </c>
      <c r="J845" s="76">
        <f>J843*J844/Billion</f>
        <v>11.034445544787678</v>
      </c>
      <c r="K845" s="76">
        <f t="shared" ref="K845:V845" si="267">K843*K844/Billion</f>
        <v>11.933752856687876</v>
      </c>
      <c r="L845" s="76">
        <f t="shared" si="267"/>
        <v>12.906353714507937</v>
      </c>
      <c r="M845" s="76">
        <f t="shared" si="267"/>
        <v>13.958221542240336</v>
      </c>
      <c r="N845" s="76">
        <f t="shared" si="267"/>
        <v>15.095816597932922</v>
      </c>
      <c r="O845" s="76">
        <f t="shared" si="267"/>
        <v>16.326125650664455</v>
      </c>
      <c r="P845" s="76">
        <f t="shared" si="267"/>
        <v>17.656704891193613</v>
      </c>
      <c r="Q845" s="76">
        <f t="shared" si="267"/>
        <v>19.095726339825891</v>
      </c>
      <c r="R845" s="76">
        <f t="shared" si="267"/>
        <v>20.652028036521706</v>
      </c>
      <c r="S845" s="76">
        <f t="shared" si="267"/>
        <v>22.335168321498223</v>
      </c>
      <c r="T845" s="76">
        <f t="shared" si="267"/>
        <v>23.451926737573132</v>
      </c>
      <c r="U845" s="76">
        <f t="shared" si="267"/>
        <v>24.62452307445179</v>
      </c>
      <c r="V845" s="76">
        <f t="shared" si="267"/>
        <v>25.855749228174385</v>
      </c>
    </row>
    <row r="846" spans="2:22">
      <c r="G846"/>
      <c r="I846" s="21"/>
      <c r="K846" s="21"/>
      <c r="L846" s="21"/>
      <c r="M846" s="21"/>
      <c r="N846" s="21"/>
    </row>
    <row r="847" spans="2:22" ht="15.75">
      <c r="B847" s="41" t="s">
        <v>575</v>
      </c>
      <c r="F847" s="19">
        <v>2026</v>
      </c>
      <c r="G847"/>
      <c r="I847">
        <v>1</v>
      </c>
      <c r="J847" s="77">
        <f>IF(J$8&lt;$F847,0,IF(J$8=$F847,1,I847*(1+Input!K1042)*J$12))</f>
        <v>0</v>
      </c>
      <c r="K847" s="77">
        <f>IF(K$8&lt;$F847,0,IF(K$8=$F847,1,J847*(1+Input!L1042)*K$12))</f>
        <v>0</v>
      </c>
      <c r="L847" s="77">
        <f>IF(L$8&lt;$F847,0,IF(L$8=$F847,1,K847*(1+Input!M1042)*L$12))</f>
        <v>1</v>
      </c>
      <c r="M847" s="77">
        <f>IF(M$8&lt;$F847,0,IF(M$8=$F847,1,L847*(1+Input!N1042)*M$12))</f>
        <v>1.05</v>
      </c>
      <c r="N847" s="77">
        <f>IF(N$8&lt;$F847,0,IF(N$8=$F847,1,M847*(1+Input!O1042)*N$12))</f>
        <v>1.1025</v>
      </c>
      <c r="O847" s="77">
        <f>IF(O$8&lt;$F847,0,IF(O$8=$F847,1,N847*(1+Input!P1042)*O$12))</f>
        <v>1.1576250000000001</v>
      </c>
      <c r="P847" s="77">
        <f>IF(P$8&lt;$F847,0,IF(P$8=$F847,1,O847*(1+Input!Q1042)*P$12))</f>
        <v>1.2155062500000002</v>
      </c>
      <c r="Q847" s="77">
        <f>IF(Q$8&lt;$F847,0,IF(Q$8=$F847,1,P847*(1+Input!R1042)*Q$12))</f>
        <v>1.2762815625000004</v>
      </c>
      <c r="R847" s="77">
        <f>IF(R$8&lt;$F847,0,IF(R$8=$F847,1,Q847*(1+Input!S1042)*R$12))</f>
        <v>1.3400956406250004</v>
      </c>
      <c r="S847" s="77">
        <f>IF(S$8&lt;$F847,0,IF(S$8=$F847,1,R847*(1+Input!T1042)*S$12))</f>
        <v>1.4071004226562505</v>
      </c>
      <c r="T847" s="77">
        <f>IF(T$8&lt;$F847,0,IF(T$8=$F847,1,S847*(1+Input!U1042)*T$12))</f>
        <v>1.477455443789063</v>
      </c>
      <c r="U847" s="77">
        <f>IF(U$8&lt;$F847,0,IF(U$8=$F847,1,T847*(1+Input!V1042)*U$12))</f>
        <v>1.5513282159785162</v>
      </c>
      <c r="V847" s="77">
        <f>IF(V$8&lt;$F847,0,IF(V$8=$F847,1,U847*(1+Input!W1042)*V$12))</f>
        <v>1.628894626777442</v>
      </c>
    </row>
    <row r="848" spans="2:22">
      <c r="B848" s="407" t="s">
        <v>407</v>
      </c>
      <c r="F848" s="6">
        <f>Input!M1047</f>
        <v>200000</v>
      </c>
      <c r="G848" s="17" t="s">
        <v>315</v>
      </c>
      <c r="J848">
        <f t="shared" ref="J848:V848" si="268">$F848*J847</f>
        <v>0</v>
      </c>
      <c r="K848">
        <f t="shared" si="268"/>
        <v>0</v>
      </c>
      <c r="L848">
        <f t="shared" si="268"/>
        <v>200000</v>
      </c>
      <c r="M848">
        <f t="shared" si="268"/>
        <v>210000</v>
      </c>
      <c r="N848">
        <f t="shared" si="268"/>
        <v>220500</v>
      </c>
      <c r="O848">
        <f t="shared" si="268"/>
        <v>231525.00000000003</v>
      </c>
      <c r="P848">
        <f t="shared" si="268"/>
        <v>243101.25000000006</v>
      </c>
      <c r="Q848">
        <f t="shared" si="268"/>
        <v>255256.31250000006</v>
      </c>
      <c r="R848">
        <f t="shared" si="268"/>
        <v>268019.1281250001</v>
      </c>
      <c r="S848">
        <f t="shared" si="268"/>
        <v>281420.08453125012</v>
      </c>
      <c r="T848">
        <f t="shared" si="268"/>
        <v>295491.08875781263</v>
      </c>
      <c r="U848">
        <f t="shared" si="268"/>
        <v>310265.64319570322</v>
      </c>
      <c r="V848">
        <f t="shared" si="268"/>
        <v>325778.92535548838</v>
      </c>
    </row>
    <row r="849" spans="2:22">
      <c r="B849" s="407" t="s">
        <v>465</v>
      </c>
      <c r="J849">
        <f>Input!K1049</f>
        <v>0</v>
      </c>
      <c r="K849">
        <f>Input!L1049</f>
        <v>0</v>
      </c>
      <c r="L849">
        <f>Input!M1049</f>
        <v>16189.178284696094</v>
      </c>
      <c r="M849">
        <f>Input!N1049</f>
        <v>16674.853633236977</v>
      </c>
      <c r="N849">
        <f>Input!O1049</f>
        <v>17175.099242234086</v>
      </c>
      <c r="O849">
        <f>Input!P1049</f>
        <v>17690.35221950111</v>
      </c>
      <c r="P849">
        <f>Input!Q1049</f>
        <v>18221.062786086142</v>
      </c>
      <c r="Q849">
        <f>Input!R1049</f>
        <v>18767.694669668726</v>
      </c>
      <c r="R849">
        <f>Input!S1049</f>
        <v>19330.725509758788</v>
      </c>
      <c r="S849">
        <f>Input!T1049</f>
        <v>19910.64727505155</v>
      </c>
      <c r="T849">
        <f>Input!U1049</f>
        <v>19910.64727505155</v>
      </c>
      <c r="U849">
        <f>Input!V1049</f>
        <v>19910.64727505155</v>
      </c>
      <c r="V849">
        <f>Input!W1049</f>
        <v>19910.64727505155</v>
      </c>
    </row>
    <row r="850" spans="2:22">
      <c r="B850" s="28" t="s">
        <v>9</v>
      </c>
      <c r="C850" s="28"/>
      <c r="D850" s="28"/>
      <c r="E850" s="28"/>
      <c r="F850" s="28"/>
      <c r="G850" s="28"/>
      <c r="H850" s="28"/>
      <c r="I850" s="48">
        <f>SUM(J850:V850)</f>
        <v>53.174296908762201</v>
      </c>
      <c r="J850" s="76">
        <f>J848*J849/Billion</f>
        <v>0</v>
      </c>
      <c r="K850" s="76">
        <f t="shared" ref="K850:V850" si="269">K848*K849/Billion</f>
        <v>0</v>
      </c>
      <c r="L850" s="76">
        <f t="shared" si="269"/>
        <v>3.237835656939219</v>
      </c>
      <c r="M850" s="76">
        <f t="shared" si="269"/>
        <v>3.5017192629797651</v>
      </c>
      <c r="N850" s="76">
        <f t="shared" si="269"/>
        <v>3.7871093829126159</v>
      </c>
      <c r="O850" s="76">
        <f t="shared" si="269"/>
        <v>4.095758797619995</v>
      </c>
      <c r="P850" s="76">
        <f t="shared" si="269"/>
        <v>4.4295631396260253</v>
      </c>
      <c r="Q850" s="76">
        <f t="shared" si="269"/>
        <v>4.7905725355055457</v>
      </c>
      <c r="R850" s="76">
        <f t="shared" si="269"/>
        <v>5.1810041971492478</v>
      </c>
      <c r="S850" s="76">
        <f t="shared" si="269"/>
        <v>5.6032560392169124</v>
      </c>
      <c r="T850" s="76">
        <f t="shared" si="269"/>
        <v>5.8834188411777575</v>
      </c>
      <c r="U850" s="76">
        <f t="shared" si="269"/>
        <v>6.1775897832366446</v>
      </c>
      <c r="V850" s="76">
        <f t="shared" si="269"/>
        <v>6.4864692723984767</v>
      </c>
    </row>
    <row r="851" spans="2:22">
      <c r="G851"/>
      <c r="I851" s="21"/>
      <c r="K851" s="21"/>
      <c r="L851" s="21"/>
      <c r="M851" s="21"/>
      <c r="N851" s="21"/>
    </row>
    <row r="852" spans="2:22" ht="15.75">
      <c r="B852" s="41" t="s">
        <v>599</v>
      </c>
      <c r="F852" s="19">
        <v>2023</v>
      </c>
      <c r="G852"/>
      <c r="I852">
        <v>1</v>
      </c>
      <c r="J852" s="70">
        <f>IF(J$8&lt;$F852,0,IF(J$8=$F852,1,I852*(1+Input!K1055)*J$12))</f>
        <v>1</v>
      </c>
      <c r="K852" s="70">
        <f>IF(K$8&lt;$F852,0,IF(K$8=$F852,1,J852*(1+Input!L1055)*K$12))</f>
        <v>1.05</v>
      </c>
      <c r="L852" s="70">
        <f>IF(L$8&lt;$F852,0,IF(L$8=$F852,1,K852*(1+Input!M1055)*L$12))</f>
        <v>1.1025</v>
      </c>
      <c r="M852" s="70">
        <f>IF(M$8&lt;$F852,0,IF(M$8=$F852,1,L852*(1+Input!N1055)*M$12))</f>
        <v>1.1576250000000001</v>
      </c>
      <c r="N852" s="70">
        <f>IF(N$8&lt;$F852,0,IF(N$8=$F852,1,M852*(1+Input!O1055)*N$12))</f>
        <v>1.2155062500000002</v>
      </c>
      <c r="O852" s="70">
        <f>IF(O$8&lt;$F852,0,IF(O$8=$F852,1,N852*(1+Input!P1055)*O$12))</f>
        <v>1.2762815625000004</v>
      </c>
      <c r="P852" s="70">
        <f>IF(P$8&lt;$F852,0,IF(P$8=$F852,1,O852*(1+Input!Q1055)*P$12))</f>
        <v>1.3400956406250004</v>
      </c>
      <c r="Q852" s="70">
        <f>IF(Q$8&lt;$F852,0,IF(Q$8=$F852,1,P852*(1+Input!R1055)*Q$12))</f>
        <v>1.4071004226562505</v>
      </c>
      <c r="R852" s="70">
        <f>IF(R$8&lt;$F852,0,IF(R$8=$F852,1,Q852*(1+Input!S1055)*R$12))</f>
        <v>1.477455443789063</v>
      </c>
      <c r="S852" s="70">
        <f>IF(S$8&lt;$F852,0,IF(S$8=$F852,1,R852*(1+Input!T1055)*S$12))</f>
        <v>1.5513282159785162</v>
      </c>
      <c r="T852" s="70">
        <f>IF(T$8&lt;$F852,0,IF(T$8=$F852,1,S852*(1+Input!U1055)*T$12))</f>
        <v>1.628894626777442</v>
      </c>
      <c r="U852" s="70">
        <f>IF(U$8&lt;$F852,0,IF(U$8=$F852,1,T852*(1+Input!V1055)*U$12))</f>
        <v>1.7103393581163142</v>
      </c>
      <c r="V852" s="70">
        <f>IF(V$8&lt;$F852,0,IF(V$8=$F852,1,U852*(1+Input!W1055)*V$12))</f>
        <v>1.7958563260221301</v>
      </c>
    </row>
    <row r="853" spans="2:22">
      <c r="B853" s="407" t="s">
        <v>407</v>
      </c>
      <c r="F853" s="16">
        <f>Input!K1060</f>
        <v>490000</v>
      </c>
      <c r="G853" s="17" t="s">
        <v>315</v>
      </c>
      <c r="J853">
        <f t="shared" ref="J853:V853" si="270">$F853*J852</f>
        <v>490000</v>
      </c>
      <c r="K853">
        <f t="shared" si="270"/>
        <v>514500</v>
      </c>
      <c r="L853">
        <f t="shared" si="270"/>
        <v>540225</v>
      </c>
      <c r="M853">
        <f t="shared" si="270"/>
        <v>567236.25000000012</v>
      </c>
      <c r="N853">
        <f t="shared" si="270"/>
        <v>595598.06250000012</v>
      </c>
      <c r="O853">
        <f t="shared" si="270"/>
        <v>625377.96562500019</v>
      </c>
      <c r="P853">
        <f t="shared" si="270"/>
        <v>656646.86390625022</v>
      </c>
      <c r="Q853">
        <f t="shared" si="270"/>
        <v>689479.20710156276</v>
      </c>
      <c r="R853">
        <f t="shared" si="270"/>
        <v>723953.16745664086</v>
      </c>
      <c r="S853">
        <f t="shared" si="270"/>
        <v>760150.82582947297</v>
      </c>
      <c r="T853">
        <f t="shared" si="270"/>
        <v>798158.36712094664</v>
      </c>
      <c r="U853">
        <f t="shared" si="270"/>
        <v>838066.285476994</v>
      </c>
      <c r="V853">
        <f t="shared" si="270"/>
        <v>879969.59975084371</v>
      </c>
    </row>
    <row r="854" spans="2:22">
      <c r="B854" s="407" t="s">
        <v>465</v>
      </c>
      <c r="J854">
        <f>Input!K1062</f>
        <v>15259.853223391548</v>
      </c>
      <c r="K854">
        <f>Input!L1062</f>
        <v>15717.648820093294</v>
      </c>
      <c r="L854">
        <f>Input!M1062</f>
        <v>16189.178284696094</v>
      </c>
      <c r="M854">
        <f>Input!N1062</f>
        <v>16674.853633236977</v>
      </c>
      <c r="N854">
        <f>Input!O1062</f>
        <v>17175.099242234086</v>
      </c>
      <c r="O854">
        <f>Input!P1062</f>
        <v>17690.35221950111</v>
      </c>
      <c r="P854">
        <f>Input!Q1062</f>
        <v>18221.062786086142</v>
      </c>
      <c r="Q854">
        <f>Input!R1062</f>
        <v>18767.694669668726</v>
      </c>
      <c r="R854">
        <f>Input!S1062</f>
        <v>19330.725509758788</v>
      </c>
      <c r="S854">
        <f>Input!T1062</f>
        <v>19910.64727505155</v>
      </c>
      <c r="T854">
        <f>Input!U1062</f>
        <v>19910.64727505155</v>
      </c>
      <c r="U854">
        <f>Input!V1062</f>
        <v>19910.64727505155</v>
      </c>
      <c r="V854">
        <f>Input!W1062</f>
        <v>19910.64727505155</v>
      </c>
    </row>
    <row r="855" spans="2:22">
      <c r="B855" s="28" t="s">
        <v>9</v>
      </c>
      <c r="C855" s="28"/>
      <c r="D855" s="28"/>
      <c r="E855" s="28"/>
      <c r="F855" s="28"/>
      <c r="G855" s="28"/>
      <c r="H855" s="28"/>
      <c r="I855" s="48">
        <f>SUM(J855:V855)</f>
        <v>159.1944811350802</v>
      </c>
      <c r="J855" s="76">
        <f>J853*J854/Billion</f>
        <v>7.4773280794618584</v>
      </c>
      <c r="K855" s="76">
        <f t="shared" ref="K855:V855" si="271">K853*K854/Billion</f>
        <v>8.0867303179380006</v>
      </c>
      <c r="L855" s="76">
        <f t="shared" si="271"/>
        <v>8.7457988388499466</v>
      </c>
      <c r="M855" s="76">
        <f t="shared" si="271"/>
        <v>9.4585814442162217</v>
      </c>
      <c r="N855" s="76">
        <f t="shared" si="271"/>
        <v>10.229455831919841</v>
      </c>
      <c r="O855" s="76">
        <f t="shared" si="271"/>
        <v>11.063156482221311</v>
      </c>
      <c r="P855" s="76">
        <f t="shared" si="271"/>
        <v>11.964803735522349</v>
      </c>
      <c r="Q855" s="76">
        <f t="shared" si="271"/>
        <v>12.939935239967419</v>
      </c>
      <c r="R855" s="76">
        <f t="shared" si="271"/>
        <v>13.994539962024763</v>
      </c>
      <c r="S855" s="76">
        <f t="shared" si="271"/>
        <v>15.135094968929781</v>
      </c>
      <c r="T855" s="76">
        <f t="shared" si="271"/>
        <v>15.891849717376271</v>
      </c>
      <c r="U855" s="76">
        <f t="shared" si="271"/>
        <v>16.686442203245086</v>
      </c>
      <c r="V855" s="76">
        <f t="shared" si="271"/>
        <v>17.520764313407337</v>
      </c>
    </row>
    <row r="856" spans="2:22">
      <c r="G856"/>
      <c r="I856" s="21"/>
      <c r="K856" s="21"/>
      <c r="L856" s="21"/>
      <c r="M856" s="21"/>
      <c r="N856" s="21"/>
    </row>
    <row r="857" spans="2:22">
      <c r="G857"/>
      <c r="I857" s="21"/>
      <c r="K857" s="21"/>
      <c r="L857" s="21"/>
      <c r="M857" s="21"/>
      <c r="N857" s="21"/>
    </row>
    <row r="858" spans="2:22">
      <c r="B858" t="s">
        <v>471</v>
      </c>
      <c r="G858"/>
      <c r="I858" s="21"/>
      <c r="J858">
        <f>SUM(J838,J843,J848,J853)</f>
        <v>1261624</v>
      </c>
      <c r="K858">
        <f t="shared" ref="K858:V858" si="272">SUM(K838,K843,K848,K853)</f>
        <v>1324705.2000000002</v>
      </c>
      <c r="L858">
        <f t="shared" si="272"/>
        <v>1690940.46</v>
      </c>
      <c r="M858">
        <f t="shared" si="272"/>
        <v>1775487.483</v>
      </c>
      <c r="N858">
        <f t="shared" si="272"/>
        <v>1864261.8571500001</v>
      </c>
      <c r="O858">
        <f t="shared" si="272"/>
        <v>1957474.9500075006</v>
      </c>
      <c r="P858">
        <f t="shared" si="272"/>
        <v>2055348.6975078755</v>
      </c>
      <c r="Q858">
        <f t="shared" si="272"/>
        <v>2158116.1323832693</v>
      </c>
      <c r="R858">
        <f t="shared" si="272"/>
        <v>2266021.9390024329</v>
      </c>
      <c r="S858">
        <f t="shared" si="272"/>
        <v>2379323.0359525546</v>
      </c>
      <c r="T858">
        <f t="shared" si="272"/>
        <v>2498289.1877501826</v>
      </c>
      <c r="U858">
        <f t="shared" si="272"/>
        <v>2623203.6471376913</v>
      </c>
      <c r="V858">
        <f t="shared" si="272"/>
        <v>2754363.8294945764</v>
      </c>
    </row>
    <row r="859" spans="2:22">
      <c r="B859" t="s">
        <v>578</v>
      </c>
      <c r="G859"/>
      <c r="I859" s="21"/>
      <c r="J859" s="23">
        <f>SUM(J840,J845,J850,J855)</f>
        <v>18.511773624249535</v>
      </c>
      <c r="K859" s="23">
        <f t="shared" ref="K859:V859" si="273">SUM(K840,K845,K850,K855)</f>
        <v>20.020483174625877</v>
      </c>
      <c r="L859" s="23">
        <f t="shared" si="273"/>
        <v>26.50890603876671</v>
      </c>
      <c r="M859" s="23">
        <f t="shared" si="273"/>
        <v>28.669381880926206</v>
      </c>
      <c r="N859" s="23">
        <f t="shared" si="273"/>
        <v>31.005936504221687</v>
      </c>
      <c r="O859" s="23">
        <f t="shared" si="273"/>
        <v>33.532920329315758</v>
      </c>
      <c r="P859" s="23">
        <f t="shared" si="273"/>
        <v>36.265853336155004</v>
      </c>
      <c r="Q859" s="23">
        <f t="shared" si="273"/>
        <v>39.221520383051626</v>
      </c>
      <c r="R859" s="23">
        <f t="shared" si="273"/>
        <v>42.41807429427034</v>
      </c>
      <c r="S859" s="23">
        <f t="shared" si="273"/>
        <v>45.875147349253375</v>
      </c>
      <c r="T859" s="23">
        <f t="shared" si="273"/>
        <v>48.168904716716042</v>
      </c>
      <c r="U859" s="23">
        <f t="shared" si="273"/>
        <v>50.577349952551849</v>
      </c>
      <c r="V859" s="23">
        <f t="shared" si="273"/>
        <v>53.106217450179443</v>
      </c>
    </row>
    <row r="860" spans="2:22">
      <c r="G860"/>
      <c r="I860" s="21"/>
    </row>
    <row r="861" spans="2:22" ht="15.75">
      <c r="B861" s="15" t="s">
        <v>473</v>
      </c>
      <c r="G861"/>
      <c r="I861" s="21"/>
      <c r="J861">
        <f>SUM(J870,J876,J881,J886)</f>
        <v>9.3151188748294285</v>
      </c>
      <c r="K861">
        <f t="shared" ref="K861:V861" si="274">SUM(K870,K876,K881,K886)</f>
        <v>10.061949460445287</v>
      </c>
      <c r="L861">
        <f t="shared" si="274"/>
        <v>13.243441646842074</v>
      </c>
      <c r="M861">
        <f t="shared" si="274"/>
        <v>14.309550795475888</v>
      </c>
      <c r="N861">
        <f t="shared" si="274"/>
        <v>15.462084742627914</v>
      </c>
      <c r="O861">
        <f t="shared" si="274"/>
        <v>16.708070900979063</v>
      </c>
      <c r="P861">
        <f t="shared" si="274"/>
        <v>18.055108850049781</v>
      </c>
      <c r="Q861">
        <f t="shared" si="274"/>
        <v>19.511416947942177</v>
      </c>
      <c r="R861">
        <f t="shared" si="274"/>
        <v>21.085882741244284</v>
      </c>
      <c r="S861">
        <f t="shared" si="274"/>
        <v>22.788117482622077</v>
      </c>
      <c r="T861">
        <f t="shared" si="274"/>
        <v>23.922093044945182</v>
      </c>
      <c r="U861">
        <f t="shared" si="274"/>
        <v>25.112577324471165</v>
      </c>
      <c r="V861">
        <f t="shared" si="274"/>
        <v>26.362389104928202</v>
      </c>
    </row>
    <row r="862" spans="2:22">
      <c r="B862" s="2" t="s">
        <v>579</v>
      </c>
      <c r="F862" s="58" t="s">
        <v>580</v>
      </c>
      <c r="G862"/>
      <c r="I862" s="22"/>
    </row>
    <row r="863" spans="2:22">
      <c r="B863" s="407" t="s">
        <v>516</v>
      </c>
      <c r="F863" s="30">
        <f>Input!J1072</f>
        <v>1.6419999970000002E-2</v>
      </c>
      <c r="G863" s="17" t="s">
        <v>315</v>
      </c>
    </row>
    <row r="864" spans="2:22">
      <c r="B864" s="28" t="s">
        <v>476</v>
      </c>
      <c r="C864" s="28"/>
      <c r="D864" s="28"/>
      <c r="E864" s="28"/>
      <c r="F864" s="28"/>
      <c r="G864" s="28"/>
      <c r="H864" s="28"/>
      <c r="I864" s="49">
        <f>SUM(J864:V864)</f>
        <v>0.21345999960999995</v>
      </c>
      <c r="J864" s="47">
        <f>$F863*J$12</f>
        <v>1.6419999970000002E-2</v>
      </c>
      <c r="K864" s="47">
        <f t="shared" ref="K864:V864" si="275">$F863*K$12</f>
        <v>1.6419999970000002E-2</v>
      </c>
      <c r="L864" s="47">
        <f t="shared" si="275"/>
        <v>1.6419999970000002E-2</v>
      </c>
      <c r="M864" s="47">
        <f t="shared" si="275"/>
        <v>1.6419999970000002E-2</v>
      </c>
      <c r="N864" s="47">
        <f t="shared" si="275"/>
        <v>1.6419999970000002E-2</v>
      </c>
      <c r="O864" s="47">
        <f t="shared" si="275"/>
        <v>1.6419999970000002E-2</v>
      </c>
      <c r="P864" s="47">
        <f t="shared" si="275"/>
        <v>1.6419999970000002E-2</v>
      </c>
      <c r="Q864" s="47">
        <f t="shared" si="275"/>
        <v>1.6419999970000002E-2</v>
      </c>
      <c r="R864" s="47">
        <f t="shared" si="275"/>
        <v>1.6419999970000002E-2</v>
      </c>
      <c r="S864" s="47">
        <f t="shared" si="275"/>
        <v>1.6419999970000002E-2</v>
      </c>
      <c r="T864" s="47">
        <f t="shared" si="275"/>
        <v>1.6419999970000002E-2</v>
      </c>
      <c r="U864" s="47">
        <f t="shared" si="275"/>
        <v>1.6419999970000002E-2</v>
      </c>
      <c r="V864" s="47">
        <f t="shared" si="275"/>
        <v>1.6419999970000002E-2</v>
      </c>
    </row>
    <row r="865" spans="2:22">
      <c r="G865"/>
    </row>
    <row r="866" spans="2:22">
      <c r="B866" s="2" t="s">
        <v>592</v>
      </c>
      <c r="G866"/>
    </row>
    <row r="867" spans="2:22" ht="15.75">
      <c r="B867" s="41"/>
      <c r="F867" s="19">
        <v>2023</v>
      </c>
      <c r="G867"/>
      <c r="I867">
        <v>1</v>
      </c>
      <c r="J867" s="70">
        <f>IF(J$8&lt;$F867,0,IF(J$8=$F867,1,I867*(1+Input!K1025)*J$12))</f>
        <v>1</v>
      </c>
      <c r="K867" s="70">
        <f>IF(K$8&lt;$F867,0,IF(K$8=$F867,1,J867*(1+Input!L1025)*K$12))</f>
        <v>1</v>
      </c>
      <c r="L867" s="70">
        <f>IF(L$8&lt;$F867,0,IF(L$8=$F867,1,K867*(1+Input!M1025)*L$12))</f>
        <v>1</v>
      </c>
      <c r="M867" s="70">
        <f>IF(M$8&lt;$F867,0,IF(M$8=$F867,1,L867*(1+Input!N1025)*M$12))</f>
        <v>1</v>
      </c>
      <c r="N867" s="70">
        <f>IF(N$8&lt;$F867,0,IF(N$8=$F867,1,M867*(1+Input!O1025)*N$12))</f>
        <v>1</v>
      </c>
      <c r="O867" s="70">
        <f>IF(O$8&lt;$F867,0,IF(O$8=$F867,1,N867*(1+Input!P1025)*O$12))</f>
        <v>1</v>
      </c>
      <c r="P867" s="70">
        <f>IF(P$8&lt;$F867,0,IF(P$8=$F867,1,O867*(1+Input!Q1025)*P$12))</f>
        <v>1</v>
      </c>
      <c r="Q867" s="70">
        <f>IF(Q$8&lt;$F867,0,IF(Q$8=$F867,1,P867*(1+Input!R1025)*Q$12))</f>
        <v>1</v>
      </c>
      <c r="R867" s="70">
        <f>IF(R$8&lt;$F867,0,IF(R$8=$F867,1,Q867*(1+Input!S1025)*R$12))</f>
        <v>1</v>
      </c>
      <c r="S867" s="70">
        <f>IF(S$8&lt;$F867,0,IF(S$8=$F867,1,R867*(1+Input!T1025)*S$12))</f>
        <v>1</v>
      </c>
      <c r="T867" s="70">
        <f>IF(T$8&lt;$F867,0,IF(T$8=$F867,1,S867*(1+Input!U1025)*T$12))</f>
        <v>1</v>
      </c>
      <c r="U867" s="70">
        <f>IF(U$8&lt;$F867,0,IF(U$8=$F867,1,T867*(1+Input!V1025)*U$12))</f>
        <v>1</v>
      </c>
      <c r="V867" s="70">
        <f>IF(V$8&lt;$F867,0,IF(V$8=$F867,1,U867*(1+Input!W1025)*V$12))</f>
        <v>1</v>
      </c>
    </row>
    <row r="868" spans="2:22">
      <c r="B868" s="407" t="s">
        <v>472</v>
      </c>
      <c r="G868" s="17" t="s">
        <v>315</v>
      </c>
      <c r="J868">
        <f>J859</f>
        <v>18.511773624249535</v>
      </c>
      <c r="K868">
        <f t="shared" ref="K868:V868" si="276">K859</f>
        <v>20.020483174625877</v>
      </c>
      <c r="L868">
        <f t="shared" si="276"/>
        <v>26.50890603876671</v>
      </c>
      <c r="M868">
        <f t="shared" si="276"/>
        <v>28.669381880926206</v>
      </c>
      <c r="N868">
        <f t="shared" si="276"/>
        <v>31.005936504221687</v>
      </c>
      <c r="O868">
        <f t="shared" si="276"/>
        <v>33.532920329315758</v>
      </c>
      <c r="P868">
        <f t="shared" si="276"/>
        <v>36.265853336155004</v>
      </c>
      <c r="Q868">
        <f t="shared" si="276"/>
        <v>39.221520383051626</v>
      </c>
      <c r="R868">
        <f t="shared" si="276"/>
        <v>42.41807429427034</v>
      </c>
      <c r="S868">
        <f t="shared" si="276"/>
        <v>45.875147349253375</v>
      </c>
      <c r="T868">
        <f t="shared" si="276"/>
        <v>48.168904716716042</v>
      </c>
      <c r="U868">
        <f t="shared" si="276"/>
        <v>50.577349952551849</v>
      </c>
      <c r="V868">
        <f t="shared" si="276"/>
        <v>53.106217450179443</v>
      </c>
    </row>
    <row r="869" spans="2:22">
      <c r="B869" s="407" t="s">
        <v>465</v>
      </c>
      <c r="F869" s="39">
        <v>0.48880442370025479</v>
      </c>
      <c r="J869" s="74">
        <f>$F869</f>
        <v>0.48880442370025479</v>
      </c>
      <c r="K869" s="74">
        <f t="shared" ref="K869:V869" si="277">$F869</f>
        <v>0.48880442370025479</v>
      </c>
      <c r="L869" s="74">
        <f t="shared" si="277"/>
        <v>0.48880442370025479</v>
      </c>
      <c r="M869" s="74">
        <f t="shared" si="277"/>
        <v>0.48880442370025479</v>
      </c>
      <c r="N869" s="74">
        <f t="shared" si="277"/>
        <v>0.48880442370025479</v>
      </c>
      <c r="O869" s="74">
        <f t="shared" si="277"/>
        <v>0.48880442370025479</v>
      </c>
      <c r="P869" s="74">
        <f t="shared" si="277"/>
        <v>0.48880442370025479</v>
      </c>
      <c r="Q869" s="74">
        <f t="shared" si="277"/>
        <v>0.48880442370025479</v>
      </c>
      <c r="R869" s="74">
        <f t="shared" si="277"/>
        <v>0.48880442370025479</v>
      </c>
      <c r="S869" s="74">
        <f t="shared" si="277"/>
        <v>0.48880442370025479</v>
      </c>
      <c r="T869" s="74">
        <f t="shared" si="277"/>
        <v>0.48880442370025479</v>
      </c>
      <c r="U869" s="74">
        <f t="shared" si="277"/>
        <v>0.48880442370025479</v>
      </c>
      <c r="V869" s="74">
        <f t="shared" si="277"/>
        <v>0.48880442370025479</v>
      </c>
    </row>
    <row r="870" spans="2:22">
      <c r="B870" s="28" t="s">
        <v>9</v>
      </c>
      <c r="C870" s="28"/>
      <c r="D870" s="28"/>
      <c r="E870" s="28"/>
      <c r="F870" s="28"/>
      <c r="G870" s="28"/>
      <c r="H870" s="28"/>
      <c r="I870" s="48">
        <f>SUM(J870:V870)</f>
        <v>231.63584717795678</v>
      </c>
      <c r="J870" s="76">
        <f t="shared" ref="J870:V870" si="278">J869*J868</f>
        <v>9.0486368380708715</v>
      </c>
      <c r="K870" s="76">
        <f t="shared" si="278"/>
        <v>9.7861007403736497</v>
      </c>
      <c r="L870" s="76">
        <f t="shared" si="278"/>
        <v>12.957670539203566</v>
      </c>
      <c r="M870" s="76">
        <f t="shared" si="278"/>
        <v>14.013720688148661</v>
      </c>
      <c r="N870" s="76">
        <f t="shared" si="278"/>
        <v>15.155838924232775</v>
      </c>
      <c r="O870" s="76">
        <f t="shared" si="278"/>
        <v>16.391039796557745</v>
      </c>
      <c r="P870" s="76">
        <f t="shared" si="278"/>
        <v>17.726909539977211</v>
      </c>
      <c r="Q870" s="76">
        <f t="shared" si="278"/>
        <v>19.171652667485347</v>
      </c>
      <c r="R870" s="76">
        <f t="shared" si="278"/>
        <v>20.734142359885407</v>
      </c>
      <c r="S870" s="76">
        <f t="shared" si="278"/>
        <v>22.423974962216068</v>
      </c>
      <c r="T870" s="76">
        <f t="shared" si="278"/>
        <v>23.545173710326871</v>
      </c>
      <c r="U870" s="76">
        <f t="shared" si="278"/>
        <v>24.722432395843214</v>
      </c>
      <c r="V870" s="76">
        <f t="shared" si="278"/>
        <v>25.958554015635375</v>
      </c>
    </row>
    <row r="871" spans="2:22">
      <c r="G871"/>
    </row>
    <row r="872" spans="2:22">
      <c r="G872"/>
    </row>
    <row r="873" spans="2:22">
      <c r="B873" s="2" t="s">
        <v>584</v>
      </c>
      <c r="G873"/>
    </row>
    <row r="874" spans="2:22">
      <c r="B874" s="407" t="s">
        <v>478</v>
      </c>
      <c r="G874"/>
      <c r="I874" s="71">
        <v>1</v>
      </c>
      <c r="J874" s="16">
        <f>I874*(1+Input!K1077)*J$12</f>
        <v>1.0349999999999999</v>
      </c>
      <c r="K874" s="16">
        <f>J874*(1+Input!L1077)*K$12</f>
        <v>1.0712249999999999</v>
      </c>
      <c r="L874" s="16">
        <f>K874*(1+Input!M1077)*L$12</f>
        <v>1.1087178749999997</v>
      </c>
      <c r="M874" s="16">
        <f>L874*(1+Input!N1077)*M$12</f>
        <v>1.1475230006249997</v>
      </c>
      <c r="N874" s="16">
        <f>M874*(1+Input!O1077)*N$12</f>
        <v>1.1876863056468745</v>
      </c>
      <c r="O874" s="16">
        <f>N874*(1+Input!P1077)*O$12</f>
        <v>1.229255326344515</v>
      </c>
      <c r="P874" s="16">
        <f>O874*(1+Input!Q1077)*P$12</f>
        <v>1.2722792627665729</v>
      </c>
      <c r="Q874" s="16">
        <f>P874*(1+Input!R1077)*Q$12</f>
        <v>1.3168090369634029</v>
      </c>
      <c r="R874" s="16">
        <f>Q874*(1+Input!S1077)*R$12</f>
        <v>1.3628973532571218</v>
      </c>
      <c r="S874" s="16">
        <f>R874*(1+Input!T1077)*S$12</f>
        <v>1.410598760621121</v>
      </c>
      <c r="T874" s="16">
        <f>S874*(1+Input!U1077)*T$12</f>
        <v>1.4599697172428601</v>
      </c>
      <c r="U874" s="16">
        <f>T874*(1+Input!V1077)*U$12</f>
        <v>1.5110686573463601</v>
      </c>
      <c r="V874" s="16">
        <f>U874*(1+Input!W1077)*V$12</f>
        <v>1.5639560603534826</v>
      </c>
    </row>
    <row r="875" spans="2:22">
      <c r="B875" t="s">
        <v>479</v>
      </c>
      <c r="F875" s="19">
        <f>Input!J1082</f>
        <v>0.25664334700000002</v>
      </c>
      <c r="G875" s="17" t="s">
        <v>315</v>
      </c>
    </row>
    <row r="876" spans="2:22">
      <c r="B876" s="28" t="s">
        <v>584</v>
      </c>
      <c r="C876" s="28"/>
      <c r="D876" s="28"/>
      <c r="E876" s="28"/>
      <c r="F876" s="28"/>
      <c r="G876" s="28"/>
      <c r="H876" s="28"/>
      <c r="I876" s="28"/>
      <c r="J876" s="47">
        <f>$F875*J874</f>
        <v>0.265625864145</v>
      </c>
      <c r="K876" s="47">
        <f t="shared" ref="K876:V876" si="279">$F875*K874</f>
        <v>0.27492276939007498</v>
      </c>
      <c r="L876" s="47">
        <f t="shared" si="279"/>
        <v>0.28454506631872756</v>
      </c>
      <c r="M876" s="47">
        <f t="shared" si="279"/>
        <v>0.29450414363988303</v>
      </c>
      <c r="N876" s="47">
        <f t="shared" si="279"/>
        <v>0.30481178866727887</v>
      </c>
      <c r="O876" s="47">
        <f t="shared" si="279"/>
        <v>0.31548020127063364</v>
      </c>
      <c r="P876" s="47">
        <f t="shared" si="279"/>
        <v>0.32652200831510575</v>
      </c>
      <c r="Q876" s="47">
        <f t="shared" si="279"/>
        <v>0.33795027860613447</v>
      </c>
      <c r="R876" s="47">
        <f t="shared" si="279"/>
        <v>0.34977853835734912</v>
      </c>
      <c r="S876" s="47">
        <f t="shared" si="279"/>
        <v>0.36202078719985631</v>
      </c>
      <c r="T876" s="47">
        <f t="shared" si="279"/>
        <v>0.37469151475185125</v>
      </c>
      <c r="U876" s="47">
        <f t="shared" si="279"/>
        <v>0.38780571776816603</v>
      </c>
      <c r="V876" s="47">
        <f t="shared" si="279"/>
        <v>0.40137891789005181</v>
      </c>
    </row>
    <row r="877" spans="2:22">
      <c r="G877"/>
    </row>
    <row r="878" spans="2:22">
      <c r="B878" s="2" t="s">
        <v>585</v>
      </c>
      <c r="G878"/>
    </row>
    <row r="879" spans="2:22">
      <c r="B879" s="407" t="s">
        <v>472</v>
      </c>
      <c r="G879"/>
      <c r="J879">
        <f>J859</f>
        <v>18.511773624249535</v>
      </c>
      <c r="K879">
        <f t="shared" ref="K879:V879" si="280">K859</f>
        <v>20.020483174625877</v>
      </c>
      <c r="L879">
        <f t="shared" si="280"/>
        <v>26.50890603876671</v>
      </c>
      <c r="M879">
        <f t="shared" si="280"/>
        <v>28.669381880926206</v>
      </c>
      <c r="N879">
        <f t="shared" si="280"/>
        <v>31.005936504221687</v>
      </c>
      <c r="O879">
        <f t="shared" si="280"/>
        <v>33.532920329315758</v>
      </c>
      <c r="P879">
        <f t="shared" si="280"/>
        <v>36.265853336155004</v>
      </c>
      <c r="Q879">
        <f t="shared" si="280"/>
        <v>39.221520383051626</v>
      </c>
      <c r="R879">
        <f t="shared" si="280"/>
        <v>42.41807429427034</v>
      </c>
      <c r="S879">
        <f t="shared" si="280"/>
        <v>45.875147349253375</v>
      </c>
      <c r="T879">
        <f t="shared" si="280"/>
        <v>48.168904716716042</v>
      </c>
      <c r="U879">
        <f t="shared" si="280"/>
        <v>50.577349952551849</v>
      </c>
      <c r="V879">
        <f t="shared" si="280"/>
        <v>53.106217450179443</v>
      </c>
    </row>
    <row r="880" spans="2:22">
      <c r="B880" t="s">
        <v>479</v>
      </c>
      <c r="F880" s="39">
        <v>4.6250166566207664E-5</v>
      </c>
      <c r="G880" s="17" t="s">
        <v>315</v>
      </c>
      <c r="J880" s="80">
        <f>$F880</f>
        <v>4.6250166566207664E-5</v>
      </c>
      <c r="K880" s="80">
        <f t="shared" ref="K880:V880" si="281">$F880</f>
        <v>4.6250166566207664E-5</v>
      </c>
      <c r="L880" s="80">
        <f t="shared" si="281"/>
        <v>4.6250166566207664E-5</v>
      </c>
      <c r="M880" s="80">
        <f t="shared" si="281"/>
        <v>4.6250166566207664E-5</v>
      </c>
      <c r="N880" s="80">
        <f t="shared" si="281"/>
        <v>4.6250166566207664E-5</v>
      </c>
      <c r="O880" s="80">
        <f t="shared" si="281"/>
        <v>4.6250166566207664E-5</v>
      </c>
      <c r="P880" s="80">
        <f t="shared" si="281"/>
        <v>4.6250166566207664E-5</v>
      </c>
      <c r="Q880" s="80">
        <f t="shared" si="281"/>
        <v>4.6250166566207664E-5</v>
      </c>
      <c r="R880" s="80">
        <f t="shared" si="281"/>
        <v>4.6250166566207664E-5</v>
      </c>
      <c r="S880" s="80">
        <f t="shared" si="281"/>
        <v>4.6250166566207664E-5</v>
      </c>
      <c r="T880" s="80">
        <f t="shared" si="281"/>
        <v>4.6250166566207664E-5</v>
      </c>
      <c r="U880" s="80">
        <f t="shared" si="281"/>
        <v>4.6250166566207664E-5</v>
      </c>
      <c r="V880" s="80">
        <f t="shared" si="281"/>
        <v>4.6250166566207664E-5</v>
      </c>
    </row>
    <row r="881" spans="2:22">
      <c r="B881" s="28" t="s">
        <v>585</v>
      </c>
      <c r="C881" s="28"/>
      <c r="D881" s="28"/>
      <c r="E881" s="28"/>
      <c r="F881" s="28"/>
      <c r="G881" s="28"/>
      <c r="H881" s="28"/>
      <c r="I881" s="28"/>
      <c r="J881" s="82">
        <f t="shared" ref="J881:V881" si="282">J879*J880</f>
        <v>8.5617261355747077E-4</v>
      </c>
      <c r="K881" s="82">
        <f t="shared" si="282"/>
        <v>9.2595068156240486E-4</v>
      </c>
      <c r="L881" s="82">
        <f t="shared" si="282"/>
        <v>1.2260413197809085E-3</v>
      </c>
      <c r="M881" s="82">
        <f t="shared" si="282"/>
        <v>1.325963687343053E-3</v>
      </c>
      <c r="N881" s="82">
        <f t="shared" si="282"/>
        <v>1.4340297278615116E-3</v>
      </c>
      <c r="O881" s="82">
        <f t="shared" si="282"/>
        <v>1.5509031506822249E-3</v>
      </c>
      <c r="P881" s="82">
        <f t="shared" si="282"/>
        <v>1.6773017574628268E-3</v>
      </c>
      <c r="Q881" s="82">
        <f t="shared" si="282"/>
        <v>1.8140018506960468E-3</v>
      </c>
      <c r="R881" s="82">
        <f t="shared" si="282"/>
        <v>1.9618430015277749E-3</v>
      </c>
      <c r="S881" s="82">
        <f t="shared" si="282"/>
        <v>2.1217332061522886E-3</v>
      </c>
      <c r="T881" s="82">
        <f t="shared" si="282"/>
        <v>2.2278198664599028E-3</v>
      </c>
      <c r="U881" s="82">
        <f t="shared" si="282"/>
        <v>2.3392108597828985E-3</v>
      </c>
      <c r="V881" s="82">
        <f t="shared" si="282"/>
        <v>2.4561714027720432E-3</v>
      </c>
    </row>
    <row r="882" spans="2:22">
      <c r="G882"/>
    </row>
    <row r="883" spans="2:22">
      <c r="B883" s="2" t="s">
        <v>586</v>
      </c>
      <c r="G883"/>
    </row>
    <row r="884" spans="2:22">
      <c r="B884" s="407" t="s">
        <v>478</v>
      </c>
      <c r="G884"/>
      <c r="I884" s="13">
        <v>1</v>
      </c>
      <c r="J884" s="6">
        <f>I884*(1+Input!K1067)*J$12</f>
        <v>1</v>
      </c>
      <c r="K884" s="16">
        <f>J884*(1+Input!L1067)*K$12</f>
        <v>1</v>
      </c>
      <c r="L884" s="16">
        <f>K884*(1+Input!M1067)*L$12</f>
        <v>1</v>
      </c>
      <c r="M884" s="16">
        <f>L884*(1+Input!N1067)*M$12</f>
        <v>1</v>
      </c>
      <c r="N884" s="16">
        <f>M884*(1+Input!O1067)*N$12</f>
        <v>1</v>
      </c>
      <c r="O884" s="16">
        <f>N884*(1+Input!P1067)*O$12</f>
        <v>1</v>
      </c>
      <c r="P884" s="16">
        <f>O884*(1+Input!Q1067)*P$12</f>
        <v>1</v>
      </c>
      <c r="Q884" s="16">
        <f>P884*(1+Input!R1067)*Q$12</f>
        <v>1</v>
      </c>
      <c r="R884" s="16">
        <f>Q884*(1+Input!S1067)*R$12</f>
        <v>1</v>
      </c>
      <c r="S884" s="16">
        <f>R884*(1+Input!T1067)*S$12</f>
        <v>1</v>
      </c>
      <c r="T884" s="16">
        <f>S884*(1+Input!U1067)*T$12</f>
        <v>1</v>
      </c>
      <c r="U884" s="16">
        <f>T884*(1+Input!V1067)*U$12</f>
        <v>1</v>
      </c>
      <c r="V884" s="16">
        <f>U884*(1+Input!W1067)*V$12</f>
        <v>1</v>
      </c>
    </row>
    <row r="885" spans="2:22">
      <c r="B885" t="s">
        <v>479</v>
      </c>
      <c r="F885" s="19"/>
      <c r="G885" s="17" t="s">
        <v>315</v>
      </c>
    </row>
    <row r="886" spans="2:22">
      <c r="B886" s="28" t="s">
        <v>585</v>
      </c>
      <c r="C886" s="28"/>
      <c r="D886" s="28"/>
      <c r="E886" s="28"/>
      <c r="F886" s="28"/>
      <c r="G886" s="28"/>
      <c r="H886" s="28"/>
      <c r="I886" s="28"/>
      <c r="J886" s="79">
        <f t="shared" ref="J886:V886" si="283">$F885</f>
        <v>0</v>
      </c>
      <c r="K886" s="79">
        <f t="shared" si="283"/>
        <v>0</v>
      </c>
      <c r="L886" s="79">
        <f t="shared" si="283"/>
        <v>0</v>
      </c>
      <c r="M886" s="79">
        <f t="shared" si="283"/>
        <v>0</v>
      </c>
      <c r="N886" s="79">
        <f t="shared" si="283"/>
        <v>0</v>
      </c>
      <c r="O886" s="79">
        <f t="shared" si="283"/>
        <v>0</v>
      </c>
      <c r="P886" s="79">
        <f t="shared" si="283"/>
        <v>0</v>
      </c>
      <c r="Q886" s="79">
        <f t="shared" si="283"/>
        <v>0</v>
      </c>
      <c r="R886" s="79">
        <f t="shared" si="283"/>
        <v>0</v>
      </c>
      <c r="S886" s="79">
        <f t="shared" si="283"/>
        <v>0</v>
      </c>
      <c r="T886" s="79">
        <f t="shared" si="283"/>
        <v>0</v>
      </c>
      <c r="U886" s="79">
        <f t="shared" si="283"/>
        <v>0</v>
      </c>
      <c r="V886" s="79">
        <f t="shared" si="283"/>
        <v>0</v>
      </c>
    </row>
    <row r="887" spans="2:22">
      <c r="G887"/>
    </row>
    <row r="888" spans="2:22" ht="15.75">
      <c r="B888" s="15" t="s">
        <v>535</v>
      </c>
      <c r="G888"/>
      <c r="J888" s="83">
        <f>SUM(J893,J898,J903,J908,J913,J918)</f>
        <v>0.42015237867130001</v>
      </c>
      <c r="K888" s="83">
        <f t="shared" ref="K888:V888" si="284">SUM(K893,K898,K903,K908,K913,K918)</f>
        <v>0.42435390245801302</v>
      </c>
      <c r="L888" s="83">
        <f t="shared" si="284"/>
        <v>0.42859744148259304</v>
      </c>
      <c r="M888" s="83">
        <f t="shared" si="284"/>
        <v>0.43288341589741908</v>
      </c>
      <c r="N888" s="83">
        <f t="shared" si="284"/>
        <v>0.43721225005639319</v>
      </c>
      <c r="O888" s="83">
        <f t="shared" si="284"/>
        <v>0.44158437255695715</v>
      </c>
      <c r="P888" s="83">
        <f t="shared" si="284"/>
        <v>0.44600021628252667</v>
      </c>
      <c r="Q888" s="83">
        <f t="shared" si="284"/>
        <v>0.450460218445352</v>
      </c>
      <c r="R888" s="83">
        <f t="shared" si="284"/>
        <v>0.45496482062980548</v>
      </c>
      <c r="S888" s="83">
        <f t="shared" si="284"/>
        <v>0.45951446883610364</v>
      </c>
      <c r="T888" s="83">
        <f t="shared" si="284"/>
        <v>0.46410961352446461</v>
      </c>
      <c r="U888" s="83">
        <f t="shared" si="284"/>
        <v>0.46875070965970933</v>
      </c>
      <c r="V888" s="83">
        <f t="shared" si="284"/>
        <v>0.47343821675630643</v>
      </c>
    </row>
    <row r="889" spans="2:22">
      <c r="G889"/>
    </row>
    <row r="890" spans="2:22">
      <c r="B890" s="2" t="s">
        <v>496</v>
      </c>
      <c r="G890"/>
    </row>
    <row r="891" spans="2:22">
      <c r="B891" s="407" t="s">
        <v>478</v>
      </c>
      <c r="G891"/>
      <c r="I891" s="13">
        <v>1</v>
      </c>
      <c r="J891" s="16">
        <f>I891*(1+Input!K1086)*J$12</f>
        <v>1.01</v>
      </c>
      <c r="K891" s="16">
        <f>J891*(1+Input!L1086)*K$12</f>
        <v>1.0201</v>
      </c>
      <c r="L891" s="16">
        <f>K891*(1+Input!M1086)*L$12</f>
        <v>1.0303009999999999</v>
      </c>
      <c r="M891" s="16">
        <f>L891*(1+Input!N1086)*M$12</f>
        <v>1.04060401</v>
      </c>
      <c r="N891" s="16">
        <f>M891*(1+Input!O1086)*N$12</f>
        <v>1.0510100500999999</v>
      </c>
      <c r="O891" s="16">
        <f>N891*(1+Input!P1086)*O$12</f>
        <v>1.0615201506009999</v>
      </c>
      <c r="P891" s="16">
        <f>O891*(1+Input!Q1086)*P$12</f>
        <v>1.0721353521070098</v>
      </c>
      <c r="Q891" s="16">
        <f>P891*(1+Input!R1086)*Q$12</f>
        <v>1.08285670562808</v>
      </c>
      <c r="R891" s="16">
        <f>Q891*(1+Input!S1086)*R$12</f>
        <v>1.0936852726843609</v>
      </c>
      <c r="S891" s="16">
        <f>R891*(1+Input!T1086)*S$12</f>
        <v>1.1046221254112045</v>
      </c>
      <c r="T891" s="16">
        <f>S891*(1+Input!U1086)*T$12</f>
        <v>1.1156683466653166</v>
      </c>
      <c r="U891" s="16">
        <f>T891*(1+Input!V1086)*U$12</f>
        <v>1.1268250301319698</v>
      </c>
      <c r="V891" s="16">
        <f>U891*(1+Input!W1086)*V$12</f>
        <v>1.1380932804332895</v>
      </c>
    </row>
    <row r="892" spans="2:22">
      <c r="B892" t="s">
        <v>479</v>
      </c>
      <c r="F892" s="19">
        <f>Input!J1091</f>
        <v>2.5705493999999999E-2</v>
      </c>
      <c r="G892" s="17" t="s">
        <v>315</v>
      </c>
    </row>
    <row r="893" spans="2:22">
      <c r="B893" s="28" t="s">
        <v>585</v>
      </c>
      <c r="C893" s="28"/>
      <c r="D893" s="28"/>
      <c r="E893" s="28"/>
      <c r="F893" s="28"/>
      <c r="G893" s="28"/>
      <c r="H893" s="28"/>
      <c r="I893" s="28"/>
      <c r="J893" s="47">
        <f>$F892*J891</f>
        <v>2.596254894E-2</v>
      </c>
      <c r="K893" s="47">
        <f t="shared" ref="K893:V893" si="285">$F892*K891</f>
        <v>2.6222174429399999E-2</v>
      </c>
      <c r="L893" s="47">
        <f t="shared" si="285"/>
        <v>2.6484396173693997E-2</v>
      </c>
      <c r="M893" s="47">
        <f t="shared" si="285"/>
        <v>2.6749240135430938E-2</v>
      </c>
      <c r="N893" s="47">
        <f t="shared" si="285"/>
        <v>2.7016732536785246E-2</v>
      </c>
      <c r="O893" s="47">
        <f t="shared" si="285"/>
        <v>2.7286899862153099E-2</v>
      </c>
      <c r="P893" s="47">
        <f t="shared" si="285"/>
        <v>2.7559768860774627E-2</v>
      </c>
      <c r="Q893" s="47">
        <f t="shared" si="285"/>
        <v>2.7835366549382377E-2</v>
      </c>
      <c r="R893" s="47">
        <f t="shared" si="285"/>
        <v>2.8113720214876202E-2</v>
      </c>
      <c r="S893" s="47">
        <f t="shared" si="285"/>
        <v>2.8394857417024966E-2</v>
      </c>
      <c r="T893" s="47">
        <f t="shared" si="285"/>
        <v>2.8678805991195214E-2</v>
      </c>
      <c r="U893" s="47">
        <f t="shared" si="285"/>
        <v>2.8965594051107168E-2</v>
      </c>
      <c r="V893" s="47">
        <f t="shared" si="285"/>
        <v>2.9255249991618239E-2</v>
      </c>
    </row>
    <row r="894" spans="2:22">
      <c r="G894"/>
    </row>
    <row r="895" spans="2:22">
      <c r="B895" s="2" t="s">
        <v>499</v>
      </c>
      <c r="G895"/>
    </row>
    <row r="896" spans="2:22">
      <c r="B896" s="407" t="s">
        <v>478</v>
      </c>
      <c r="G896"/>
      <c r="I896" s="13">
        <v>1</v>
      </c>
      <c r="J896" s="13">
        <f>I896*(1+Input!K1093)*J$12</f>
        <v>1.01</v>
      </c>
      <c r="K896" s="13">
        <f>J896*(1+Input!L1093)*K$12</f>
        <v>1.0201</v>
      </c>
      <c r="L896" s="13">
        <f>K896*(1+Input!M1093)*L$12</f>
        <v>1.0303009999999999</v>
      </c>
      <c r="M896" s="13">
        <f>L896*(1+Input!N1093)*M$12</f>
        <v>1.04060401</v>
      </c>
      <c r="N896" s="13">
        <f>M896*(1+Input!O1093)*N$12</f>
        <v>1.0510100500999999</v>
      </c>
      <c r="O896" s="13">
        <f>N896*(1+Input!P1093)*O$12</f>
        <v>1.0615201506009999</v>
      </c>
      <c r="P896" s="13">
        <f>O896*(1+Input!Q1093)*P$12</f>
        <v>1.0721353521070098</v>
      </c>
      <c r="Q896" s="13">
        <f>P896*(1+Input!R1093)*Q$12</f>
        <v>1.08285670562808</v>
      </c>
      <c r="R896" s="13">
        <f>Q896*(1+Input!S1093)*R$12</f>
        <v>1.0936852726843609</v>
      </c>
      <c r="S896" s="13">
        <f>R896*(1+Input!T1093)*S$12</f>
        <v>1.1046221254112045</v>
      </c>
      <c r="T896" s="13">
        <f>S896*(1+Input!U1093)*T$12</f>
        <v>1.1156683466653166</v>
      </c>
      <c r="U896" s="13">
        <f>T896*(1+Input!V1093)*U$12</f>
        <v>1.1268250301319698</v>
      </c>
      <c r="V896" s="13">
        <f>U896*(1+Input!W1093)*V$12</f>
        <v>1.1380932804332895</v>
      </c>
    </row>
    <row r="897" spans="2:22">
      <c r="B897" t="s">
        <v>479</v>
      </c>
      <c r="F897" s="19">
        <f>Input!J1098</f>
        <v>0.20696752500000001</v>
      </c>
      <c r="G897" s="17" t="s">
        <v>315</v>
      </c>
    </row>
    <row r="898" spans="2:22">
      <c r="B898" s="28" t="s">
        <v>585</v>
      </c>
      <c r="C898" s="28"/>
      <c r="D898" s="28"/>
      <c r="E898" s="28"/>
      <c r="F898" s="28"/>
      <c r="G898" s="28"/>
      <c r="H898" s="28"/>
      <c r="I898" s="28"/>
      <c r="J898" s="79">
        <f t="shared" ref="J898:V898" si="286">$F897*J896</f>
        <v>0.20903720025000003</v>
      </c>
      <c r="K898" s="79">
        <f t="shared" si="286"/>
        <v>0.21112757225250001</v>
      </c>
      <c r="L898" s="79">
        <f t="shared" si="286"/>
        <v>0.21323884797502499</v>
      </c>
      <c r="M898" s="79">
        <f t="shared" si="286"/>
        <v>0.21537123645477527</v>
      </c>
      <c r="N898" s="79">
        <f t="shared" si="286"/>
        <v>0.21752494881932299</v>
      </c>
      <c r="O898" s="79">
        <f t="shared" si="286"/>
        <v>0.21970019830751622</v>
      </c>
      <c r="P898" s="79">
        <f t="shared" si="286"/>
        <v>0.22189720029059137</v>
      </c>
      <c r="Q898" s="79">
        <f t="shared" si="286"/>
        <v>0.22411617229349731</v>
      </c>
      <c r="R898" s="79">
        <f t="shared" si="286"/>
        <v>0.22635733401643229</v>
      </c>
      <c r="S898" s="79">
        <f t="shared" si="286"/>
        <v>0.22862090735659663</v>
      </c>
      <c r="T898" s="79">
        <f t="shared" si="286"/>
        <v>0.2309071164301626</v>
      </c>
      <c r="U898" s="79">
        <f t="shared" si="286"/>
        <v>0.23321618759446422</v>
      </c>
      <c r="V898" s="79">
        <f t="shared" si="286"/>
        <v>0.23554834947040887</v>
      </c>
    </row>
    <row r="899" spans="2:22">
      <c r="G899"/>
    </row>
    <row r="900" spans="2:22">
      <c r="B900" s="2" t="s">
        <v>569</v>
      </c>
      <c r="G900"/>
    </row>
    <row r="901" spans="2:22">
      <c r="B901" s="407" t="s">
        <v>478</v>
      </c>
      <c r="G901"/>
      <c r="I901" s="13">
        <v>1</v>
      </c>
      <c r="J901" s="16">
        <f>I901*(1+Input!K1100)*J$12</f>
        <v>1.01</v>
      </c>
      <c r="K901" s="16">
        <f>J901*(1+Input!L1100)*K$12</f>
        <v>1.0201</v>
      </c>
      <c r="L901" s="16">
        <f>K901*(1+Input!M1100)*L$12</f>
        <v>1.0303009999999999</v>
      </c>
      <c r="M901" s="16">
        <f>L901*(1+Input!N1100)*M$12</f>
        <v>1.04060401</v>
      </c>
      <c r="N901" s="16">
        <f>M901*(1+Input!O1100)*N$12</f>
        <v>1.0510100500999999</v>
      </c>
      <c r="O901" s="16">
        <f>N901*(1+Input!P1100)*O$12</f>
        <v>1.0615201506009999</v>
      </c>
      <c r="P901" s="16">
        <f>O901*(1+Input!Q1100)*P$12</f>
        <v>1.0721353521070098</v>
      </c>
      <c r="Q901" s="16">
        <f>P901*(1+Input!R1100)*Q$12</f>
        <v>1.08285670562808</v>
      </c>
      <c r="R901" s="16">
        <f>Q901*(1+Input!S1100)*R$12</f>
        <v>1.0936852726843609</v>
      </c>
      <c r="S901" s="16">
        <f>R901*(1+Input!T1100)*S$12</f>
        <v>1.1046221254112045</v>
      </c>
      <c r="T901" s="16">
        <f>S901*(1+Input!U1100)*T$12</f>
        <v>1.1156683466653166</v>
      </c>
      <c r="U901" s="16">
        <f>T901*(1+Input!V1100)*U$12</f>
        <v>1.1268250301319698</v>
      </c>
      <c r="V901" s="16">
        <f>U901*(1+Input!W1100)*V$12</f>
        <v>1.1380932804332895</v>
      </c>
    </row>
    <row r="902" spans="2:22">
      <c r="B902" t="s">
        <v>479</v>
      </c>
      <c r="F902" s="19">
        <f>Input!J1105</f>
        <v>3.3630008000000003E-2</v>
      </c>
      <c r="G902" s="17" t="s">
        <v>315</v>
      </c>
    </row>
    <row r="903" spans="2:22">
      <c r="B903" s="28" t="s">
        <v>585</v>
      </c>
      <c r="C903" s="28"/>
      <c r="D903" s="28"/>
      <c r="E903" s="28"/>
      <c r="F903" s="28"/>
      <c r="G903" s="28"/>
      <c r="H903" s="28"/>
      <c r="I903" s="28"/>
      <c r="J903" s="79">
        <f t="shared" ref="J903:V903" si="287">$F902*J901</f>
        <v>3.396630808E-2</v>
      </c>
      <c r="K903" s="79">
        <f t="shared" si="287"/>
        <v>3.4305971160800003E-2</v>
      </c>
      <c r="L903" s="79">
        <f t="shared" si="287"/>
        <v>3.4649030872407997E-2</v>
      </c>
      <c r="M903" s="79">
        <f t="shared" si="287"/>
        <v>3.4995521181132083E-2</v>
      </c>
      <c r="N903" s="79">
        <f t="shared" si="287"/>
        <v>3.5345476392943401E-2</v>
      </c>
      <c r="O903" s="79">
        <f t="shared" si="287"/>
        <v>3.5698931156872837E-2</v>
      </c>
      <c r="P903" s="79">
        <f t="shared" si="287"/>
        <v>3.6055920468441562E-2</v>
      </c>
      <c r="Q903" s="79">
        <f t="shared" si="287"/>
        <v>3.641647967312598E-2</v>
      </c>
      <c r="R903" s="79">
        <f t="shared" si="287"/>
        <v>3.6780644469857245E-2</v>
      </c>
      <c r="S903" s="79">
        <f t="shared" si="287"/>
        <v>3.7148450914555813E-2</v>
      </c>
      <c r="T903" s="79">
        <f t="shared" si="287"/>
        <v>3.751993542370137E-2</v>
      </c>
      <c r="U903" s="79">
        <f t="shared" si="287"/>
        <v>3.7895134777938391E-2</v>
      </c>
      <c r="V903" s="79">
        <f t="shared" si="287"/>
        <v>3.8274086125717775E-2</v>
      </c>
    </row>
    <row r="904" spans="2:22">
      <c r="G904"/>
    </row>
    <row r="905" spans="2:22">
      <c r="B905" s="2" t="s">
        <v>501</v>
      </c>
      <c r="G905"/>
    </row>
    <row r="906" spans="2:22">
      <c r="B906" s="407" t="s">
        <v>478</v>
      </c>
      <c r="G906"/>
      <c r="I906" s="71">
        <v>1</v>
      </c>
      <c r="J906" s="16">
        <f>I906*(1+Input!K1107)*J$12</f>
        <v>1.01</v>
      </c>
      <c r="K906" s="16">
        <f>J906*(1+Input!L1107)*K$12</f>
        <v>1.0201</v>
      </c>
      <c r="L906" s="16">
        <f>K906*(1+Input!M1107)*L$12</f>
        <v>1.0303009999999999</v>
      </c>
      <c r="M906" s="16">
        <f>L906*(1+Input!N1107)*M$12</f>
        <v>1.04060401</v>
      </c>
      <c r="N906" s="16">
        <f>M906*(1+Input!O1107)*N$12</f>
        <v>1.0510100500999999</v>
      </c>
      <c r="O906" s="16">
        <f>N906*(1+Input!P1107)*O$12</f>
        <v>1.0615201506009999</v>
      </c>
      <c r="P906" s="16">
        <f>O906*(1+Input!Q1107)*P$12</f>
        <v>1.0721353521070098</v>
      </c>
      <c r="Q906" s="16">
        <f>P906*(1+Input!R1107)*Q$12</f>
        <v>1.08285670562808</v>
      </c>
      <c r="R906" s="16">
        <f>Q906*(1+Input!S1107)*R$12</f>
        <v>1.0936852726843609</v>
      </c>
      <c r="S906" s="16">
        <f>R906*(1+Input!T1107)*S$12</f>
        <v>1.1046221254112045</v>
      </c>
      <c r="T906" s="16">
        <f>S906*(1+Input!U1107)*T$12</f>
        <v>1.1156683466653166</v>
      </c>
      <c r="U906" s="16">
        <f>T906*(1+Input!V1107)*U$12</f>
        <v>1.1268250301319698</v>
      </c>
      <c r="V906" s="16">
        <f>U906*(1+Input!W1107)*V$12</f>
        <v>1.1380932804332895</v>
      </c>
    </row>
    <row r="907" spans="2:22">
      <c r="B907" t="s">
        <v>479</v>
      </c>
      <c r="F907" s="19">
        <f>Input!J1112</f>
        <v>9.6439427129999991E-2</v>
      </c>
      <c r="G907" s="17" t="s">
        <v>315</v>
      </c>
    </row>
    <row r="908" spans="2:22">
      <c r="B908" s="28" t="s">
        <v>585</v>
      </c>
      <c r="C908" s="28"/>
      <c r="D908" s="28"/>
      <c r="E908" s="28"/>
      <c r="F908" s="28"/>
      <c r="G908" s="28"/>
      <c r="H908" s="28"/>
      <c r="I908" s="28"/>
      <c r="J908" s="79">
        <f t="shared" ref="J908:V908" si="288">$F907*J906</f>
        <v>9.7403821401299995E-2</v>
      </c>
      <c r="K908" s="79">
        <f t="shared" si="288"/>
        <v>9.8377859615312993E-2</v>
      </c>
      <c r="L908" s="79">
        <f t="shared" si="288"/>
        <v>9.9361638211466111E-2</v>
      </c>
      <c r="M908" s="79">
        <f t="shared" si="288"/>
        <v>0.10035525459358079</v>
      </c>
      <c r="N908" s="79">
        <f t="shared" si="288"/>
        <v>0.10135880713951659</v>
      </c>
      <c r="O908" s="79">
        <f t="shared" si="288"/>
        <v>0.10237239521091175</v>
      </c>
      <c r="P908" s="79">
        <f t="shared" si="288"/>
        <v>0.10339611916302086</v>
      </c>
      <c r="Q908" s="79">
        <f t="shared" si="288"/>
        <v>0.10443008035465107</v>
      </c>
      <c r="R908" s="79">
        <f t="shared" si="288"/>
        <v>0.10547438115819759</v>
      </c>
      <c r="S908" s="79">
        <f t="shared" si="288"/>
        <v>0.10652912496977957</v>
      </c>
      <c r="T908" s="79">
        <f t="shared" si="288"/>
        <v>0.10759441621947737</v>
      </c>
      <c r="U908" s="79">
        <f t="shared" si="288"/>
        <v>0.10867036038167215</v>
      </c>
      <c r="V908" s="79">
        <f t="shared" si="288"/>
        <v>0.10975706398548887</v>
      </c>
    </row>
    <row r="909" spans="2:22">
      <c r="G909"/>
    </row>
    <row r="910" spans="2:22">
      <c r="B910" s="2" t="s">
        <v>500</v>
      </c>
      <c r="G910"/>
    </row>
    <row r="911" spans="2:22">
      <c r="B911" s="407" t="s">
        <v>478</v>
      </c>
      <c r="G911"/>
      <c r="I911" s="13">
        <v>1</v>
      </c>
      <c r="J911" s="16">
        <f>I911*(1+Input!K1114)*J$12</f>
        <v>1.01</v>
      </c>
      <c r="K911" s="16">
        <f>J911*(1+Input!L1114)*K$12</f>
        <v>1.0201</v>
      </c>
      <c r="L911" s="16">
        <f>K911*(1+Input!M1114)*L$12</f>
        <v>1.0303009999999999</v>
      </c>
      <c r="M911" s="16">
        <f>L911*(1+Input!N1114)*M$12</f>
        <v>1.04060401</v>
      </c>
      <c r="N911" s="16">
        <f>M911*(1+Input!O1114)*N$12</f>
        <v>1.0510100500999999</v>
      </c>
      <c r="O911" s="16">
        <f>N911*(1+Input!P1114)*O$12</f>
        <v>1.0615201506009999</v>
      </c>
      <c r="P911" s="16">
        <f>O911*(1+Input!Q1114)*P$12</f>
        <v>1.0721353521070098</v>
      </c>
      <c r="Q911" s="16">
        <f>P911*(1+Input!R1114)*Q$12</f>
        <v>1.08285670562808</v>
      </c>
      <c r="R911" s="16">
        <f>Q911*(1+Input!S1114)*R$12</f>
        <v>1.0936852726843609</v>
      </c>
      <c r="S911" s="16">
        <f>R911*(1+Input!T1114)*S$12</f>
        <v>1.1046221254112045</v>
      </c>
      <c r="T911" s="16">
        <f>S911*(1+Input!U1114)*T$12</f>
        <v>1.1156683466653166</v>
      </c>
      <c r="U911" s="16">
        <f>T911*(1+Input!V1114)*U$12</f>
        <v>1.1268250301319698</v>
      </c>
      <c r="V911" s="16">
        <f>U911*(1+Input!W1114)*V$12</f>
        <v>1.1380932804332895</v>
      </c>
    </row>
    <row r="912" spans="2:22">
      <c r="B912" t="s">
        <v>479</v>
      </c>
      <c r="F912" s="19">
        <f>Input!J1119</f>
        <v>1.65E-3</v>
      </c>
      <c r="G912" s="17" t="s">
        <v>315</v>
      </c>
    </row>
    <row r="913" spans="2:22">
      <c r="B913" s="28" t="s">
        <v>585</v>
      </c>
      <c r="C913" s="28"/>
      <c r="D913" s="28"/>
      <c r="E913" s="28"/>
      <c r="F913" s="28"/>
      <c r="G913" s="28"/>
      <c r="H913" s="28"/>
      <c r="I913" s="28"/>
      <c r="J913" s="79">
        <f t="shared" ref="J913:V913" si="289">$F912*J911</f>
        <v>1.6665E-3</v>
      </c>
      <c r="K913" s="79">
        <f t="shared" si="289"/>
        <v>1.6831649999999999E-3</v>
      </c>
      <c r="L913" s="79">
        <f t="shared" si="289"/>
        <v>1.6999966499999998E-3</v>
      </c>
      <c r="M913" s="79">
        <f t="shared" si="289"/>
        <v>1.7169966165000001E-3</v>
      </c>
      <c r="N913" s="79">
        <f t="shared" si="289"/>
        <v>1.7341665826649999E-3</v>
      </c>
      <c r="O913" s="79">
        <f t="shared" si="289"/>
        <v>1.7515082484916499E-3</v>
      </c>
      <c r="P913" s="79">
        <f t="shared" si="289"/>
        <v>1.7690233309765662E-3</v>
      </c>
      <c r="Q913" s="79">
        <f t="shared" si="289"/>
        <v>1.786713564286332E-3</v>
      </c>
      <c r="R913" s="79">
        <f t="shared" si="289"/>
        <v>1.8045806999291954E-3</v>
      </c>
      <c r="S913" s="79">
        <f t="shared" si="289"/>
        <v>1.8226265069284874E-3</v>
      </c>
      <c r="T913" s="79">
        <f t="shared" si="289"/>
        <v>1.8408527719977724E-3</v>
      </c>
      <c r="U913" s="79">
        <f t="shared" si="289"/>
        <v>1.85926129971775E-3</v>
      </c>
      <c r="V913" s="79">
        <f t="shared" si="289"/>
        <v>1.8778539127149276E-3</v>
      </c>
    </row>
    <row r="914" spans="2:22">
      <c r="G914"/>
    </row>
    <row r="915" spans="2:22">
      <c r="B915" s="2" t="s">
        <v>600</v>
      </c>
      <c r="G915"/>
    </row>
    <row r="916" spans="2:22">
      <c r="B916" s="407" t="s">
        <v>478</v>
      </c>
      <c r="G916"/>
      <c r="I916" s="13">
        <v>1</v>
      </c>
      <c r="J916" s="13">
        <f>I916*(1+Input!K1121)*J$12</f>
        <v>1.01</v>
      </c>
      <c r="K916" s="13">
        <f>J916*(1+Input!L1121)*K$12</f>
        <v>1.0201</v>
      </c>
      <c r="L916" s="13">
        <f>K916*(1+Input!M1121)*L$12</f>
        <v>1.0303009999999999</v>
      </c>
      <c r="M916" s="13">
        <f>L916*(1+Input!N1121)*M$12</f>
        <v>1.04060401</v>
      </c>
      <c r="N916" s="13">
        <f>M916*(1+Input!O1121)*N$12</f>
        <v>1.0510100500999999</v>
      </c>
      <c r="O916" s="13">
        <f>N916*(1+Input!P1121)*O$12</f>
        <v>1.0615201506009999</v>
      </c>
      <c r="P916" s="13">
        <f>O916*(1+Input!Q1121)*P$12</f>
        <v>1.0721353521070098</v>
      </c>
      <c r="Q916" s="13">
        <f>P916*(1+Input!R1121)*Q$12</f>
        <v>1.08285670562808</v>
      </c>
      <c r="R916" s="13">
        <f>Q916*(1+Input!S1121)*R$12</f>
        <v>1.0936852726843609</v>
      </c>
      <c r="S916" s="13">
        <f>R916*(1+Input!T1121)*S$12</f>
        <v>1.1046221254112045</v>
      </c>
      <c r="T916" s="13">
        <f>S916*(1+Input!U1121)*T$12</f>
        <v>1.1156683466653166</v>
      </c>
      <c r="U916" s="13">
        <f>T916*(1+Input!V1121)*U$12</f>
        <v>1.1268250301319698</v>
      </c>
      <c r="V916" s="13">
        <f>U916*(1+Input!W1121)*V$12</f>
        <v>1.1380932804332895</v>
      </c>
    </row>
    <row r="917" spans="2:22">
      <c r="B917" t="s">
        <v>479</v>
      </c>
      <c r="F917" s="19">
        <f>Input!J1126</f>
        <v>5.16E-2</v>
      </c>
      <c r="G917" s="17" t="s">
        <v>315</v>
      </c>
    </row>
    <row r="918" spans="2:22">
      <c r="B918" s="28" t="s">
        <v>585</v>
      </c>
      <c r="C918" s="28"/>
      <c r="D918" s="28"/>
      <c r="E918" s="28"/>
      <c r="F918" s="28"/>
      <c r="G918" s="28"/>
      <c r="H918" s="28"/>
      <c r="I918" s="28"/>
      <c r="J918" s="79">
        <f t="shared" ref="J918:V918" si="290">$F917*J916</f>
        <v>5.2116000000000003E-2</v>
      </c>
      <c r="K918" s="79">
        <f t="shared" si="290"/>
        <v>5.2637160000000002E-2</v>
      </c>
      <c r="L918" s="79">
        <f t="shared" si="290"/>
        <v>5.3163531599999994E-2</v>
      </c>
      <c r="M918" s="79">
        <f t="shared" si="290"/>
        <v>5.3695166916000001E-2</v>
      </c>
      <c r="N918" s="79">
        <f t="shared" si="290"/>
        <v>5.423211858516E-2</v>
      </c>
      <c r="O918" s="79">
        <f t="shared" si="290"/>
        <v>5.4774439771011596E-2</v>
      </c>
      <c r="P918" s="79">
        <f t="shared" si="290"/>
        <v>5.5322184168721707E-2</v>
      </c>
      <c r="Q918" s="79">
        <f t="shared" si="290"/>
        <v>5.5875406010408926E-2</v>
      </c>
      <c r="R918" s="79">
        <f t="shared" si="290"/>
        <v>5.6434160070513023E-2</v>
      </c>
      <c r="S918" s="79">
        <f t="shared" si="290"/>
        <v>5.6998501671218151E-2</v>
      </c>
      <c r="T918" s="79">
        <f t="shared" si="290"/>
        <v>5.7568486687930333E-2</v>
      </c>
      <c r="U918" s="79">
        <f t="shared" si="290"/>
        <v>5.8144171554809637E-2</v>
      </c>
      <c r="V918" s="79">
        <f t="shared" si="290"/>
        <v>5.8725613270357739E-2</v>
      </c>
    </row>
    <row r="919" spans="2:22">
      <c r="G919"/>
    </row>
    <row r="920" spans="2:22" ht="24" thickBot="1">
      <c r="B920" s="14" t="s">
        <v>299</v>
      </c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</row>
    <row r="921" spans="2:22">
      <c r="G921"/>
    </row>
    <row r="922" spans="2:22">
      <c r="B922" t="s">
        <v>37</v>
      </c>
      <c r="F922" s="19">
        <v>2027</v>
      </c>
      <c r="G922"/>
      <c r="J922" s="13">
        <f>IF(J$8&lt;$F922,0,1)*J$12</f>
        <v>0</v>
      </c>
      <c r="K922" s="13">
        <f t="shared" ref="K922:V922" si="291">IF(K$8&lt;$F922,0,1)*K$12</f>
        <v>0</v>
      </c>
      <c r="L922" s="13">
        <f t="shared" si="291"/>
        <v>0</v>
      </c>
      <c r="M922" s="13">
        <f t="shared" si="291"/>
        <v>1</v>
      </c>
      <c r="N922" s="13">
        <f t="shared" si="291"/>
        <v>1</v>
      </c>
      <c r="O922" s="13">
        <f t="shared" si="291"/>
        <v>1</v>
      </c>
      <c r="P922" s="13">
        <f t="shared" si="291"/>
        <v>1</v>
      </c>
      <c r="Q922" s="13">
        <f t="shared" si="291"/>
        <v>1</v>
      </c>
      <c r="R922" s="13">
        <f t="shared" si="291"/>
        <v>1</v>
      </c>
      <c r="S922" s="13">
        <f t="shared" si="291"/>
        <v>1</v>
      </c>
      <c r="T922" s="13">
        <f t="shared" si="291"/>
        <v>1</v>
      </c>
      <c r="U922" s="13">
        <f t="shared" si="291"/>
        <v>1</v>
      </c>
      <c r="V922" s="13">
        <f t="shared" si="291"/>
        <v>1</v>
      </c>
    </row>
    <row r="923" spans="2:22">
      <c r="G923"/>
    </row>
    <row r="924" spans="2:22" ht="15.75">
      <c r="B924" s="15" t="s">
        <v>601</v>
      </c>
      <c r="G924"/>
      <c r="M924">
        <f>M926-L926</f>
        <v>0</v>
      </c>
      <c r="N924">
        <f>N926-M926</f>
        <v>255000</v>
      </c>
      <c r="O924">
        <f>O926-N926</f>
        <v>100000</v>
      </c>
      <c r="P924">
        <f>P926-O926</f>
        <v>145000</v>
      </c>
      <c r="Q924">
        <f>Q926-P926</f>
        <v>0</v>
      </c>
    </row>
    <row r="925" spans="2:22" ht="15.75">
      <c r="B925" s="41" t="s">
        <v>602</v>
      </c>
      <c r="F925" s="19">
        <f>F922</f>
        <v>2027</v>
      </c>
      <c r="G925"/>
      <c r="I925">
        <v>1</v>
      </c>
      <c r="J925" s="77">
        <f>IF(J$8&lt;$F925,0,IF(J$8=$F925,1,I925*(1+Input!K1140)*J$12))</f>
        <v>0</v>
      </c>
      <c r="K925" s="77">
        <f>IF(K$8&lt;$F925,0,IF(K$8=$F925,1,J925*(1+Input!L1140)*K$12))</f>
        <v>0</v>
      </c>
      <c r="L925" s="77">
        <f>IF(L$8&lt;$F925,0,IF(L$8=$F925,1,K925*(1+Input!M1140)*L$12))</f>
        <v>0</v>
      </c>
      <c r="M925" s="77">
        <f>IF(M$8&lt;$F925,0,IF(M$8=$F925,1,L925*(1+Input!N1140)*M$12))</f>
        <v>1</v>
      </c>
      <c r="N925" s="77">
        <f>IF(N$8&lt;$F925,0,IF(N$8=$F925,1,M925*(1+Input!O1140)*N$12))</f>
        <v>1.03</v>
      </c>
      <c r="O925" s="77">
        <f>IF(O$8&lt;$F925,0,IF(O$8=$F925,1,N925*(1+Input!P1140)*O$12))</f>
        <v>1.0609</v>
      </c>
      <c r="P925" s="77">
        <f>IF(P$8&lt;$F925,0,IF(P$8=$F925,1,O925*(1+Input!Q1140)*P$12))</f>
        <v>1.092727</v>
      </c>
      <c r="Q925" s="77">
        <f>IF(Q$8&lt;$F925,0,IF(Q$8=$F925,1,P925*(1+Input!R1140)*Q$12))</f>
        <v>1.1255088100000001</v>
      </c>
      <c r="R925" s="77">
        <f>IF(R$8&lt;$F925,0,IF(R$8=$F925,1,Q925*(1+Input!S1140)*R$12))</f>
        <v>1.1592740743000001</v>
      </c>
      <c r="S925" s="77">
        <f>IF(S$8&lt;$F925,0,IF(S$8=$F925,1,R925*(1+Input!T1140)*S$12))</f>
        <v>1.1940522965290001</v>
      </c>
      <c r="T925" s="77">
        <f>IF(T$8&lt;$F925,0,IF(T$8=$F925,1,S925*(1+Input!U1140)*T$12))</f>
        <v>1.2298738654248702</v>
      </c>
      <c r="U925" s="77">
        <f>IF(U$8&lt;$F925,0,IF(U$8=$F925,1,T925*(1+Input!V1140)*U$12))</f>
        <v>1.2667700813876164</v>
      </c>
      <c r="V925" s="77">
        <f>IF(V$8&lt;$F925,0,IF(V$8=$F925,1,U925*(1+Input!W1140)*V$12))</f>
        <v>1.3047731838292449</v>
      </c>
    </row>
    <row r="926" spans="2:22">
      <c r="B926" s="407" t="s">
        <v>407</v>
      </c>
      <c r="G926" s="17" t="s">
        <v>603</v>
      </c>
      <c r="J926">
        <f>Input!K1133</f>
        <v>0</v>
      </c>
      <c r="K926">
        <f>Input!L1133</f>
        <v>0</v>
      </c>
      <c r="L926">
        <f>Input!M1133</f>
        <v>0</v>
      </c>
      <c r="M926">
        <f>Input!N1133</f>
        <v>0</v>
      </c>
      <c r="N926">
        <f>Input!O1133</f>
        <v>255000</v>
      </c>
      <c r="O926">
        <f>Input!P1133</f>
        <v>355000</v>
      </c>
      <c r="P926">
        <f>Input!Q1133</f>
        <v>500000</v>
      </c>
      <c r="Q926">
        <f>Input!R1133</f>
        <v>500000</v>
      </c>
      <c r="R926">
        <f>Input!S1133</f>
        <v>500000</v>
      </c>
      <c r="S926">
        <f>Input!T1133</f>
        <v>500000</v>
      </c>
      <c r="T926">
        <f>Input!U1133</f>
        <v>500000</v>
      </c>
      <c r="U926">
        <f>Input!V1133</f>
        <v>500000</v>
      </c>
      <c r="V926">
        <f>Input!W1133</f>
        <v>500000</v>
      </c>
    </row>
    <row r="927" spans="2:22">
      <c r="B927" s="407" t="s">
        <v>465</v>
      </c>
      <c r="F927" s="6">
        <f>Input!N1138</f>
        <v>0</v>
      </c>
      <c r="G927" s="17" t="s">
        <v>604</v>
      </c>
      <c r="J927">
        <f>$F927*J925</f>
        <v>0</v>
      </c>
      <c r="K927">
        <f t="shared" ref="K927:V927" si="292">$F927*K925</f>
        <v>0</v>
      </c>
      <c r="L927">
        <f t="shared" si="292"/>
        <v>0</v>
      </c>
      <c r="M927">
        <f t="shared" si="292"/>
        <v>0</v>
      </c>
      <c r="N927">
        <f t="shared" si="292"/>
        <v>0</v>
      </c>
      <c r="O927">
        <f t="shared" si="292"/>
        <v>0</v>
      </c>
      <c r="P927">
        <f t="shared" si="292"/>
        <v>0</v>
      </c>
      <c r="Q927">
        <f t="shared" si="292"/>
        <v>0</v>
      </c>
      <c r="R927">
        <f t="shared" si="292"/>
        <v>0</v>
      </c>
      <c r="S927">
        <f t="shared" si="292"/>
        <v>0</v>
      </c>
      <c r="T927">
        <f t="shared" si="292"/>
        <v>0</v>
      </c>
      <c r="U927">
        <f t="shared" si="292"/>
        <v>0</v>
      </c>
      <c r="V927">
        <f t="shared" si="292"/>
        <v>0</v>
      </c>
    </row>
    <row r="928" spans="2:22">
      <c r="B928" s="28" t="s">
        <v>9</v>
      </c>
      <c r="C928" s="28"/>
      <c r="D928" s="28"/>
      <c r="E928" s="28"/>
      <c r="F928" s="28"/>
      <c r="G928" s="28"/>
      <c r="H928" s="28"/>
      <c r="I928" s="48">
        <f>SUM(J928:V928)</f>
        <v>0</v>
      </c>
      <c r="J928" s="76">
        <f t="shared" ref="J928:V928" si="293">J926*J927*Month_Year/Billion</f>
        <v>0</v>
      </c>
      <c r="K928" s="76">
        <f t="shared" si="293"/>
        <v>0</v>
      </c>
      <c r="L928" s="76">
        <f t="shared" si="293"/>
        <v>0</v>
      </c>
      <c r="M928" s="93">
        <f>M926*M927*Month_Year*0.25/Billion</f>
        <v>0</v>
      </c>
      <c r="N928" s="76">
        <f t="shared" si="293"/>
        <v>0</v>
      </c>
      <c r="O928" s="76">
        <f t="shared" si="293"/>
        <v>0</v>
      </c>
      <c r="P928" s="76">
        <f t="shared" si="293"/>
        <v>0</v>
      </c>
      <c r="Q928" s="76">
        <f t="shared" si="293"/>
        <v>0</v>
      </c>
      <c r="R928" s="76">
        <f t="shared" si="293"/>
        <v>0</v>
      </c>
      <c r="S928" s="76">
        <f t="shared" si="293"/>
        <v>0</v>
      </c>
      <c r="T928" s="76">
        <f t="shared" si="293"/>
        <v>0</v>
      </c>
      <c r="U928" s="76">
        <f t="shared" si="293"/>
        <v>0</v>
      </c>
      <c r="V928" s="76">
        <f t="shared" si="293"/>
        <v>0</v>
      </c>
    </row>
    <row r="929" spans="2:22">
      <c r="G929"/>
      <c r="I929" s="21"/>
      <c r="K929" s="21"/>
      <c r="L929" s="21"/>
      <c r="M929" s="21"/>
      <c r="N929" s="21"/>
    </row>
    <row r="930" spans="2:22" ht="15.75">
      <c r="B930" s="41" t="s">
        <v>605</v>
      </c>
      <c r="F930" s="19">
        <v>2028</v>
      </c>
      <c r="G930" s="23">
        <f>108*USD_IDR*Million/10^12</f>
        <v>1.7566200000000001</v>
      </c>
      <c r="I930">
        <v>1</v>
      </c>
      <c r="J930" s="70">
        <f>IF(J$8&lt;$F930,0,IF(J$8=$F930,1,I930*(1+Input!K1153)*J$12))</f>
        <v>0</v>
      </c>
      <c r="K930" s="70">
        <f>IF(K$8&lt;$F930,0,IF(K$8=$F930,1,J930*(1+Input!L1153)*K$12))</f>
        <v>0</v>
      </c>
      <c r="L930" s="77">
        <f>IF(L$8&lt;$F930,0,IF(L$8=$F930,1,K930*(1+Input!M1153)*L$12))</f>
        <v>0</v>
      </c>
      <c r="M930" s="77">
        <f>IF(M$8&lt;$F930,0,IF(M$8=$F930,1,L930*(1+Input!N1153)*M$12))</f>
        <v>0</v>
      </c>
      <c r="N930" s="70">
        <f>IF(N$8&lt;$F930,0,IF(N$8=$F930,1,M930*(1+Input!O1153)*N$12))</f>
        <v>1</v>
      </c>
      <c r="O930" s="77">
        <f>IF(O$8&lt;$F930,0,IF(O$8=$F930,1,N930*(1+Input!P1153)*O$12))</f>
        <v>1.03</v>
      </c>
      <c r="P930" s="77">
        <f>IF(P$8&lt;$F930,0,IF(P$8=$F930,1,O930*(1+Input!Q1153)*P$12))</f>
        <v>1.0609</v>
      </c>
      <c r="Q930" s="70">
        <f>IF(Q$8&lt;$F930,0,IF(Q$8=$F930,1,P930*(1+Input!R1153)*Q$12))</f>
        <v>1.092727</v>
      </c>
      <c r="R930" s="70">
        <f>IF(R$8&lt;$F930,0,IF(R$8=$F930,1,Q930*(1+Input!S1153)*R$12))</f>
        <v>1.1255088100000001</v>
      </c>
      <c r="S930" s="70">
        <f>IF(S$8&lt;$F930,0,IF(S$8=$F930,1,R930*(1+Input!T1153)*S$12))</f>
        <v>1.1592740743000001</v>
      </c>
      <c r="T930" s="70">
        <f>IF(T$8&lt;$F930,0,IF(T$8=$F930,1,S930*(1+Input!U1153)*T$12))</f>
        <v>1.1940522965290001</v>
      </c>
      <c r="U930" s="70">
        <f>IF(U$8&lt;$F930,0,IF(U$8=$F930,1,T930*(1+Input!V1153)*U$12))</f>
        <v>1.2298738654248702</v>
      </c>
      <c r="V930" s="70">
        <f>IF(V$8&lt;$F930,0,IF(V$8=$F930,1,U930*(1+Input!W1153)*V$12))</f>
        <v>1.2667700813876164</v>
      </c>
    </row>
    <row r="931" spans="2:22" ht="15.75">
      <c r="B931" s="41" t="s">
        <v>606</v>
      </c>
      <c r="G931" s="17" t="s">
        <v>325</v>
      </c>
      <c r="J931" s="21">
        <f>Input!K1146</f>
        <v>0</v>
      </c>
      <c r="K931" s="21">
        <f>Input!L1146</f>
        <v>0</v>
      </c>
      <c r="L931" s="21">
        <f>Input!M1146</f>
        <v>0</v>
      </c>
      <c r="M931" s="39">
        <v>0.15</v>
      </c>
      <c r="N931" s="39">
        <v>0.15</v>
      </c>
      <c r="O931" s="39">
        <f t="shared" ref="O931:T931" si="294">N931</f>
        <v>0.15</v>
      </c>
      <c r="P931" s="39">
        <f t="shared" si="294"/>
        <v>0.15</v>
      </c>
      <c r="Q931" s="39">
        <f t="shared" si="294"/>
        <v>0.15</v>
      </c>
      <c r="R931" s="39">
        <f t="shared" si="294"/>
        <v>0.15</v>
      </c>
      <c r="S931" s="39">
        <f t="shared" si="294"/>
        <v>0.15</v>
      </c>
      <c r="T931" s="39">
        <f t="shared" si="294"/>
        <v>0.15</v>
      </c>
      <c r="U931" s="21">
        <f>Input!V1146</f>
        <v>1.4999999999999999E-2</v>
      </c>
      <c r="V931" s="21">
        <f>Input!W1146</f>
        <v>1.4999999999999999E-2</v>
      </c>
    </row>
    <row r="932" spans="2:22">
      <c r="B932" s="407" t="s">
        <v>607</v>
      </c>
      <c r="G932" s="17" t="s">
        <v>608</v>
      </c>
      <c r="J932">
        <f t="shared" ref="J932:V932" si="295">J37</f>
        <v>3666225.2759999996</v>
      </c>
      <c r="K932">
        <f t="shared" si="295"/>
        <v>3776212.0342799998</v>
      </c>
      <c r="L932">
        <f t="shared" si="295"/>
        <v>3889498.3953083996</v>
      </c>
      <c r="M932">
        <f t="shared" si="295"/>
        <v>4006183.3471676521</v>
      </c>
      <c r="N932">
        <f t="shared" si="295"/>
        <v>4126368.847582682</v>
      </c>
      <c r="O932">
        <f t="shared" si="295"/>
        <v>5250159.9130101623</v>
      </c>
      <c r="P932">
        <f t="shared" si="295"/>
        <v>5877664.7104004677</v>
      </c>
      <c r="Q932">
        <f t="shared" si="295"/>
        <v>7208994.6517124819</v>
      </c>
      <c r="R932">
        <f t="shared" si="295"/>
        <v>6644264.4912638562</v>
      </c>
      <c r="S932">
        <f t="shared" si="295"/>
        <v>7783592.4260017723</v>
      </c>
      <c r="T932">
        <f t="shared" si="295"/>
        <v>7927100.1987818247</v>
      </c>
      <c r="U932">
        <f t="shared" si="295"/>
        <v>5074913.2047452796</v>
      </c>
      <c r="V932">
        <f t="shared" si="295"/>
        <v>8227160.6008876376</v>
      </c>
    </row>
    <row r="933" spans="2:22">
      <c r="B933" s="407" t="s">
        <v>609</v>
      </c>
      <c r="G933" s="17" t="s">
        <v>608</v>
      </c>
      <c r="J933">
        <f>J932*J931</f>
        <v>0</v>
      </c>
      <c r="K933">
        <f t="shared" ref="K933:V933" si="296">K932*K931</f>
        <v>0</v>
      </c>
      <c r="L933">
        <f t="shared" si="296"/>
        <v>0</v>
      </c>
      <c r="M933">
        <f t="shared" si="296"/>
        <v>600927.50207514782</v>
      </c>
      <c r="N933">
        <f t="shared" si="296"/>
        <v>618955.32713740226</v>
      </c>
      <c r="O933">
        <f t="shared" si="296"/>
        <v>787523.98695152428</v>
      </c>
      <c r="P933">
        <f t="shared" si="296"/>
        <v>881649.70656007016</v>
      </c>
      <c r="Q933">
        <f t="shared" si="296"/>
        <v>1081349.1977568723</v>
      </c>
      <c r="R933">
        <f t="shared" si="296"/>
        <v>996639.67368957843</v>
      </c>
      <c r="S933">
        <f t="shared" si="296"/>
        <v>1167538.8639002659</v>
      </c>
      <c r="T933">
        <f t="shared" si="296"/>
        <v>1189065.0298172736</v>
      </c>
      <c r="U933">
        <f t="shared" si="296"/>
        <v>76123.698071179198</v>
      </c>
      <c r="V933">
        <f t="shared" si="296"/>
        <v>123407.40901331457</v>
      </c>
    </row>
    <row r="934" spans="2:22">
      <c r="B934" s="407" t="s">
        <v>465</v>
      </c>
      <c r="F934" s="16">
        <f>Input!O1151</f>
        <v>55000</v>
      </c>
      <c r="G934" s="17" t="s">
        <v>610</v>
      </c>
      <c r="J934">
        <f>$F934*J930</f>
        <v>0</v>
      </c>
      <c r="K934">
        <f t="shared" ref="K934:V934" si="297">$F934*K930</f>
        <v>0</v>
      </c>
      <c r="L934">
        <f t="shared" si="297"/>
        <v>0</v>
      </c>
      <c r="M934">
        <f t="shared" si="297"/>
        <v>0</v>
      </c>
      <c r="N934">
        <f t="shared" si="297"/>
        <v>55000</v>
      </c>
      <c r="O934">
        <f t="shared" si="297"/>
        <v>56650</v>
      </c>
      <c r="P934">
        <f t="shared" si="297"/>
        <v>58349.5</v>
      </c>
      <c r="Q934">
        <f t="shared" si="297"/>
        <v>60099.985000000001</v>
      </c>
      <c r="R934">
        <f t="shared" si="297"/>
        <v>61902.984550000008</v>
      </c>
      <c r="S934">
        <f t="shared" si="297"/>
        <v>63760.074086500004</v>
      </c>
      <c r="T934">
        <f t="shared" si="297"/>
        <v>65672.876309095009</v>
      </c>
      <c r="U934">
        <f t="shared" si="297"/>
        <v>67643.062598367862</v>
      </c>
      <c r="V934">
        <f t="shared" si="297"/>
        <v>69672.354476318898</v>
      </c>
    </row>
    <row r="935" spans="2:22">
      <c r="B935" s="28" t="s">
        <v>9</v>
      </c>
      <c r="C935" s="28"/>
      <c r="D935" s="28"/>
      <c r="E935" s="28"/>
      <c r="F935" s="28"/>
      <c r="G935" s="28"/>
      <c r="H935" s="28"/>
      <c r="I935" s="48">
        <f>SUM(J935:V935)</f>
        <v>5076.7517664119741</v>
      </c>
      <c r="J935" s="76">
        <f t="shared" ref="J935:V935" si="298">J933*J934*Month_Year/Billion</f>
        <v>0</v>
      </c>
      <c r="K935" s="76">
        <f t="shared" si="298"/>
        <v>0</v>
      </c>
      <c r="L935" s="76">
        <f t="shared" si="298"/>
        <v>0</v>
      </c>
      <c r="M935" s="76">
        <f t="shared" si="298"/>
        <v>0</v>
      </c>
      <c r="N935" s="76">
        <f t="shared" si="298"/>
        <v>408.51051591068551</v>
      </c>
      <c r="O935" s="76">
        <f t="shared" si="298"/>
        <v>535.3588063296462</v>
      </c>
      <c r="P935" s="76">
        <f t="shared" si="298"/>
        <v>617.32583463512174</v>
      </c>
      <c r="Q935" s="76">
        <f t="shared" si="298"/>
        <v>779.86884677940066</v>
      </c>
      <c r="R935" s="76">
        <f t="shared" si="298"/>
        <v>740.33964386787625</v>
      </c>
      <c r="S935" s="76">
        <f t="shared" si="298"/>
        <v>893.30837353378809</v>
      </c>
      <c r="T935" s="76">
        <f t="shared" si="298"/>
        <v>937.07184751992213</v>
      </c>
      <c r="U935" s="76">
        <f t="shared" si="298"/>
        <v>61.790880886176346</v>
      </c>
      <c r="V935" s="76">
        <f t="shared" si="298"/>
        <v>103.17701694935668</v>
      </c>
    </row>
    <row r="936" spans="2:22">
      <c r="G936"/>
      <c r="I936" s="21"/>
      <c r="K936" s="21"/>
      <c r="L936" s="21"/>
      <c r="M936" s="21"/>
      <c r="N936" s="21"/>
    </row>
    <row r="937" spans="2:22" ht="15.75">
      <c r="B937" s="41" t="s">
        <v>611</v>
      </c>
      <c r="F937" s="19">
        <v>2029</v>
      </c>
      <c r="G937"/>
      <c r="I937">
        <v>1</v>
      </c>
      <c r="J937" s="77">
        <f>IF(J$8&lt;$F937,0,IF(J$8=$F937,1,I937*(1+Input!K1166)*J$12))</f>
        <v>0</v>
      </c>
      <c r="K937" s="77">
        <f>IF(K$8&lt;$F937,0,IF(K$8=$F937,1,J937*(1+Input!L1166)*K$12))</f>
        <v>0</v>
      </c>
      <c r="L937" s="77">
        <f>IF(L$8&lt;$F937,0,IF(L$8=$F937,1,K937*(1+Input!M1166)*L$12))</f>
        <v>0</v>
      </c>
      <c r="M937" s="77">
        <f>IF(M$8&lt;$F937,0,IF(M$8=$F937,1,L937*(1+Input!N1166)*M$12))</f>
        <v>0</v>
      </c>
      <c r="N937" s="77">
        <f>IF(N$8&lt;$F937,0,IF(N$8=$F937,1,M937*(1+Input!O1166)*N$12))</f>
        <v>0</v>
      </c>
      <c r="O937" s="77">
        <f>IF(O$8&lt;$F937,0,IF(O$8=$F937,1,N937*(1+Input!P1166)*O$12))</f>
        <v>1</v>
      </c>
      <c r="P937" s="77">
        <f>IF(P$8&lt;$F937,0,IF(P$8=$F937,1,O937*(1+Input!Q1166)*P$12))</f>
        <v>1.03</v>
      </c>
      <c r="Q937" s="77">
        <f>IF(Q$8&lt;$F937,0,IF(Q$8=$F937,1,P937*(1+Input!R1166)*Q$12))</f>
        <v>1.0609</v>
      </c>
      <c r="R937" s="77">
        <f>IF(R$8&lt;$F937,0,IF(R$8=$F937,1,Q937*(1+Input!S1166)*R$12))</f>
        <v>1.092727</v>
      </c>
      <c r="S937" s="77">
        <f>IF(S$8&lt;$F937,0,IF(S$8=$F937,1,R937*(1+Input!T1166)*S$12))</f>
        <v>1.1255088100000001</v>
      </c>
      <c r="T937" s="77">
        <f>IF(T$8&lt;$F937,0,IF(T$8=$F937,1,S937*(1+Input!U1166)*T$12))</f>
        <v>1.1592740743000001</v>
      </c>
      <c r="U937" s="77">
        <f>IF(U$8&lt;$F937,0,IF(U$8=$F937,1,T937*(1+Input!V1166)*U$12))</f>
        <v>1.1940522965290001</v>
      </c>
      <c r="V937" s="77">
        <f>IF(V$8&lt;$F937,0,IF(V$8=$F937,1,U937*(1+Input!W1166)*V$12))</f>
        <v>1.2298738654248702</v>
      </c>
    </row>
    <row r="938" spans="2:22" ht="15.75">
      <c r="B938" s="41" t="s">
        <v>606</v>
      </c>
      <c r="G938" s="17" t="s">
        <v>325</v>
      </c>
      <c r="J938" s="21">
        <f>Input!K1159</f>
        <v>0</v>
      </c>
      <c r="K938" s="21">
        <f>Input!L1159</f>
        <v>0</v>
      </c>
      <c r="L938" s="21">
        <f>Input!M1159</f>
        <v>0</v>
      </c>
      <c r="M938" s="39">
        <v>0.15</v>
      </c>
      <c r="N938" s="39">
        <v>0.15</v>
      </c>
      <c r="O938" s="39">
        <f t="shared" ref="O938:T938" si="299">N938</f>
        <v>0.15</v>
      </c>
      <c r="P938" s="39">
        <f t="shared" si="299"/>
        <v>0.15</v>
      </c>
      <c r="Q938" s="39">
        <f t="shared" si="299"/>
        <v>0.15</v>
      </c>
      <c r="R938" s="39">
        <f t="shared" si="299"/>
        <v>0.15</v>
      </c>
      <c r="S938" s="39">
        <f t="shared" si="299"/>
        <v>0.15</v>
      </c>
      <c r="T938" s="39">
        <f t="shared" si="299"/>
        <v>0.15</v>
      </c>
      <c r="U938" s="21">
        <f>Input!V1159</f>
        <v>0.05</v>
      </c>
      <c r="V938" s="21">
        <f>Input!W1159</f>
        <v>0.05</v>
      </c>
    </row>
    <row r="939" spans="2:22">
      <c r="B939" s="407" t="s">
        <v>607</v>
      </c>
      <c r="G939" s="17" t="s">
        <v>608</v>
      </c>
      <c r="J939">
        <f>J932</f>
        <v>3666225.2759999996</v>
      </c>
      <c r="K939">
        <f t="shared" ref="K939:V939" si="300">K932</f>
        <v>3776212.0342799998</v>
      </c>
      <c r="L939">
        <f t="shared" si="300"/>
        <v>3889498.3953083996</v>
      </c>
      <c r="M939">
        <f t="shared" si="300"/>
        <v>4006183.3471676521</v>
      </c>
      <c r="N939">
        <f t="shared" si="300"/>
        <v>4126368.847582682</v>
      </c>
      <c r="O939">
        <f t="shared" si="300"/>
        <v>5250159.9130101623</v>
      </c>
      <c r="P939">
        <f t="shared" si="300"/>
        <v>5877664.7104004677</v>
      </c>
      <c r="Q939">
        <f t="shared" si="300"/>
        <v>7208994.6517124819</v>
      </c>
      <c r="R939">
        <f t="shared" si="300"/>
        <v>6644264.4912638562</v>
      </c>
      <c r="S939">
        <f t="shared" si="300"/>
        <v>7783592.4260017723</v>
      </c>
      <c r="T939">
        <f t="shared" si="300"/>
        <v>7927100.1987818247</v>
      </c>
      <c r="U939">
        <f t="shared" si="300"/>
        <v>5074913.2047452796</v>
      </c>
      <c r="V939">
        <f t="shared" si="300"/>
        <v>8227160.6008876376</v>
      </c>
    </row>
    <row r="940" spans="2:22">
      <c r="B940" s="407" t="s">
        <v>609</v>
      </c>
      <c r="G940" s="17" t="s">
        <v>608</v>
      </c>
      <c r="J940">
        <f>J939*J938</f>
        <v>0</v>
      </c>
      <c r="K940">
        <f t="shared" ref="K940:V940" si="301">K939*K938</f>
        <v>0</v>
      </c>
      <c r="L940">
        <f t="shared" si="301"/>
        <v>0</v>
      </c>
      <c r="M940">
        <f t="shared" si="301"/>
        <v>600927.50207514782</v>
      </c>
      <c r="N940">
        <f t="shared" si="301"/>
        <v>618955.32713740226</v>
      </c>
      <c r="O940">
        <f t="shared" si="301"/>
        <v>787523.98695152428</v>
      </c>
      <c r="P940">
        <f t="shared" si="301"/>
        <v>881649.70656007016</v>
      </c>
      <c r="Q940">
        <f t="shared" si="301"/>
        <v>1081349.1977568723</v>
      </c>
      <c r="R940">
        <f t="shared" si="301"/>
        <v>996639.67368957843</v>
      </c>
      <c r="S940">
        <f t="shared" si="301"/>
        <v>1167538.8639002659</v>
      </c>
      <c r="T940">
        <f t="shared" si="301"/>
        <v>1189065.0298172736</v>
      </c>
      <c r="U940">
        <f t="shared" si="301"/>
        <v>253745.660237264</v>
      </c>
      <c r="V940">
        <f t="shared" si="301"/>
        <v>411358.03004438191</v>
      </c>
    </row>
    <row r="941" spans="2:22">
      <c r="B941" s="407" t="s">
        <v>465</v>
      </c>
      <c r="F941" s="16">
        <f>Input!P1164</f>
        <v>65000</v>
      </c>
      <c r="G941" s="17" t="s">
        <v>610</v>
      </c>
      <c r="J941">
        <f>$F$941*J937</f>
        <v>0</v>
      </c>
      <c r="K941">
        <f t="shared" ref="K941:V941" si="302">$F$941*K937</f>
        <v>0</v>
      </c>
      <c r="L941">
        <f t="shared" si="302"/>
        <v>0</v>
      </c>
      <c r="M941">
        <f t="shared" si="302"/>
        <v>0</v>
      </c>
      <c r="N941">
        <f t="shared" si="302"/>
        <v>0</v>
      </c>
      <c r="O941">
        <f t="shared" si="302"/>
        <v>65000</v>
      </c>
      <c r="P941">
        <f t="shared" si="302"/>
        <v>66950</v>
      </c>
      <c r="Q941">
        <f t="shared" si="302"/>
        <v>68958.5</v>
      </c>
      <c r="R941">
        <f t="shared" si="302"/>
        <v>71027.255000000005</v>
      </c>
      <c r="S941">
        <f t="shared" si="302"/>
        <v>73158.072650000002</v>
      </c>
      <c r="T941">
        <f t="shared" si="302"/>
        <v>75352.814829499999</v>
      </c>
      <c r="U941">
        <f t="shared" si="302"/>
        <v>77613.39927438501</v>
      </c>
      <c r="V941">
        <f t="shared" si="302"/>
        <v>79941.801252616569</v>
      </c>
    </row>
    <row r="942" spans="2:22">
      <c r="B942" s="28" t="s">
        <v>9</v>
      </c>
      <c r="C942" s="28"/>
      <c r="D942" s="28"/>
      <c r="E942" s="28"/>
      <c r="F942" s="28"/>
      <c r="G942" s="28"/>
      <c r="H942" s="28"/>
      <c r="I942" s="48">
        <f>SUM(J942:V942)</f>
        <v>5797.984332820939</v>
      </c>
      <c r="J942" s="76">
        <f t="shared" ref="J942:V942" si="303">J941*J940*Month_Year/Billion</f>
        <v>0</v>
      </c>
      <c r="K942" s="76">
        <f t="shared" si="303"/>
        <v>0</v>
      </c>
      <c r="L942" s="76">
        <f t="shared" si="303"/>
        <v>0</v>
      </c>
      <c r="M942" s="76">
        <f t="shared" si="303"/>
        <v>0</v>
      </c>
      <c r="N942" s="76">
        <f t="shared" si="303"/>
        <v>0</v>
      </c>
      <c r="O942" s="76">
        <f t="shared" si="303"/>
        <v>614.26870982218895</v>
      </c>
      <c r="P942" s="76">
        <f t="shared" si="303"/>
        <v>708.31737425036033</v>
      </c>
      <c r="Q942" s="76">
        <f t="shared" si="303"/>
        <v>894.81862384220733</v>
      </c>
      <c r="R942" s="76">
        <f t="shared" si="303"/>
        <v>849.46296295519778</v>
      </c>
      <c r="S942" s="76">
        <f t="shared" si="303"/>
        <v>1024.9787163229694</v>
      </c>
      <c r="T942" s="76">
        <f t="shared" si="303"/>
        <v>1075.1927641446589</v>
      </c>
      <c r="U942" s="76">
        <f t="shared" si="303"/>
        <v>236.32875890564654</v>
      </c>
      <c r="V942" s="76">
        <f t="shared" si="303"/>
        <v>394.61642257771018</v>
      </c>
    </row>
    <row r="943" spans="2:22">
      <c r="G943"/>
      <c r="I943" s="21"/>
      <c r="K943" s="21"/>
      <c r="L943" s="21"/>
      <c r="M943" s="21"/>
      <c r="N943" s="21"/>
    </row>
    <row r="944" spans="2:22" ht="15.75">
      <c r="B944" s="41" t="s">
        <v>612</v>
      </c>
      <c r="F944" s="19">
        <v>2028</v>
      </c>
      <c r="G944"/>
      <c r="I944">
        <v>1</v>
      </c>
      <c r="J944" s="70">
        <f>IF(J$8&lt;$F944,0,IF(J$8=$F944,1,I944*(1+Input!K1143)*J$12))</f>
        <v>0</v>
      </c>
      <c r="K944" s="70">
        <f>IF(K$8&lt;$F944,0,IF(K$8=$F944,1,J944*(1+Input!L1143)*K$12))</f>
        <v>0</v>
      </c>
      <c r="L944" s="70">
        <f>IF(L$8&lt;$F944,0,IF(L$8=$F944,1,K944*(1+Input!M1143)*L$12))</f>
        <v>0</v>
      </c>
      <c r="M944" s="77">
        <f>IF(M$8&lt;$F944,0,IF(M$8=$F944,1,L944*(1+Input!N1143)*M$12))</f>
        <v>0</v>
      </c>
      <c r="N944" s="77">
        <f>IF(N$8&lt;$F944,0,IF(N$8=$F944,1,M944*(1+Input!O1143)*N$12))</f>
        <v>1</v>
      </c>
      <c r="O944" s="70">
        <f>IF(O$8&lt;$F944,0,IF(O$8=$F944,1,N944*(1+Input!P1143)*O$12))</f>
        <v>1</v>
      </c>
      <c r="P944" s="70">
        <f>IF(P$8&lt;$F944,0,IF(P$8=$F944,1,O944*(1+Input!Q1143)*P$12))</f>
        <v>1</v>
      </c>
      <c r="Q944" s="70">
        <f>IF(Q$8&lt;$F944,0,IF(Q$8=$F944,1,P944*(1+Input!R1143)*Q$12))</f>
        <v>1</v>
      </c>
      <c r="R944" s="70">
        <f>IF(R$8&lt;$F944,0,IF(R$8=$F944,1,Q944*(1+Input!S1143)*R$12))</f>
        <v>1</v>
      </c>
      <c r="S944" s="70">
        <f>IF(S$8&lt;$F944,0,IF(S$8=$F944,1,R944*(1+Input!T1143)*S$12))</f>
        <v>1</v>
      </c>
      <c r="T944" s="70">
        <f>IF(T$8&lt;$F944,0,IF(T$8=$F944,1,S944*(1+Input!U1143)*T$12))</f>
        <v>1</v>
      </c>
      <c r="U944" s="70">
        <f>IF(U$8&lt;$F944,0,IF(U$8=$F944,1,T944*(1+Input!V1143)*U$12))</f>
        <v>1</v>
      </c>
      <c r="V944" s="70">
        <f>IF(V$8&lt;$F944,0,IF(V$8=$F944,1,U944*(1+Input!W1143)*V$12))</f>
        <v>1</v>
      </c>
    </row>
    <row r="945" spans="2:22">
      <c r="B945" s="407" t="s">
        <v>407</v>
      </c>
      <c r="F945" s="16">
        <f>Input!K1148</f>
        <v>0</v>
      </c>
      <c r="G945" s="17" t="s">
        <v>315</v>
      </c>
      <c r="J945">
        <f>Input!K1172</f>
        <v>0</v>
      </c>
      <c r="K945">
        <f>Input!L1172</f>
        <v>0</v>
      </c>
      <c r="L945">
        <f>Input!M1172</f>
        <v>0</v>
      </c>
      <c r="M945">
        <f>Input!N1172</f>
        <v>0</v>
      </c>
      <c r="N945">
        <f>Input!O1172</f>
        <v>0</v>
      </c>
      <c r="O945">
        <f>Input!P1172</f>
        <v>1000000</v>
      </c>
      <c r="P945">
        <f>Input!Q1172</f>
        <v>1500000</v>
      </c>
      <c r="Q945">
        <f>Input!R1172</f>
        <v>2700000</v>
      </c>
      <c r="R945">
        <f>Input!S1172</f>
        <v>2000000</v>
      </c>
      <c r="S945">
        <f>Input!T1172</f>
        <v>3000000</v>
      </c>
      <c r="T945">
        <f>Input!U1172</f>
        <v>3000000</v>
      </c>
      <c r="U945">
        <f>Input!V1172</f>
        <v>3000000</v>
      </c>
      <c r="V945">
        <f>Input!W1172</f>
        <v>3000000</v>
      </c>
    </row>
    <row r="946" spans="2:22">
      <c r="B946" s="407" t="s">
        <v>465</v>
      </c>
      <c r="J946">
        <f>Input!K1177</f>
        <v>0</v>
      </c>
      <c r="K946">
        <f>Input!L1177</f>
        <v>0</v>
      </c>
      <c r="L946">
        <f>Input!M1177</f>
        <v>0</v>
      </c>
      <c r="M946">
        <f>Input!N1177</f>
        <v>0</v>
      </c>
      <c r="N946">
        <f>Input!O1177</f>
        <v>15000</v>
      </c>
      <c r="O946">
        <f>Input!P1177</f>
        <v>15000</v>
      </c>
      <c r="P946">
        <f>Input!Q1177</f>
        <v>15000</v>
      </c>
      <c r="Q946">
        <f>Input!R1177</f>
        <v>15000</v>
      </c>
      <c r="R946">
        <f>Input!S1177</f>
        <v>15000</v>
      </c>
      <c r="S946">
        <f>Input!T1177</f>
        <v>15000</v>
      </c>
      <c r="T946">
        <f>Input!U1177</f>
        <v>15000</v>
      </c>
      <c r="U946">
        <f>Input!V1177</f>
        <v>15000</v>
      </c>
      <c r="V946">
        <f>Input!W1177</f>
        <v>15000</v>
      </c>
    </row>
    <row r="947" spans="2:22">
      <c r="B947" s="28" t="s">
        <v>9</v>
      </c>
      <c r="C947" s="28"/>
      <c r="D947" s="28"/>
      <c r="E947" s="28"/>
      <c r="F947" s="28"/>
      <c r="G947" s="28"/>
      <c r="H947" s="28"/>
      <c r="I947" s="48">
        <f>SUM(J947:V947)</f>
        <v>288</v>
      </c>
      <c r="J947" s="76">
        <f>J945*J946/Billion*J944</f>
        <v>0</v>
      </c>
      <c r="K947" s="76">
        <f t="shared" ref="K947:V947" si="304">K945*K946/Billion*K944</f>
        <v>0</v>
      </c>
      <c r="L947" s="76">
        <f t="shared" si="304"/>
        <v>0</v>
      </c>
      <c r="M947" s="76">
        <f t="shared" si="304"/>
        <v>0</v>
      </c>
      <c r="N947" s="76">
        <f t="shared" si="304"/>
        <v>0</v>
      </c>
      <c r="O947" s="76">
        <f t="shared" si="304"/>
        <v>15</v>
      </c>
      <c r="P947" s="76">
        <f t="shared" si="304"/>
        <v>22.5</v>
      </c>
      <c r="Q947" s="76">
        <f t="shared" si="304"/>
        <v>40.5</v>
      </c>
      <c r="R947" s="76">
        <f t="shared" si="304"/>
        <v>30</v>
      </c>
      <c r="S947" s="76">
        <f t="shared" si="304"/>
        <v>45</v>
      </c>
      <c r="T947" s="76">
        <f t="shared" si="304"/>
        <v>45</v>
      </c>
      <c r="U947" s="76">
        <f t="shared" si="304"/>
        <v>45</v>
      </c>
      <c r="V947" s="76">
        <f t="shared" si="304"/>
        <v>45</v>
      </c>
    </row>
    <row r="948" spans="2:22">
      <c r="G948"/>
      <c r="I948" s="21"/>
      <c r="K948" s="21"/>
      <c r="L948" s="21"/>
      <c r="M948" s="21"/>
      <c r="N948" s="21"/>
    </row>
    <row r="949" spans="2:22">
      <c r="G949"/>
      <c r="I949" s="21"/>
      <c r="K949" s="21"/>
      <c r="L949" s="21"/>
      <c r="M949" s="21"/>
      <c r="N949" s="21"/>
    </row>
    <row r="950" spans="2:22">
      <c r="B950" t="s">
        <v>578</v>
      </c>
      <c r="G950"/>
      <c r="I950" s="21"/>
      <c r="J950" s="23">
        <f t="shared" ref="J950:V950" si="305">SUM(J928,J935,J942,J947)</f>
        <v>0</v>
      </c>
      <c r="K950" s="23">
        <f t="shared" si="305"/>
        <v>0</v>
      </c>
      <c r="L950" s="23">
        <f t="shared" si="305"/>
        <v>0</v>
      </c>
      <c r="M950" s="23">
        <f t="shared" si="305"/>
        <v>0</v>
      </c>
      <c r="N950" s="23">
        <f t="shared" si="305"/>
        <v>408.51051591068551</v>
      </c>
      <c r="O950" s="23">
        <f t="shared" si="305"/>
        <v>1164.6275161518352</v>
      </c>
      <c r="P950" s="23">
        <f t="shared" si="305"/>
        <v>1348.1432088854822</v>
      </c>
      <c r="Q950" s="23">
        <f t="shared" si="305"/>
        <v>1715.1874706216081</v>
      </c>
      <c r="R950" s="23">
        <f t="shared" si="305"/>
        <v>1619.802606823074</v>
      </c>
      <c r="S950" s="23">
        <f t="shared" si="305"/>
        <v>1963.2870898567576</v>
      </c>
      <c r="T950" s="23">
        <f t="shared" si="305"/>
        <v>2057.264611664581</v>
      </c>
      <c r="U950" s="23">
        <f t="shared" si="305"/>
        <v>343.11963979182286</v>
      </c>
      <c r="V950" s="23">
        <f t="shared" si="305"/>
        <v>542.79343952706688</v>
      </c>
    </row>
    <row r="951" spans="2:22">
      <c r="G951"/>
      <c r="I951" s="21"/>
    </row>
    <row r="952" spans="2:22" ht="15.75">
      <c r="B952" s="15" t="s">
        <v>613</v>
      </c>
      <c r="G952"/>
      <c r="I952" s="21"/>
      <c r="J952">
        <f>SUM(J959,J964,J969)</f>
        <v>0</v>
      </c>
      <c r="K952">
        <f t="shared" ref="K952:V952" si="306">SUM(K959,K964,K969)</f>
        <v>0</v>
      </c>
      <c r="L952">
        <f t="shared" si="306"/>
        <v>0</v>
      </c>
      <c r="M952">
        <f t="shared" si="306"/>
        <v>37.432500000000012</v>
      </c>
      <c r="N952">
        <f t="shared" si="306"/>
        <v>37.432500000000012</v>
      </c>
      <c r="O952">
        <f t="shared" si="306"/>
        <v>37.432500000000012</v>
      </c>
      <c r="P952">
        <f t="shared" si="306"/>
        <v>37.432500000000012</v>
      </c>
      <c r="Q952">
        <f t="shared" si="306"/>
        <v>37.432500000000012</v>
      </c>
      <c r="R952">
        <f t="shared" si="306"/>
        <v>37.432500000000012</v>
      </c>
      <c r="S952">
        <f t="shared" si="306"/>
        <v>37.432500000000012</v>
      </c>
      <c r="T952">
        <f t="shared" si="306"/>
        <v>37.432500000000012</v>
      </c>
      <c r="U952">
        <f t="shared" si="306"/>
        <v>37.432500000000012</v>
      </c>
      <c r="V952">
        <f t="shared" si="306"/>
        <v>37.432500000000012</v>
      </c>
    </row>
    <row r="953" spans="2:22" ht="15.75">
      <c r="B953" s="15" t="s">
        <v>45</v>
      </c>
      <c r="G953"/>
      <c r="I953" s="21"/>
      <c r="J953">
        <f>IF(J954&gt;0%,1,0)</f>
        <v>0</v>
      </c>
      <c r="K953">
        <f t="shared" ref="K953:V953" si="307">IF(K954&gt;0%,1,0)</f>
        <v>0</v>
      </c>
      <c r="L953">
        <f t="shared" si="307"/>
        <v>0</v>
      </c>
      <c r="M953">
        <f t="shared" si="307"/>
        <v>1</v>
      </c>
      <c r="N953">
        <f t="shared" si="307"/>
        <v>1</v>
      </c>
      <c r="O953">
        <f t="shared" si="307"/>
        <v>1</v>
      </c>
      <c r="P953">
        <f t="shared" si="307"/>
        <v>1</v>
      </c>
      <c r="Q953">
        <f t="shared" si="307"/>
        <v>1</v>
      </c>
      <c r="R953">
        <f t="shared" si="307"/>
        <v>1</v>
      </c>
      <c r="S953">
        <f t="shared" si="307"/>
        <v>1</v>
      </c>
      <c r="T953">
        <f t="shared" si="307"/>
        <v>1</v>
      </c>
      <c r="U953">
        <f t="shared" si="307"/>
        <v>1</v>
      </c>
      <c r="V953">
        <f t="shared" si="307"/>
        <v>1</v>
      </c>
    </row>
    <row r="954" spans="2:22" ht="15.75">
      <c r="B954" s="41" t="s">
        <v>614</v>
      </c>
      <c r="G954"/>
      <c r="I954" s="21"/>
      <c r="J954" s="74">
        <f>Input!K1202</f>
        <v>0</v>
      </c>
      <c r="K954" s="21">
        <f>Input!L1202</f>
        <v>0</v>
      </c>
      <c r="L954" s="21">
        <f>Input!M1202</f>
        <v>0</v>
      </c>
      <c r="M954" s="21">
        <f>Input!N1202</f>
        <v>1</v>
      </c>
      <c r="N954" s="74">
        <f>Input!O1202</f>
        <v>1</v>
      </c>
      <c r="O954" s="74">
        <f>Input!P1202</f>
        <v>1</v>
      </c>
      <c r="P954" s="21">
        <f>Input!Q1202</f>
        <v>1</v>
      </c>
      <c r="Q954" s="21">
        <f>Input!R1202</f>
        <v>1</v>
      </c>
      <c r="R954" s="21">
        <f>Input!S1202</f>
        <v>1</v>
      </c>
      <c r="S954" s="21">
        <f>Input!T1202</f>
        <v>1</v>
      </c>
      <c r="T954" s="74">
        <f>Input!U1202</f>
        <v>1</v>
      </c>
      <c r="U954" s="21">
        <f>Input!V1202</f>
        <v>1</v>
      </c>
      <c r="V954" s="21">
        <f>Input!W1202</f>
        <v>1</v>
      </c>
    </row>
    <row r="955" spans="2:22">
      <c r="G955"/>
    </row>
    <row r="956" spans="2:22">
      <c r="B956" s="2" t="s">
        <v>615</v>
      </c>
      <c r="E956" s="58" t="s">
        <v>514</v>
      </c>
      <c r="F956" s="58" t="s">
        <v>515</v>
      </c>
      <c r="G956"/>
      <c r="I956" s="22"/>
    </row>
    <row r="957" spans="2:22">
      <c r="B957" s="407" t="s">
        <v>516</v>
      </c>
      <c r="E957" s="6">
        <f>Input!J1197</f>
        <v>90</v>
      </c>
      <c r="F957" s="30">
        <f>Input!M1186</f>
        <v>40.024592683676609</v>
      </c>
      <c r="G957" s="17" t="s">
        <v>176</v>
      </c>
    </row>
    <row r="958" spans="2:22">
      <c r="B958" s="407" t="s">
        <v>517</v>
      </c>
      <c r="F958" s="74">
        <f>Input!J1193</f>
        <v>0</v>
      </c>
      <c r="G958" s="17" t="s">
        <v>315</v>
      </c>
    </row>
    <row r="959" spans="2:22">
      <c r="B959" s="28" t="s">
        <v>476</v>
      </c>
      <c r="C959" s="28"/>
      <c r="D959" s="28"/>
      <c r="E959" s="28"/>
      <c r="F959" s="28"/>
      <c r="G959" s="28"/>
      <c r="H959" s="28"/>
      <c r="I959" s="49">
        <f>SUM(J959:V959)</f>
        <v>0</v>
      </c>
      <c r="J959" s="47">
        <f t="shared" ref="J959:V959" si="308">($F957*$F958*Million)/$E957*USD_IDR/Billion*J954</f>
        <v>0</v>
      </c>
      <c r="K959" s="47">
        <f t="shared" si="308"/>
        <v>0</v>
      </c>
      <c r="L959" s="47">
        <f t="shared" si="308"/>
        <v>0</v>
      </c>
      <c r="M959" s="47">
        <f t="shared" si="308"/>
        <v>0</v>
      </c>
      <c r="N959" s="47">
        <f t="shared" si="308"/>
        <v>0</v>
      </c>
      <c r="O959" s="47">
        <f t="shared" si="308"/>
        <v>0</v>
      </c>
      <c r="P959" s="47">
        <f t="shared" si="308"/>
        <v>0</v>
      </c>
      <c r="Q959" s="47">
        <f t="shared" si="308"/>
        <v>0</v>
      </c>
      <c r="R959" s="47">
        <f t="shared" si="308"/>
        <v>0</v>
      </c>
      <c r="S959" s="47">
        <f t="shared" si="308"/>
        <v>0</v>
      </c>
      <c r="T959" s="47">
        <f t="shared" si="308"/>
        <v>0</v>
      </c>
      <c r="U959" s="47">
        <f t="shared" si="308"/>
        <v>0</v>
      </c>
      <c r="V959" s="47">
        <f t="shared" si="308"/>
        <v>0</v>
      </c>
    </row>
    <row r="960" spans="2:22">
      <c r="G960"/>
    </row>
    <row r="961" spans="2:22">
      <c r="B961" s="2" t="s">
        <v>616</v>
      </c>
      <c r="E961" s="58" t="s">
        <v>514</v>
      </c>
      <c r="F961" s="58" t="s">
        <v>515</v>
      </c>
      <c r="G961"/>
      <c r="I961" s="22"/>
    </row>
    <row r="962" spans="2:22">
      <c r="B962" s="407" t="s">
        <v>516</v>
      </c>
      <c r="E962" s="16">
        <f>Input!J1198</f>
        <v>20</v>
      </c>
      <c r="F962" s="30">
        <f>F957</f>
        <v>40.024592683676609</v>
      </c>
      <c r="G962" s="17" t="s">
        <v>315</v>
      </c>
    </row>
    <row r="963" spans="2:22">
      <c r="B963" s="407" t="s">
        <v>517</v>
      </c>
      <c r="F963" s="21">
        <f>Input!J1194</f>
        <v>0.9</v>
      </c>
      <c r="G963" s="17" t="s">
        <v>315</v>
      </c>
    </row>
    <row r="964" spans="2:22">
      <c r="B964" s="28" t="s">
        <v>476</v>
      </c>
      <c r="C964" s="28"/>
      <c r="D964" s="28"/>
      <c r="E964" s="28"/>
      <c r="F964" s="28"/>
      <c r="G964" s="28"/>
      <c r="H964" s="28"/>
      <c r="I964" s="49">
        <f>SUM(J964:V964)</f>
        <v>292.9500000000001</v>
      </c>
      <c r="J964" s="47">
        <f t="shared" ref="J964:V964" si="309">($F962*$F963*Million)/$E962*USD_IDR/Billion*J954</f>
        <v>0</v>
      </c>
      <c r="K964" s="47">
        <f t="shared" si="309"/>
        <v>0</v>
      </c>
      <c r="L964" s="47">
        <f t="shared" si="309"/>
        <v>0</v>
      </c>
      <c r="M964" s="47">
        <f t="shared" si="309"/>
        <v>29.295000000000009</v>
      </c>
      <c r="N964" s="47">
        <f t="shared" si="309"/>
        <v>29.295000000000009</v>
      </c>
      <c r="O964" s="47">
        <f t="shared" si="309"/>
        <v>29.295000000000009</v>
      </c>
      <c r="P964" s="47">
        <f t="shared" si="309"/>
        <v>29.295000000000009</v>
      </c>
      <c r="Q964" s="47">
        <f t="shared" si="309"/>
        <v>29.295000000000009</v>
      </c>
      <c r="R964" s="47">
        <f t="shared" si="309"/>
        <v>29.295000000000009</v>
      </c>
      <c r="S964" s="47">
        <f t="shared" si="309"/>
        <v>29.295000000000009</v>
      </c>
      <c r="T964" s="47">
        <f t="shared" si="309"/>
        <v>29.295000000000009</v>
      </c>
      <c r="U964" s="47">
        <f t="shared" si="309"/>
        <v>29.295000000000009</v>
      </c>
      <c r="V964" s="47">
        <f t="shared" si="309"/>
        <v>29.295000000000009</v>
      </c>
    </row>
    <row r="965" spans="2:22">
      <c r="G965"/>
    </row>
    <row r="966" spans="2:22">
      <c r="B966" s="2" t="s">
        <v>617</v>
      </c>
      <c r="E966" s="58" t="s">
        <v>514</v>
      </c>
      <c r="F966" s="58" t="s">
        <v>515</v>
      </c>
      <c r="G966"/>
      <c r="I966" s="22"/>
    </row>
    <row r="967" spans="2:22">
      <c r="B967" s="407" t="s">
        <v>516</v>
      </c>
      <c r="E967" s="16">
        <f>Input!J1199</f>
        <v>8</v>
      </c>
      <c r="F967" s="30">
        <f>F962</f>
        <v>40.024592683676609</v>
      </c>
      <c r="G967" s="17" t="s">
        <v>315</v>
      </c>
    </row>
    <row r="968" spans="2:22">
      <c r="B968" s="407" t="s">
        <v>517</v>
      </c>
      <c r="F968" s="21">
        <f>Input!J1195</f>
        <v>0.1</v>
      </c>
      <c r="G968" s="17" t="s">
        <v>315</v>
      </c>
    </row>
    <row r="969" spans="2:22">
      <c r="B969" s="28" t="s">
        <v>476</v>
      </c>
      <c r="C969" s="28"/>
      <c r="D969" s="28"/>
      <c r="E969" s="28"/>
      <c r="F969" s="28"/>
      <c r="G969" s="28"/>
      <c r="H969" s="28"/>
      <c r="I969" s="49">
        <f>SUM(J969:V969)</f>
        <v>81.375000000000014</v>
      </c>
      <c r="J969" s="47">
        <f t="shared" ref="J969:V969" si="310">($F967*$F968*Million)/$E967*USD_IDR/Billion*J954</f>
        <v>0</v>
      </c>
      <c r="K969" s="47">
        <f t="shared" si="310"/>
        <v>0</v>
      </c>
      <c r="L969" s="47">
        <f t="shared" si="310"/>
        <v>0</v>
      </c>
      <c r="M969" s="47">
        <f t="shared" si="310"/>
        <v>8.1375000000000011</v>
      </c>
      <c r="N969" s="47">
        <f t="shared" si="310"/>
        <v>8.1375000000000011</v>
      </c>
      <c r="O969" s="47">
        <f t="shared" si="310"/>
        <v>8.1375000000000011</v>
      </c>
      <c r="P969" s="47">
        <f t="shared" si="310"/>
        <v>8.1375000000000011</v>
      </c>
      <c r="Q969" s="47">
        <f t="shared" si="310"/>
        <v>8.1375000000000011</v>
      </c>
      <c r="R969" s="47">
        <f t="shared" si="310"/>
        <v>8.1375000000000011</v>
      </c>
      <c r="S969" s="47">
        <f t="shared" si="310"/>
        <v>8.1375000000000011</v>
      </c>
      <c r="T969" s="47">
        <f t="shared" si="310"/>
        <v>8.1375000000000011</v>
      </c>
      <c r="U969" s="47">
        <f t="shared" si="310"/>
        <v>8.1375000000000011</v>
      </c>
      <c r="V969" s="47">
        <f t="shared" si="310"/>
        <v>8.1375000000000011</v>
      </c>
    </row>
    <row r="970" spans="2:22">
      <c r="G970"/>
    </row>
    <row r="971" spans="2:22">
      <c r="B971" s="2" t="s">
        <v>473</v>
      </c>
      <c r="G971"/>
      <c r="J971">
        <f>SUM(J975,J980)</f>
        <v>0</v>
      </c>
      <c r="K971">
        <f t="shared" ref="K971:V971" si="311">SUM(K975,K980)</f>
        <v>0</v>
      </c>
      <c r="L971">
        <f t="shared" si="311"/>
        <v>0</v>
      </c>
      <c r="M971">
        <f t="shared" si="311"/>
        <v>0</v>
      </c>
      <c r="N971">
        <f t="shared" si="311"/>
        <v>122.55315477320565</v>
      </c>
      <c r="O971">
        <f t="shared" si="311"/>
        <v>347.4129158625164</v>
      </c>
      <c r="P971">
        <f t="shared" si="311"/>
        <v>401.39496416344883</v>
      </c>
      <c r="Q971">
        <f t="shared" si="311"/>
        <v>508.69000006227151</v>
      </c>
      <c r="R971">
        <f t="shared" si="311"/>
        <v>481.77107461028635</v>
      </c>
      <c r="S971">
        <f t="shared" si="311"/>
        <v>582.4834406120732</v>
      </c>
      <c r="T971">
        <f t="shared" si="311"/>
        <v>610.84706271250263</v>
      </c>
      <c r="U971">
        <f t="shared" si="311"/>
        <v>98.474955842481407</v>
      </c>
      <c r="V971">
        <f t="shared" si="311"/>
        <v>156.8589810470859</v>
      </c>
    </row>
    <row r="972" spans="2:22">
      <c r="B972" s="2" t="s">
        <v>618</v>
      </c>
      <c r="G972"/>
    </row>
    <row r="973" spans="2:22">
      <c r="B973" s="407" t="s">
        <v>619</v>
      </c>
      <c r="G973" s="17" t="s">
        <v>315</v>
      </c>
      <c r="J973">
        <f t="shared" ref="J973:V973" si="312">SUM(J935,J942)</f>
        <v>0</v>
      </c>
      <c r="K973">
        <f t="shared" si="312"/>
        <v>0</v>
      </c>
      <c r="L973">
        <f t="shared" si="312"/>
        <v>0</v>
      </c>
      <c r="M973">
        <f t="shared" si="312"/>
        <v>0</v>
      </c>
      <c r="N973">
        <f t="shared" si="312"/>
        <v>408.51051591068551</v>
      </c>
      <c r="O973">
        <f t="shared" si="312"/>
        <v>1149.6275161518352</v>
      </c>
      <c r="P973">
        <f t="shared" si="312"/>
        <v>1325.6432088854822</v>
      </c>
      <c r="Q973">
        <f t="shared" si="312"/>
        <v>1674.6874706216081</v>
      </c>
      <c r="R973">
        <f t="shared" si="312"/>
        <v>1589.802606823074</v>
      </c>
      <c r="S973">
        <f t="shared" si="312"/>
        <v>1918.2870898567576</v>
      </c>
      <c r="T973">
        <f t="shared" si="312"/>
        <v>2012.264611664581</v>
      </c>
      <c r="U973">
        <f t="shared" si="312"/>
        <v>298.11963979182286</v>
      </c>
      <c r="V973">
        <f t="shared" si="312"/>
        <v>497.79343952706688</v>
      </c>
    </row>
    <row r="974" spans="2:22">
      <c r="B974" s="407" t="s">
        <v>620</v>
      </c>
      <c r="G974" s="17" t="s">
        <v>325</v>
      </c>
      <c r="J974" s="21">
        <f>Input!K1207</f>
        <v>0</v>
      </c>
      <c r="K974" s="21">
        <f>Input!L1207</f>
        <v>0.3</v>
      </c>
      <c r="L974" s="21">
        <f>Input!M1207</f>
        <v>0.3</v>
      </c>
      <c r="M974" s="21">
        <f>Input!N1207</f>
        <v>0.3</v>
      </c>
      <c r="N974" s="21">
        <f>Input!O1207</f>
        <v>0.3</v>
      </c>
      <c r="O974" s="21">
        <f>Input!P1207</f>
        <v>0.3</v>
      </c>
      <c r="P974" s="21">
        <f>Input!Q1207</f>
        <v>0.3</v>
      </c>
      <c r="Q974" s="21">
        <f>Input!R1207</f>
        <v>0.3</v>
      </c>
      <c r="R974" s="21">
        <f>Input!S1207</f>
        <v>0.3</v>
      </c>
      <c r="S974" s="21">
        <f>Input!T1207</f>
        <v>0.3</v>
      </c>
      <c r="T974" s="21">
        <f>Input!U1207</f>
        <v>0.3</v>
      </c>
      <c r="U974" s="21">
        <f>Input!V1207</f>
        <v>0.3</v>
      </c>
      <c r="V974" s="21">
        <f>Input!W1207</f>
        <v>0.3</v>
      </c>
    </row>
    <row r="975" spans="2:22">
      <c r="B975" s="28" t="s">
        <v>618</v>
      </c>
      <c r="C975" s="28"/>
      <c r="D975" s="28"/>
      <c r="E975" s="28"/>
      <c r="F975" s="28"/>
      <c r="G975" s="28"/>
      <c r="H975" s="28"/>
      <c r="I975" s="28"/>
      <c r="J975" s="47">
        <f>J974*J973</f>
        <v>0</v>
      </c>
      <c r="K975" s="47">
        <f t="shared" ref="K975:V975" si="313">K974*K973</f>
        <v>0</v>
      </c>
      <c r="L975" s="47">
        <f t="shared" si="313"/>
        <v>0</v>
      </c>
      <c r="M975" s="47">
        <f t="shared" si="313"/>
        <v>0</v>
      </c>
      <c r="N975" s="47">
        <f t="shared" si="313"/>
        <v>122.55315477320565</v>
      </c>
      <c r="O975" s="47">
        <f t="shared" si="313"/>
        <v>344.88825484555053</v>
      </c>
      <c r="P975" s="47">
        <f t="shared" si="313"/>
        <v>397.69296266564464</v>
      </c>
      <c r="Q975" s="47">
        <f t="shared" si="313"/>
        <v>502.40624118648242</v>
      </c>
      <c r="R975" s="47">
        <f t="shared" si="313"/>
        <v>476.94078204692221</v>
      </c>
      <c r="S975" s="47">
        <f t="shared" si="313"/>
        <v>575.4861269570273</v>
      </c>
      <c r="T975" s="47">
        <f t="shared" si="313"/>
        <v>603.67938349937424</v>
      </c>
      <c r="U975" s="47">
        <f t="shared" si="313"/>
        <v>89.435891937546856</v>
      </c>
      <c r="V975" s="47">
        <f t="shared" si="313"/>
        <v>149.33803185812005</v>
      </c>
    </row>
    <row r="976" spans="2:22">
      <c r="G976"/>
    </row>
    <row r="977" spans="2:22">
      <c r="B977" s="2" t="s">
        <v>621</v>
      </c>
      <c r="G977"/>
    </row>
    <row r="978" spans="2:22">
      <c r="B978" s="407" t="s">
        <v>622</v>
      </c>
      <c r="G978" s="17" t="s">
        <v>315</v>
      </c>
      <c r="J978">
        <f>J947</f>
        <v>0</v>
      </c>
      <c r="K978">
        <f t="shared" ref="K978:V978" si="314">K947</f>
        <v>0</v>
      </c>
      <c r="L978">
        <f t="shared" si="314"/>
        <v>0</v>
      </c>
      <c r="M978">
        <f t="shared" si="314"/>
        <v>0</v>
      </c>
      <c r="N978">
        <f t="shared" si="314"/>
        <v>0</v>
      </c>
      <c r="O978">
        <f t="shared" si="314"/>
        <v>15</v>
      </c>
      <c r="P978">
        <f t="shared" si="314"/>
        <v>22.5</v>
      </c>
      <c r="Q978">
        <f t="shared" si="314"/>
        <v>40.5</v>
      </c>
      <c r="R978">
        <f t="shared" si="314"/>
        <v>30</v>
      </c>
      <c r="S978">
        <f t="shared" si="314"/>
        <v>45</v>
      </c>
      <c r="T978">
        <f t="shared" si="314"/>
        <v>45</v>
      </c>
      <c r="U978">
        <f t="shared" si="314"/>
        <v>45</v>
      </c>
      <c r="V978">
        <f t="shared" si="314"/>
        <v>45</v>
      </c>
    </row>
    <row r="979" spans="2:22">
      <c r="B979" s="407" t="s">
        <v>620</v>
      </c>
      <c r="G979" s="17" t="s">
        <v>325</v>
      </c>
      <c r="J979" s="74">
        <f t="shared" ref="J979:V979" si="315">IFERROR(J39/J38,0)</f>
        <v>0.17929749949003068</v>
      </c>
      <c r="K979" s="21">
        <f t="shared" si="315"/>
        <v>0.18191761271245352</v>
      </c>
      <c r="L979" s="21">
        <f t="shared" si="315"/>
        <v>0.1847445671841047</v>
      </c>
      <c r="M979" s="21">
        <f t="shared" si="315"/>
        <v>0.18752000823233128</v>
      </c>
      <c r="N979" s="21">
        <f t="shared" si="315"/>
        <v>0.19037830161568509</v>
      </c>
      <c r="O979" s="21">
        <f t="shared" si="315"/>
        <v>0.16831073446439268</v>
      </c>
      <c r="P979" s="21">
        <f t="shared" si="315"/>
        <v>0.16453339990240953</v>
      </c>
      <c r="Q979" s="21">
        <f t="shared" si="315"/>
        <v>0.15515454014294083</v>
      </c>
      <c r="R979" s="21">
        <f t="shared" si="315"/>
        <v>0.16100975211213867</v>
      </c>
      <c r="S979" s="21">
        <f t="shared" si="315"/>
        <v>0.15549585900101898</v>
      </c>
      <c r="T979" s="21">
        <f t="shared" si="315"/>
        <v>0.15928176029174218</v>
      </c>
      <c r="U979" s="21">
        <f t="shared" si="315"/>
        <v>0.20086808677632331</v>
      </c>
      <c r="V979" s="21">
        <f t="shared" si="315"/>
        <v>0.16713220419924124</v>
      </c>
    </row>
    <row r="980" spans="2:22">
      <c r="B980" s="28" t="s">
        <v>618</v>
      </c>
      <c r="C980" s="28"/>
      <c r="D980" s="28"/>
      <c r="E980" s="28"/>
      <c r="F980" s="28"/>
      <c r="G980" s="28"/>
      <c r="H980" s="28"/>
      <c r="I980" s="28"/>
      <c r="J980" s="47">
        <f t="shared" ref="J980:V980" si="316">J979*J978</f>
        <v>0</v>
      </c>
      <c r="K980" s="47">
        <f t="shared" si="316"/>
        <v>0</v>
      </c>
      <c r="L980" s="47">
        <f t="shared" si="316"/>
        <v>0</v>
      </c>
      <c r="M980" s="47">
        <f t="shared" si="316"/>
        <v>0</v>
      </c>
      <c r="N980" s="47">
        <f t="shared" si="316"/>
        <v>0</v>
      </c>
      <c r="O980" s="47">
        <f t="shared" si="316"/>
        <v>2.5246610169658901</v>
      </c>
      <c r="P980" s="47">
        <f t="shared" si="316"/>
        <v>3.7020014978042144</v>
      </c>
      <c r="Q980" s="47">
        <f t="shared" si="316"/>
        <v>6.2837588757891041</v>
      </c>
      <c r="R980" s="47">
        <f t="shared" si="316"/>
        <v>4.8302925633641598</v>
      </c>
      <c r="S980" s="47">
        <f t="shared" si="316"/>
        <v>6.9973136550458541</v>
      </c>
      <c r="T980" s="47">
        <f t="shared" si="316"/>
        <v>7.1676792131283982</v>
      </c>
      <c r="U980" s="47">
        <f t="shared" si="316"/>
        <v>9.0390639049345491</v>
      </c>
      <c r="V980" s="47">
        <f t="shared" si="316"/>
        <v>7.5209491889658562</v>
      </c>
    </row>
    <row r="981" spans="2:22">
      <c r="G981"/>
    </row>
    <row r="982" spans="2:22">
      <c r="B982" s="2" t="s">
        <v>535</v>
      </c>
      <c r="G982"/>
    </row>
    <row r="983" spans="2:22">
      <c r="B983" s="407" t="s">
        <v>623</v>
      </c>
      <c r="G983"/>
      <c r="J983">
        <f>J950</f>
        <v>0</v>
      </c>
      <c r="K983">
        <f t="shared" ref="K983:V983" si="317">K950</f>
        <v>0</v>
      </c>
      <c r="L983">
        <f t="shared" si="317"/>
        <v>0</v>
      </c>
      <c r="M983">
        <f t="shared" si="317"/>
        <v>0</v>
      </c>
      <c r="N983">
        <f t="shared" si="317"/>
        <v>408.51051591068551</v>
      </c>
      <c r="O983">
        <f t="shared" si="317"/>
        <v>1164.6275161518352</v>
      </c>
      <c r="P983">
        <f t="shared" si="317"/>
        <v>1348.1432088854822</v>
      </c>
      <c r="Q983">
        <f t="shared" si="317"/>
        <v>1715.1874706216081</v>
      </c>
      <c r="R983">
        <f t="shared" si="317"/>
        <v>1619.802606823074</v>
      </c>
      <c r="S983">
        <f t="shared" si="317"/>
        <v>1963.2870898567576</v>
      </c>
      <c r="T983">
        <f t="shared" si="317"/>
        <v>2057.264611664581</v>
      </c>
      <c r="U983">
        <f t="shared" si="317"/>
        <v>343.11963979182286</v>
      </c>
      <c r="V983">
        <f t="shared" si="317"/>
        <v>542.79343952706688</v>
      </c>
    </row>
    <row r="984" spans="2:22">
      <c r="B984" t="s">
        <v>479</v>
      </c>
      <c r="F984" s="19">
        <f>Input!J1222</f>
        <v>0</v>
      </c>
      <c r="G984" s="17" t="s">
        <v>315</v>
      </c>
      <c r="J984">
        <f>Input!K1215</f>
        <v>0</v>
      </c>
      <c r="K984">
        <f>Input!L1215</f>
        <v>0</v>
      </c>
      <c r="L984">
        <f>Input!M1215</f>
        <v>0</v>
      </c>
      <c r="M984" s="21">
        <f>Input!N1215</f>
        <v>0.18</v>
      </c>
      <c r="N984" s="21">
        <f>Input!O1215</f>
        <v>0.18</v>
      </c>
      <c r="O984" s="21">
        <f>Input!P1215</f>
        <v>0.18</v>
      </c>
      <c r="P984" s="21">
        <f>Input!Q1215</f>
        <v>0.18</v>
      </c>
      <c r="Q984" s="21">
        <f>Input!R1215</f>
        <v>0.18</v>
      </c>
      <c r="R984" s="21">
        <f>Input!S1215</f>
        <v>0.18</v>
      </c>
      <c r="S984" s="21">
        <f>Input!T1215</f>
        <v>0.18</v>
      </c>
      <c r="T984" s="21">
        <f>Input!U1215</f>
        <v>0.18</v>
      </c>
      <c r="U984" s="21">
        <f>Input!V1215</f>
        <v>0.18</v>
      </c>
      <c r="V984" s="21">
        <f>Input!W1215</f>
        <v>0.18</v>
      </c>
    </row>
    <row r="985" spans="2:22">
      <c r="B985" s="28" t="s">
        <v>585</v>
      </c>
      <c r="C985" s="28"/>
      <c r="D985" s="28"/>
      <c r="E985" s="28"/>
      <c r="F985" s="28"/>
      <c r="G985" s="28"/>
      <c r="H985" s="28"/>
      <c r="I985" s="28"/>
      <c r="J985" s="84">
        <f>J983*J984</f>
        <v>0</v>
      </c>
      <c r="K985" s="84">
        <f t="shared" ref="K985:V985" si="318">K983*K984</f>
        <v>0</v>
      </c>
      <c r="L985" s="84">
        <f t="shared" si="318"/>
        <v>0</v>
      </c>
      <c r="M985" s="84">
        <f t="shared" si="318"/>
        <v>0</v>
      </c>
      <c r="N985" s="84">
        <f t="shared" si="318"/>
        <v>73.531892863923389</v>
      </c>
      <c r="O985" s="84">
        <f t="shared" si="318"/>
        <v>209.63295290733032</v>
      </c>
      <c r="P985" s="84">
        <f t="shared" si="318"/>
        <v>242.66577759938679</v>
      </c>
      <c r="Q985" s="84">
        <f t="shared" si="318"/>
        <v>308.73374471188947</v>
      </c>
      <c r="R985" s="84">
        <f t="shared" si="318"/>
        <v>291.56446922815331</v>
      </c>
      <c r="S985" s="84">
        <f t="shared" si="318"/>
        <v>353.39167617421634</v>
      </c>
      <c r="T985" s="84">
        <f t="shared" si="318"/>
        <v>370.30763009962459</v>
      </c>
      <c r="U985" s="84">
        <f t="shared" si="318"/>
        <v>61.761535162528112</v>
      </c>
      <c r="V985" s="84">
        <f t="shared" si="318"/>
        <v>97.702819114872028</v>
      </c>
    </row>
    <row r="986" spans="2:22">
      <c r="G986"/>
    </row>
    <row r="987" spans="2:22" ht="24" thickBot="1">
      <c r="B987" s="14" t="s">
        <v>624</v>
      </c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</row>
    <row r="988" spans="2:22">
      <c r="G988"/>
    </row>
    <row r="989" spans="2:22">
      <c r="B989" t="s">
        <v>37</v>
      </c>
      <c r="F989" s="19">
        <v>2025</v>
      </c>
      <c r="G989"/>
      <c r="J989" s="13">
        <f>IF(J$8&lt;$F989,0,1)*J$12</f>
        <v>0</v>
      </c>
      <c r="K989" s="13">
        <f t="shared" ref="K989:V989" si="319">IF(K$8&lt;$F989,0,1)*K$12</f>
        <v>1</v>
      </c>
      <c r="L989" s="13">
        <f t="shared" si="319"/>
        <v>1</v>
      </c>
      <c r="M989" s="13">
        <f t="shared" si="319"/>
        <v>1</v>
      </c>
      <c r="N989" s="13">
        <f t="shared" si="319"/>
        <v>1</v>
      </c>
      <c r="O989" s="13">
        <f t="shared" si="319"/>
        <v>1</v>
      </c>
      <c r="P989" s="13">
        <f t="shared" si="319"/>
        <v>1</v>
      </c>
      <c r="Q989" s="13">
        <f t="shared" si="319"/>
        <v>1</v>
      </c>
      <c r="R989" s="13">
        <f t="shared" si="319"/>
        <v>1</v>
      </c>
      <c r="S989" s="13">
        <f t="shared" si="319"/>
        <v>1</v>
      </c>
      <c r="T989" s="13">
        <f t="shared" si="319"/>
        <v>1</v>
      </c>
      <c r="U989" s="13">
        <f t="shared" si="319"/>
        <v>1</v>
      </c>
      <c r="V989" s="13">
        <f t="shared" si="319"/>
        <v>1</v>
      </c>
    </row>
    <row r="990" spans="2:22" ht="15.75">
      <c r="B990" s="15" t="s">
        <v>625</v>
      </c>
      <c r="G990"/>
    </row>
    <row r="991" spans="2:22" ht="15.75">
      <c r="B991" s="15" t="s">
        <v>626</v>
      </c>
      <c r="G991"/>
    </row>
    <row r="992" spans="2:22">
      <c r="B992" t="s">
        <v>407</v>
      </c>
      <c r="G992"/>
      <c r="J992">
        <f>J26</f>
        <v>1602574.2089999998</v>
      </c>
      <c r="K992">
        <f t="shared" ref="K992:V992" si="320">K26</f>
        <v>1650651.4352699998</v>
      </c>
      <c r="L992">
        <f t="shared" si="320"/>
        <v>1700170.9783280997</v>
      </c>
      <c r="M992">
        <f t="shared" si="320"/>
        <v>1751176.1076779428</v>
      </c>
      <c r="N992">
        <f t="shared" si="320"/>
        <v>1803711.3909082813</v>
      </c>
      <c r="O992">
        <f t="shared" si="320"/>
        <v>1857822.7326355297</v>
      </c>
      <c r="P992">
        <f t="shared" si="320"/>
        <v>1913557.4146145957</v>
      </c>
      <c r="Q992">
        <f t="shared" si="320"/>
        <v>1970964.1370530336</v>
      </c>
      <c r="R992">
        <f t="shared" si="320"/>
        <v>2030093.0611646248</v>
      </c>
      <c r="S992">
        <f t="shared" si="320"/>
        <v>2090995.8529995636</v>
      </c>
      <c r="T992">
        <f t="shared" si="320"/>
        <v>2153725.7285895501</v>
      </c>
      <c r="U992">
        <f t="shared" si="320"/>
        <v>2218337.5004472369</v>
      </c>
      <c r="V992">
        <f t="shared" si="320"/>
        <v>2284887.625460654</v>
      </c>
    </row>
    <row r="993" spans="2:22">
      <c r="G993"/>
    </row>
    <row r="994" spans="2:22">
      <c r="B994" t="s">
        <v>627</v>
      </c>
      <c r="F994" s="9" t="s">
        <v>628</v>
      </c>
      <c r="G994"/>
    </row>
    <row r="995" spans="2:22">
      <c r="B995" t="s">
        <v>629</v>
      </c>
      <c r="F995" s="19">
        <v>2526</v>
      </c>
      <c r="G995"/>
      <c r="J995">
        <f t="shared" ref="J995:V1001" si="321">$F995*J$992/Billion</f>
        <v>4.0481024519339996</v>
      </c>
      <c r="K995">
        <f t="shared" si="321"/>
        <v>4.16954552549202</v>
      </c>
      <c r="L995">
        <f t="shared" si="321"/>
        <v>4.2946318912567794</v>
      </c>
      <c r="M995">
        <f t="shared" si="321"/>
        <v>4.4234708479944835</v>
      </c>
      <c r="N995">
        <f t="shared" si="321"/>
        <v>4.5561749734343184</v>
      </c>
      <c r="O995">
        <f t="shared" si="321"/>
        <v>4.6928602226373481</v>
      </c>
      <c r="P995">
        <f t="shared" si="321"/>
        <v>4.8336460293164691</v>
      </c>
      <c r="Q995">
        <f t="shared" si="321"/>
        <v>4.9786554101959632</v>
      </c>
      <c r="R995">
        <f t="shared" si="321"/>
        <v>5.1280150725018423</v>
      </c>
      <c r="S995">
        <f t="shared" si="321"/>
        <v>5.2818555246768977</v>
      </c>
      <c r="T995">
        <f t="shared" si="321"/>
        <v>5.4403111904172041</v>
      </c>
      <c r="U995">
        <f t="shared" si="321"/>
        <v>5.6035205261297207</v>
      </c>
      <c r="V995">
        <f t="shared" si="321"/>
        <v>5.7716261419136128</v>
      </c>
    </row>
    <row r="996" spans="2:22">
      <c r="B996" t="s">
        <v>630</v>
      </c>
      <c r="F996" s="19">
        <v>36303</v>
      </c>
      <c r="G996"/>
      <c r="J996">
        <f t="shared" si="321"/>
        <v>58.178251509326998</v>
      </c>
      <c r="K996">
        <f t="shared" si="321"/>
        <v>59.923599054606804</v>
      </c>
      <c r="L996">
        <f t="shared" si="321"/>
        <v>61.721307026245</v>
      </c>
      <c r="M996">
        <f t="shared" si="321"/>
        <v>63.572946237032355</v>
      </c>
      <c r="N996">
        <f t="shared" si="321"/>
        <v>65.480134624143332</v>
      </c>
      <c r="O996">
        <f t="shared" si="321"/>
        <v>67.444538662867643</v>
      </c>
      <c r="P996">
        <f t="shared" si="321"/>
        <v>69.467874822753657</v>
      </c>
      <c r="Q996">
        <f t="shared" si="321"/>
        <v>71.551911067436279</v>
      </c>
      <c r="R996">
        <f t="shared" si="321"/>
        <v>73.698468399459372</v>
      </c>
      <c r="S996">
        <f t="shared" si="321"/>
        <v>75.909422451443163</v>
      </c>
      <c r="T996">
        <f t="shared" si="321"/>
        <v>78.186705124986432</v>
      </c>
      <c r="U996">
        <f t="shared" si="321"/>
        <v>80.532306278736044</v>
      </c>
      <c r="V996">
        <f t="shared" si="321"/>
        <v>82.948275467098128</v>
      </c>
    </row>
    <row r="997" spans="2:22">
      <c r="B997" s="407" t="s">
        <v>631</v>
      </c>
      <c r="F997" s="19">
        <v>23777</v>
      </c>
      <c r="G997"/>
      <c r="J997">
        <f t="shared" si="321"/>
        <v>38.104406967392997</v>
      </c>
      <c r="K997">
        <f t="shared" si="321"/>
        <v>39.24753917641479</v>
      </c>
      <c r="L997">
        <f t="shared" si="321"/>
        <v>40.424965351707229</v>
      </c>
      <c r="M997">
        <f t="shared" si="321"/>
        <v>41.637714312258446</v>
      </c>
      <c r="N997">
        <f t="shared" si="321"/>
        <v>42.886845741626203</v>
      </c>
      <c r="O997">
        <f t="shared" si="321"/>
        <v>44.173451113874989</v>
      </c>
      <c r="P997">
        <f t="shared" si="321"/>
        <v>45.498654647291247</v>
      </c>
      <c r="Q997">
        <f t="shared" si="321"/>
        <v>46.863614286709975</v>
      </c>
      <c r="R997">
        <f t="shared" si="321"/>
        <v>48.269522715311282</v>
      </c>
      <c r="S997">
        <f t="shared" si="321"/>
        <v>49.717608396770622</v>
      </c>
      <c r="T997">
        <f t="shared" si="321"/>
        <v>51.209136648673734</v>
      </c>
      <c r="U997">
        <f t="shared" si="321"/>
        <v>52.745410748133949</v>
      </c>
      <c r="V997">
        <f t="shared" si="321"/>
        <v>54.327773070577969</v>
      </c>
    </row>
    <row r="998" spans="2:22">
      <c r="B998" s="407" t="s">
        <v>632</v>
      </c>
      <c r="F998" s="19">
        <v>8421</v>
      </c>
      <c r="G998"/>
      <c r="J998">
        <f t="shared" si="321"/>
        <v>13.495277413988999</v>
      </c>
      <c r="K998">
        <f t="shared" si="321"/>
        <v>13.900135736408668</v>
      </c>
      <c r="L998">
        <f t="shared" si="321"/>
        <v>14.317139808500928</v>
      </c>
      <c r="M998">
        <f t="shared" si="321"/>
        <v>14.746654002755957</v>
      </c>
      <c r="N998">
        <f t="shared" si="321"/>
        <v>15.189053622838637</v>
      </c>
      <c r="O998">
        <f t="shared" si="321"/>
        <v>15.644725231523797</v>
      </c>
      <c r="P998">
        <f t="shared" si="321"/>
        <v>16.11406698846951</v>
      </c>
      <c r="Q998">
        <f t="shared" si="321"/>
        <v>16.597488998123595</v>
      </c>
      <c r="R998">
        <f t="shared" si="321"/>
        <v>17.095413668067305</v>
      </c>
      <c r="S998">
        <f t="shared" si="321"/>
        <v>17.608276078109327</v>
      </c>
      <c r="T998">
        <f t="shared" si="321"/>
        <v>18.136524360452601</v>
      </c>
      <c r="U998">
        <f t="shared" si="321"/>
        <v>18.680620091266182</v>
      </c>
      <c r="V998">
        <f t="shared" si="321"/>
        <v>19.241038694004171</v>
      </c>
    </row>
    <row r="999" spans="2:22">
      <c r="B999" s="407" t="s">
        <v>633</v>
      </c>
      <c r="F999" s="19">
        <v>6935</v>
      </c>
      <c r="G999"/>
      <c r="J999">
        <f t="shared" si="321"/>
        <v>11.113852139414998</v>
      </c>
      <c r="K999">
        <f t="shared" si="321"/>
        <v>11.447267703597449</v>
      </c>
      <c r="L999">
        <f t="shared" si="321"/>
        <v>11.790685734705372</v>
      </c>
      <c r="M999">
        <f t="shared" si="321"/>
        <v>12.144406306746534</v>
      </c>
      <c r="N999">
        <f t="shared" si="321"/>
        <v>12.508738495948931</v>
      </c>
      <c r="O999">
        <f t="shared" si="321"/>
        <v>12.884000650827398</v>
      </c>
      <c r="P999">
        <f t="shared" si="321"/>
        <v>13.270520670352221</v>
      </c>
      <c r="Q999">
        <f t="shared" si="321"/>
        <v>13.668636290462787</v>
      </c>
      <c r="R999">
        <f t="shared" si="321"/>
        <v>14.078695379176672</v>
      </c>
      <c r="S999">
        <f t="shared" si="321"/>
        <v>14.501056240551973</v>
      </c>
      <c r="T999">
        <f t="shared" si="321"/>
        <v>14.936087927768529</v>
      </c>
      <c r="U999">
        <f t="shared" si="321"/>
        <v>15.384170565601588</v>
      </c>
      <c r="V999">
        <f t="shared" si="321"/>
        <v>15.845695682569636</v>
      </c>
    </row>
    <row r="1000" spans="2:22">
      <c r="B1000" s="407" t="s">
        <v>634</v>
      </c>
      <c r="F1000" s="19">
        <v>297</v>
      </c>
      <c r="G1000"/>
      <c r="J1000">
        <f t="shared" si="321"/>
        <v>0.47596454007299993</v>
      </c>
      <c r="K1000">
        <f t="shared" si="321"/>
        <v>0.49024347627518994</v>
      </c>
      <c r="L1000">
        <f t="shared" si="321"/>
        <v>0.50495078056344567</v>
      </c>
      <c r="M1000">
        <f t="shared" si="321"/>
        <v>0.52009930398034898</v>
      </c>
      <c r="N1000">
        <f t="shared" si="321"/>
        <v>0.53570228309975954</v>
      </c>
      <c r="O1000">
        <f t="shared" si="321"/>
        <v>0.55177335159275231</v>
      </c>
      <c r="P1000">
        <f t="shared" si="321"/>
        <v>0.56832655214053485</v>
      </c>
      <c r="Q1000">
        <f t="shared" si="321"/>
        <v>0.58537634870475097</v>
      </c>
      <c r="R1000">
        <f t="shared" si="321"/>
        <v>0.6029376391658936</v>
      </c>
      <c r="S1000">
        <f t="shared" si="321"/>
        <v>0.62102576834087042</v>
      </c>
      <c r="T1000">
        <f t="shared" si="321"/>
        <v>0.6396565413910964</v>
      </c>
      <c r="U1000">
        <f t="shared" si="321"/>
        <v>0.65884623763282946</v>
      </c>
      <c r="V1000">
        <f t="shared" si="321"/>
        <v>0.67861162476181425</v>
      </c>
    </row>
    <row r="1001" spans="2:22">
      <c r="B1001" s="407" t="s">
        <v>635</v>
      </c>
      <c r="F1001" s="19">
        <f>G1001-SUM(F995:F1000)</f>
        <v>42401</v>
      </c>
      <c r="G1001">
        <v>120660</v>
      </c>
      <c r="J1001">
        <f t="shared" si="321"/>
        <v>67.950749035808997</v>
      </c>
      <c r="K1001">
        <f t="shared" si="321"/>
        <v>69.989271506883256</v>
      </c>
      <c r="L1001">
        <f t="shared" si="321"/>
        <v>72.088949652089752</v>
      </c>
      <c r="M1001">
        <f t="shared" si="321"/>
        <v>74.251618141652457</v>
      </c>
      <c r="N1001">
        <f t="shared" si="321"/>
        <v>76.479166685902044</v>
      </c>
      <c r="O1001">
        <f t="shared" si="321"/>
        <v>78.773541686479092</v>
      </c>
      <c r="P1001">
        <f t="shared" si="321"/>
        <v>81.136747937073466</v>
      </c>
      <c r="Q1001">
        <f t="shared" si="321"/>
        <v>83.570850375185671</v>
      </c>
      <c r="R1001">
        <f t="shared" si="321"/>
        <v>86.077975886441251</v>
      </c>
      <c r="S1001">
        <f t="shared" si="321"/>
        <v>88.660315163034497</v>
      </c>
      <c r="T1001">
        <f t="shared" si="321"/>
        <v>91.320124617925515</v>
      </c>
      <c r="U1001">
        <f t="shared" si="321"/>
        <v>94.059728356463282</v>
      </c>
      <c r="V1001">
        <f t="shared" si="321"/>
        <v>96.881520207157195</v>
      </c>
    </row>
    <row r="1002" spans="2:22">
      <c r="C1002" s="407"/>
      <c r="F1002">
        <f>SUM(F995:F1001)</f>
        <v>120660</v>
      </c>
      <c r="G1002"/>
      <c r="I1002">
        <f>SUM(J995:J1000)*E1013</f>
        <v>33.862280855975371</v>
      </c>
      <c r="J1002" s="28">
        <f>SUM(J995:J1001)</f>
        <v>193.36660405793998</v>
      </c>
      <c r="K1002" s="28">
        <f t="shared" ref="K1002:V1002" si="322">SUM(K995:K1001)</f>
        <v>199.1676021796782</v>
      </c>
      <c r="L1002" s="28">
        <f t="shared" si="322"/>
        <v>205.14263024506849</v>
      </c>
      <c r="M1002" s="28">
        <f t="shared" si="322"/>
        <v>211.2969091524206</v>
      </c>
      <c r="N1002" s="28">
        <f t="shared" si="322"/>
        <v>217.63581642699324</v>
      </c>
      <c r="O1002" s="28">
        <f t="shared" si="322"/>
        <v>224.16489091980301</v>
      </c>
      <c r="P1002" s="28">
        <f t="shared" si="322"/>
        <v>230.88983764739712</v>
      </c>
      <c r="Q1002" s="28">
        <f t="shared" si="322"/>
        <v>237.81653277681903</v>
      </c>
      <c r="R1002" s="28">
        <f t="shared" si="322"/>
        <v>244.95102876012362</v>
      </c>
      <c r="S1002" s="28">
        <f t="shared" si="322"/>
        <v>252.29955962292735</v>
      </c>
      <c r="T1002" s="28">
        <f t="shared" si="322"/>
        <v>259.86854641161511</v>
      </c>
      <c r="U1002" s="28">
        <f t="shared" si="322"/>
        <v>267.66460280396359</v>
      </c>
      <c r="V1002" s="28">
        <f t="shared" si="322"/>
        <v>275.69454088808254</v>
      </c>
    </row>
    <row r="1003" spans="2:22">
      <c r="G1003">
        <f>F1002*(100%-E1013)</f>
        <v>88081.8</v>
      </c>
    </row>
    <row r="1004" spans="2:22">
      <c r="B1004" s="407" t="s">
        <v>483</v>
      </c>
      <c r="F1004">
        <f>-SUM(F995:F1000)*(1-E1013)</f>
        <v>-57129.07</v>
      </c>
      <c r="G1004"/>
      <c r="J1004">
        <f>-(J1002-J1013)</f>
        <v>-159.50432320196461</v>
      </c>
      <c r="K1004">
        <f t="shared" ref="K1004:V1004" si="323">-(K1002-K1013)</f>
        <v>-164.28945289802354</v>
      </c>
      <c r="L1004">
        <f t="shared" si="323"/>
        <v>-169.21813648496425</v>
      </c>
      <c r="M1004">
        <f t="shared" si="323"/>
        <v>-174.2946805795132</v>
      </c>
      <c r="N1004">
        <f t="shared" si="323"/>
        <v>-179.52352099689861</v>
      </c>
      <c r="O1004">
        <f t="shared" si="323"/>
        <v>-184.90922662680555</v>
      </c>
      <c r="P1004">
        <f t="shared" si="323"/>
        <v>-190.45650342560972</v>
      </c>
      <c r="Q1004">
        <f t="shared" si="323"/>
        <v>-196.17019852837802</v>
      </c>
      <c r="R1004">
        <f t="shared" si="323"/>
        <v>-202.0553044842294</v>
      </c>
      <c r="S1004">
        <f t="shared" si="323"/>
        <v>-208.11696361875627</v>
      </c>
      <c r="T1004">
        <f t="shared" si="323"/>
        <v>-214.3604725273189</v>
      </c>
      <c r="U1004">
        <f t="shared" si="323"/>
        <v>-220.7912867031385</v>
      </c>
      <c r="V1004">
        <f t="shared" si="323"/>
        <v>-227.41502530423267</v>
      </c>
    </row>
    <row r="1005" spans="2:22">
      <c r="B1005" t="s">
        <v>636</v>
      </c>
      <c r="F1005" s="462">
        <v>-6748.59024058253</v>
      </c>
      <c r="G1005"/>
      <c r="J1005">
        <f>$F1005*J$992/Billion</f>
        <v>-10.815116666666666</v>
      </c>
      <c r="K1005">
        <f t="shared" ref="K1005:V1009" si="324">$F1005*K$992/Billion</f>
        <v>-11.139570166666665</v>
      </c>
      <c r="L1005">
        <f t="shared" si="324"/>
        <v>-11.473757271666665</v>
      </c>
      <c r="M1005">
        <f t="shared" si="324"/>
        <v>-11.817969989816667</v>
      </c>
      <c r="N1005">
        <f t="shared" si="324"/>
        <v>-12.172509089511168</v>
      </c>
      <c r="O1005">
        <f t="shared" si="324"/>
        <v>-12.537684362196503</v>
      </c>
      <c r="P1005">
        <f t="shared" si="324"/>
        <v>-12.913814893062399</v>
      </c>
      <c r="Q1005">
        <f t="shared" si="324"/>
        <v>-13.30122933985427</v>
      </c>
      <c r="R1005">
        <f t="shared" si="324"/>
        <v>-13.700266220049899</v>
      </c>
      <c r="S1005">
        <f t="shared" si="324"/>
        <v>-14.111274206651398</v>
      </c>
      <c r="T1005">
        <f t="shared" si="324"/>
        <v>-14.534612432850937</v>
      </c>
      <c r="U1005">
        <f t="shared" si="324"/>
        <v>-14.970650805836467</v>
      </c>
      <c r="V1005">
        <f t="shared" si="324"/>
        <v>-15.419770330011561</v>
      </c>
    </row>
    <row r="1006" spans="2:22">
      <c r="B1006" t="s">
        <v>637</v>
      </c>
      <c r="F1006">
        <v>-4185.74</v>
      </c>
      <c r="G1006"/>
      <c r="J1006">
        <f>$F1006*J$992/Billion</f>
        <v>-6.7079589695796589</v>
      </c>
      <c r="K1006">
        <f t="shared" si="324"/>
        <v>-6.9091977386670482</v>
      </c>
      <c r="L1006">
        <f t="shared" si="324"/>
        <v>-7.1164736708270597</v>
      </c>
      <c r="M1006">
        <f t="shared" si="324"/>
        <v>-7.3299678809518722</v>
      </c>
      <c r="N1006">
        <f t="shared" si="324"/>
        <v>-7.5498669173804291</v>
      </c>
      <c r="O1006">
        <f t="shared" si="324"/>
        <v>-7.776362924901842</v>
      </c>
      <c r="P1006">
        <f t="shared" si="324"/>
        <v>-8.0096538126488976</v>
      </c>
      <c r="Q1006">
        <f t="shared" si="324"/>
        <v>-8.2499434270283647</v>
      </c>
      <c r="R1006">
        <f t="shared" si="324"/>
        <v>-8.4974417298392169</v>
      </c>
      <c r="S1006">
        <f t="shared" si="324"/>
        <v>-8.7523649817343916</v>
      </c>
      <c r="T1006">
        <f t="shared" si="324"/>
        <v>-9.0149359311864217</v>
      </c>
      <c r="U1006">
        <f t="shared" si="324"/>
        <v>-9.2853840091220174</v>
      </c>
      <c r="V1006">
        <f t="shared" si="324"/>
        <v>-9.5639455293956779</v>
      </c>
    </row>
    <row r="1007" spans="2:22">
      <c r="B1007" t="s">
        <v>638</v>
      </c>
      <c r="F1007">
        <v>-12570.209759417499</v>
      </c>
      <c r="G1007"/>
      <c r="J1007">
        <f>$F1007*J$992/Billion</f>
        <v>-20.144693962162577</v>
      </c>
      <c r="K1007">
        <f t="shared" si="324"/>
        <v>-20.749034781027454</v>
      </c>
      <c r="L1007">
        <f t="shared" si="324"/>
        <v>-21.371505824458275</v>
      </c>
      <c r="M1007">
        <f t="shared" si="324"/>
        <v>-22.012650999192029</v>
      </c>
      <c r="N1007">
        <f t="shared" si="324"/>
        <v>-22.673030529167789</v>
      </c>
      <c r="O1007">
        <f t="shared" si="324"/>
        <v>-23.353221445042823</v>
      </c>
      <c r="P1007">
        <f t="shared" si="324"/>
        <v>-24.05381808839411</v>
      </c>
      <c r="Q1007">
        <f t="shared" si="324"/>
        <v>-24.775432631045934</v>
      </c>
      <c r="R1007">
        <f t="shared" si="324"/>
        <v>-25.518695609977314</v>
      </c>
      <c r="S1007">
        <f t="shared" si="324"/>
        <v>-26.284256478276635</v>
      </c>
      <c r="T1007">
        <f t="shared" si="324"/>
        <v>-27.072784172624928</v>
      </c>
      <c r="U1007">
        <f t="shared" si="324"/>
        <v>-27.884967697803681</v>
      </c>
      <c r="V1007">
        <f t="shared" si="324"/>
        <v>-28.721516728737789</v>
      </c>
    </row>
    <row r="1008" spans="2:22">
      <c r="B1008" t="s">
        <v>639</v>
      </c>
      <c r="F1008">
        <f>F1004-SUM(F1005:F1007)</f>
        <v>-33624.52999999997</v>
      </c>
      <c r="G1008"/>
      <c r="J1008">
        <f>$F1008*J$992/Billion</f>
        <v>-53.88580456774671</v>
      </c>
      <c r="K1008">
        <f t="shared" si="324"/>
        <v>-55.502378704779112</v>
      </c>
      <c r="L1008">
        <f t="shared" si="324"/>
        <v>-57.167450065922488</v>
      </c>
      <c r="M1008">
        <f t="shared" si="324"/>
        <v>-58.882473567900171</v>
      </c>
      <c r="N1008">
        <f t="shared" si="324"/>
        <v>-60.648947774937177</v>
      </c>
      <c r="O1008">
        <f t="shared" si="324"/>
        <v>-62.468416208185296</v>
      </c>
      <c r="P1008">
        <f t="shared" si="324"/>
        <v>-64.342468694430849</v>
      </c>
      <c r="Q1008">
        <f t="shared" si="324"/>
        <v>-66.272742755263778</v>
      </c>
      <c r="R1008">
        <f t="shared" si="324"/>
        <v>-68.260925037921695</v>
      </c>
      <c r="S1008">
        <f t="shared" si="324"/>
        <v>-70.308752789059355</v>
      </c>
      <c r="T1008">
        <f t="shared" si="324"/>
        <v>-72.418015372731119</v>
      </c>
      <c r="U1008">
        <f t="shared" si="324"/>
        <v>-74.590555833913072</v>
      </c>
      <c r="V1008">
        <f t="shared" si="324"/>
        <v>-76.828272508930453</v>
      </c>
    </row>
    <row r="1009" spans="2:22">
      <c r="B1009" t="s">
        <v>401</v>
      </c>
      <c r="F1009">
        <f>-F1001</f>
        <v>-42401</v>
      </c>
      <c r="G1009"/>
      <c r="J1009">
        <f>$F1009*J$992/Billion</f>
        <v>-67.950749035808997</v>
      </c>
      <c r="K1009">
        <f t="shared" si="324"/>
        <v>-69.989271506883256</v>
      </c>
      <c r="L1009">
        <f t="shared" si="324"/>
        <v>-72.088949652089752</v>
      </c>
      <c r="M1009">
        <f t="shared" si="324"/>
        <v>-74.251618141652457</v>
      </c>
      <c r="N1009">
        <f t="shared" si="324"/>
        <v>-76.479166685902044</v>
      </c>
      <c r="O1009">
        <f t="shared" si="324"/>
        <v>-78.773541686479092</v>
      </c>
      <c r="P1009">
        <f t="shared" si="324"/>
        <v>-81.136747937073466</v>
      </c>
      <c r="Q1009">
        <f t="shared" si="324"/>
        <v>-83.570850375185671</v>
      </c>
      <c r="R1009">
        <f t="shared" si="324"/>
        <v>-86.077975886441251</v>
      </c>
      <c r="S1009">
        <f t="shared" si="324"/>
        <v>-88.660315163034497</v>
      </c>
      <c r="T1009">
        <f t="shared" si="324"/>
        <v>-91.320124617925515</v>
      </c>
      <c r="U1009">
        <f t="shared" si="324"/>
        <v>-94.059728356463282</v>
      </c>
      <c r="V1009">
        <f t="shared" si="324"/>
        <v>-96.881520207157195</v>
      </c>
    </row>
    <row r="1010" spans="2:22">
      <c r="B1010" t="s">
        <v>640</v>
      </c>
      <c r="F1010">
        <f>SUM(F1005:F1009)</f>
        <v>-99530.07</v>
      </c>
      <c r="G1010"/>
      <c r="J1010">
        <f>SUM(J1005:J1009)</f>
        <v>-159.50432320196461</v>
      </c>
      <c r="K1010">
        <f t="shared" ref="K1010:V1010" si="325">SUM(K1005:K1009)</f>
        <v>-164.28945289802354</v>
      </c>
      <c r="L1010">
        <f t="shared" si="325"/>
        <v>-169.21813648496425</v>
      </c>
      <c r="M1010">
        <f t="shared" si="325"/>
        <v>-174.2946805795132</v>
      </c>
      <c r="N1010">
        <f t="shared" si="325"/>
        <v>-179.52352099689861</v>
      </c>
      <c r="O1010">
        <f t="shared" si="325"/>
        <v>-184.90922662680555</v>
      </c>
      <c r="P1010">
        <f t="shared" si="325"/>
        <v>-190.45650342560972</v>
      </c>
      <c r="Q1010">
        <f t="shared" si="325"/>
        <v>-196.17019852837802</v>
      </c>
      <c r="R1010">
        <f t="shared" si="325"/>
        <v>-202.0553044842294</v>
      </c>
      <c r="S1010">
        <f t="shared" si="325"/>
        <v>-208.11696361875627</v>
      </c>
      <c r="T1010">
        <f t="shared" si="325"/>
        <v>-214.3604725273189</v>
      </c>
      <c r="U1010">
        <f t="shared" si="325"/>
        <v>-220.7912867031385</v>
      </c>
      <c r="V1010">
        <f t="shared" si="325"/>
        <v>-227.41502530423267</v>
      </c>
    </row>
    <row r="1011" spans="2:22">
      <c r="F1011" s="21">
        <f>SUM(F1002,F1010)/F1002</f>
        <v>0.1751195922426653</v>
      </c>
      <c r="G1011"/>
      <c r="J1011" t="b">
        <f>J1010=J1004</f>
        <v>1</v>
      </c>
      <c r="K1011" t="b">
        <f t="shared" ref="K1011:V1011" si="326">K1010=K1004</f>
        <v>1</v>
      </c>
      <c r="L1011" t="b">
        <f t="shared" si="326"/>
        <v>1</v>
      </c>
      <c r="M1011" t="b">
        <f t="shared" si="326"/>
        <v>1</v>
      </c>
      <c r="N1011" t="b">
        <f t="shared" si="326"/>
        <v>1</v>
      </c>
      <c r="O1011" t="b">
        <f t="shared" si="326"/>
        <v>1</v>
      </c>
      <c r="P1011" t="b">
        <f t="shared" si="326"/>
        <v>1</v>
      </c>
      <c r="Q1011" t="b">
        <f t="shared" si="326"/>
        <v>1</v>
      </c>
      <c r="R1011" t="b">
        <f t="shared" si="326"/>
        <v>1</v>
      </c>
      <c r="S1011" t="b">
        <f t="shared" si="326"/>
        <v>1</v>
      </c>
      <c r="T1011" t="b">
        <f t="shared" si="326"/>
        <v>1</v>
      </c>
      <c r="U1011" t="b">
        <f t="shared" si="326"/>
        <v>1</v>
      </c>
      <c r="V1011" t="b">
        <f t="shared" si="326"/>
        <v>1</v>
      </c>
    </row>
    <row r="1012" spans="2:22">
      <c r="G1012"/>
    </row>
    <row r="1013" spans="2:22">
      <c r="B1013" t="s">
        <v>434</v>
      </c>
      <c r="E1013" s="39">
        <v>0.27</v>
      </c>
      <c r="G1013"/>
      <c r="J1013">
        <f>SUM(J1002,J1010)</f>
        <v>33.862280855975371</v>
      </c>
      <c r="K1013">
        <f t="shared" ref="K1013:V1013" si="327">SUM(K1002,K1010)</f>
        <v>34.878149281654657</v>
      </c>
      <c r="L1013">
        <f t="shared" si="327"/>
        <v>35.924493760104241</v>
      </c>
      <c r="M1013">
        <f t="shared" si="327"/>
        <v>37.002228572907399</v>
      </c>
      <c r="N1013">
        <f t="shared" si="327"/>
        <v>38.112295430094633</v>
      </c>
      <c r="O1013">
        <f t="shared" si="327"/>
        <v>39.255664292997466</v>
      </c>
      <c r="P1013">
        <f t="shared" si="327"/>
        <v>40.433334221787391</v>
      </c>
      <c r="Q1013">
        <f t="shared" si="327"/>
        <v>41.646334248441008</v>
      </c>
      <c r="R1013">
        <f t="shared" si="327"/>
        <v>42.895724275894224</v>
      </c>
      <c r="S1013">
        <f t="shared" si="327"/>
        <v>44.182596004171074</v>
      </c>
      <c r="T1013">
        <f t="shared" si="327"/>
        <v>45.508073884296209</v>
      </c>
      <c r="U1013">
        <f t="shared" si="327"/>
        <v>46.873316100825093</v>
      </c>
      <c r="V1013">
        <f t="shared" si="327"/>
        <v>48.279515583849872</v>
      </c>
    </row>
    <row r="1014" spans="2:22">
      <c r="G1014"/>
      <c r="J1014" s="21"/>
      <c r="K1014" s="21"/>
    </row>
    <row r="1015" spans="2:22" ht="15.75">
      <c r="B1015" s="15" t="s">
        <v>626</v>
      </c>
      <c r="G1015"/>
      <c r="J1015" s="21"/>
    </row>
    <row r="1016" spans="2:22">
      <c r="B1016" t="s">
        <v>407</v>
      </c>
      <c r="G1016"/>
      <c r="J1016">
        <f>J21</f>
        <v>2063651.067</v>
      </c>
      <c r="K1016">
        <f t="shared" ref="K1016:V1016" si="328">K21</f>
        <v>2125560.59901</v>
      </c>
      <c r="L1016">
        <f t="shared" si="328"/>
        <v>2189327.4169803001</v>
      </c>
      <c r="M1016">
        <f t="shared" si="328"/>
        <v>2255007.239489709</v>
      </c>
      <c r="N1016">
        <f t="shared" si="328"/>
        <v>2322657.4566744007</v>
      </c>
      <c r="O1016">
        <f t="shared" si="328"/>
        <v>2392337.1803746326</v>
      </c>
      <c r="P1016">
        <f t="shared" si="328"/>
        <v>2464107.2957858718</v>
      </c>
      <c r="Q1016">
        <f t="shared" si="328"/>
        <v>2538030.5146594481</v>
      </c>
      <c r="R1016">
        <f t="shared" si="328"/>
        <v>2614171.4300992312</v>
      </c>
      <c r="S1016">
        <f t="shared" si="328"/>
        <v>2692596.5730022085</v>
      </c>
      <c r="T1016">
        <f t="shared" si="328"/>
        <v>2773374.4701922745</v>
      </c>
      <c r="U1016">
        <f t="shared" si="328"/>
        <v>2856575.7042980432</v>
      </c>
      <c r="V1016">
        <f t="shared" si="328"/>
        <v>2942272.975426984</v>
      </c>
    </row>
    <row r="1017" spans="2:22">
      <c r="G1017"/>
    </row>
    <row r="1018" spans="2:22">
      <c r="F1018" s="9" t="s">
        <v>641</v>
      </c>
      <c r="G1018"/>
    </row>
    <row r="1019" spans="2:22">
      <c r="B1019" t="s">
        <v>629</v>
      </c>
      <c r="F1019" s="19">
        <v>3705</v>
      </c>
      <c r="G1019"/>
      <c r="J1019">
        <f t="shared" ref="J1019:V1025" si="329">J$1016*$F1019/Billion</f>
        <v>7.645827203235001</v>
      </c>
      <c r="K1019">
        <f t="shared" si="329"/>
        <v>7.8752020193320504</v>
      </c>
      <c r="L1019">
        <f t="shared" si="329"/>
        <v>8.111458079912012</v>
      </c>
      <c r="M1019">
        <f t="shared" si="329"/>
        <v>8.3548018223093727</v>
      </c>
      <c r="N1019">
        <f t="shared" si="329"/>
        <v>8.6054458769786546</v>
      </c>
      <c r="O1019">
        <f t="shared" si="329"/>
        <v>8.8636092532880131</v>
      </c>
      <c r="P1019">
        <f t="shared" si="329"/>
        <v>9.1295175308866554</v>
      </c>
      <c r="Q1019">
        <f t="shared" si="329"/>
        <v>9.4034030568132554</v>
      </c>
      <c r="R1019">
        <f t="shared" si="329"/>
        <v>9.6855051485176524</v>
      </c>
      <c r="S1019">
        <f t="shared" si="329"/>
        <v>9.9760703029731825</v>
      </c>
      <c r="T1019">
        <f t="shared" si="329"/>
        <v>10.275352412062379</v>
      </c>
      <c r="U1019">
        <f t="shared" si="329"/>
        <v>10.583612984424249</v>
      </c>
      <c r="V1019">
        <f t="shared" si="329"/>
        <v>10.901121373956975</v>
      </c>
    </row>
    <row r="1020" spans="2:22">
      <c r="B1020" t="s">
        <v>630</v>
      </c>
      <c r="F1020" s="19">
        <v>42588</v>
      </c>
      <c r="G1020"/>
      <c r="J1020">
        <f t="shared" si="329"/>
        <v>87.886771641395995</v>
      </c>
      <c r="K1020">
        <f t="shared" si="329"/>
        <v>90.523374790637874</v>
      </c>
      <c r="L1020">
        <f t="shared" si="329"/>
        <v>93.239076034357026</v>
      </c>
      <c r="M1020">
        <f t="shared" si="329"/>
        <v>96.036248315387724</v>
      </c>
      <c r="N1020">
        <f t="shared" si="329"/>
        <v>98.917335764849383</v>
      </c>
      <c r="O1020">
        <f t="shared" si="329"/>
        <v>101.88485583779485</v>
      </c>
      <c r="P1020">
        <f t="shared" si="329"/>
        <v>104.94140151292871</v>
      </c>
      <c r="Q1020">
        <f t="shared" si="329"/>
        <v>108.08964355831658</v>
      </c>
      <c r="R1020">
        <f t="shared" si="329"/>
        <v>111.33233286506605</v>
      </c>
      <c r="S1020">
        <f t="shared" si="329"/>
        <v>114.67230285101805</v>
      </c>
      <c r="T1020">
        <f t="shared" si="329"/>
        <v>118.11247193654859</v>
      </c>
      <c r="U1020">
        <f t="shared" si="329"/>
        <v>121.65584609464507</v>
      </c>
      <c r="V1020">
        <f t="shared" si="329"/>
        <v>125.30552147748439</v>
      </c>
    </row>
    <row r="1021" spans="2:22">
      <c r="B1021" s="407" t="s">
        <v>631</v>
      </c>
      <c r="F1021" s="19">
        <v>23245</v>
      </c>
      <c r="G1021"/>
      <c r="J1021">
        <f t="shared" si="329"/>
        <v>47.969569052415004</v>
      </c>
      <c r="K1021">
        <f t="shared" si="329"/>
        <v>49.408656123987448</v>
      </c>
      <c r="L1021">
        <f t="shared" si="329"/>
        <v>50.890915807707074</v>
      </c>
      <c r="M1021">
        <f t="shared" si="329"/>
        <v>52.417643281938282</v>
      </c>
      <c r="N1021">
        <f t="shared" si="329"/>
        <v>53.990172580396447</v>
      </c>
      <c r="O1021">
        <f t="shared" si="329"/>
        <v>55.609877757808334</v>
      </c>
      <c r="P1021">
        <f t="shared" si="329"/>
        <v>57.278174090542585</v>
      </c>
      <c r="Q1021">
        <f t="shared" si="329"/>
        <v>58.996519313258872</v>
      </c>
      <c r="R1021">
        <f t="shared" si="329"/>
        <v>60.766414892656634</v>
      </c>
      <c r="S1021">
        <f t="shared" si="329"/>
        <v>62.589407339436335</v>
      </c>
      <c r="T1021">
        <f t="shared" si="329"/>
        <v>64.467089559619424</v>
      </c>
      <c r="U1021">
        <f t="shared" si="329"/>
        <v>66.401102246408016</v>
      </c>
      <c r="V1021">
        <f t="shared" si="329"/>
        <v>68.393135313800244</v>
      </c>
    </row>
    <row r="1022" spans="2:22">
      <c r="B1022" s="407" t="s">
        <v>632</v>
      </c>
      <c r="F1022" s="19">
        <v>8232</v>
      </c>
      <c r="G1022"/>
      <c r="J1022">
        <f t="shared" si="329"/>
        <v>16.987975583543999</v>
      </c>
      <c r="K1022">
        <f t="shared" si="329"/>
        <v>17.497614851050319</v>
      </c>
      <c r="L1022">
        <f t="shared" si="329"/>
        <v>18.02254329658183</v>
      </c>
      <c r="M1022">
        <f t="shared" si="329"/>
        <v>18.563219595479286</v>
      </c>
      <c r="N1022">
        <f t="shared" si="329"/>
        <v>19.120116183343665</v>
      </c>
      <c r="O1022">
        <f t="shared" si="329"/>
        <v>19.693719668843976</v>
      </c>
      <c r="P1022">
        <f t="shared" si="329"/>
        <v>20.284531258909297</v>
      </c>
      <c r="Q1022">
        <f t="shared" si="329"/>
        <v>20.893067196676576</v>
      </c>
      <c r="R1022">
        <f t="shared" si="329"/>
        <v>21.519859212576868</v>
      </c>
      <c r="S1022">
        <f t="shared" si="329"/>
        <v>22.165454988954181</v>
      </c>
      <c r="T1022">
        <f t="shared" si="329"/>
        <v>22.830418638622803</v>
      </c>
      <c r="U1022">
        <f t="shared" si="329"/>
        <v>23.515331197781489</v>
      </c>
      <c r="V1022">
        <f t="shared" si="329"/>
        <v>24.220791133714933</v>
      </c>
    </row>
    <row r="1023" spans="2:22">
      <c r="B1023" s="407" t="s">
        <v>633</v>
      </c>
      <c r="F1023" s="19">
        <v>6780</v>
      </c>
      <c r="G1023"/>
      <c r="J1023">
        <f t="shared" si="329"/>
        <v>13.991554234260001</v>
      </c>
      <c r="K1023">
        <f t="shared" si="329"/>
        <v>14.411300861287799</v>
      </c>
      <c r="L1023">
        <f t="shared" si="329"/>
        <v>14.843639887126434</v>
      </c>
      <c r="M1023">
        <f t="shared" si="329"/>
        <v>15.288949083740226</v>
      </c>
      <c r="N1023">
        <f t="shared" si="329"/>
        <v>15.747617556252438</v>
      </c>
      <c r="O1023">
        <f t="shared" si="329"/>
        <v>16.220046082940009</v>
      </c>
      <c r="P1023">
        <f t="shared" si="329"/>
        <v>16.706647465428212</v>
      </c>
      <c r="Q1023">
        <f t="shared" si="329"/>
        <v>17.207846889391057</v>
      </c>
      <c r="R1023">
        <f t="shared" si="329"/>
        <v>17.724082296072787</v>
      </c>
      <c r="S1023">
        <f t="shared" si="329"/>
        <v>18.255804764954974</v>
      </c>
      <c r="T1023">
        <f t="shared" si="329"/>
        <v>18.803478907903621</v>
      </c>
      <c r="U1023">
        <f t="shared" si="329"/>
        <v>19.367583275140731</v>
      </c>
      <c r="V1023">
        <f t="shared" si="329"/>
        <v>19.94861077339495</v>
      </c>
    </row>
    <row r="1024" spans="2:22">
      <c r="B1024" s="407" t="s">
        <v>634</v>
      </c>
      <c r="F1024" s="19">
        <v>291</v>
      </c>
      <c r="G1024"/>
      <c r="J1024">
        <f t="shared" si="329"/>
        <v>0.60052246049699998</v>
      </c>
      <c r="K1024">
        <f t="shared" si="329"/>
        <v>0.61853813431191007</v>
      </c>
      <c r="L1024">
        <f t="shared" si="329"/>
        <v>0.63709427834126731</v>
      </c>
      <c r="M1024">
        <f t="shared" si="329"/>
        <v>0.65620710669150528</v>
      </c>
      <c r="N1024">
        <f t="shared" si="329"/>
        <v>0.67589331989225065</v>
      </c>
      <c r="O1024">
        <f t="shared" si="329"/>
        <v>0.69617011948901808</v>
      </c>
      <c r="P1024">
        <f t="shared" si="329"/>
        <v>0.71705522307368874</v>
      </c>
      <c r="Q1024">
        <f t="shared" si="329"/>
        <v>0.73856687976589941</v>
      </c>
      <c r="R1024">
        <f t="shared" si="329"/>
        <v>0.76072388615887632</v>
      </c>
      <c r="S1024">
        <f t="shared" si="329"/>
        <v>0.78354560274364271</v>
      </c>
      <c r="T1024">
        <f t="shared" si="329"/>
        <v>0.80705197082595193</v>
      </c>
      <c r="U1024">
        <f t="shared" si="329"/>
        <v>0.83126352995073061</v>
      </c>
      <c r="V1024">
        <f t="shared" si="329"/>
        <v>0.85620143584925235</v>
      </c>
    </row>
    <row r="1025" spans="2:22">
      <c r="B1025" s="407" t="s">
        <v>635</v>
      </c>
      <c r="F1025" s="19">
        <f>G1025-SUM(F1019:F1024)</f>
        <v>42879</v>
      </c>
      <c r="G1025">
        <v>127720</v>
      </c>
      <c r="J1025">
        <f t="shared" si="329"/>
        <v>88.487294101892999</v>
      </c>
      <c r="K1025">
        <f t="shared" si="329"/>
        <v>91.141912924949779</v>
      </c>
      <c r="L1025">
        <f t="shared" si="329"/>
        <v>93.876170312698292</v>
      </c>
      <c r="M1025">
        <f t="shared" si="329"/>
        <v>96.692455422079234</v>
      </c>
      <c r="N1025">
        <f t="shared" si="329"/>
        <v>99.593229084741623</v>
      </c>
      <c r="O1025">
        <f t="shared" si="329"/>
        <v>102.58102595728387</v>
      </c>
      <c r="P1025">
        <f t="shared" si="329"/>
        <v>105.65845673600239</v>
      </c>
      <c r="Q1025">
        <f t="shared" si="329"/>
        <v>108.82821043808248</v>
      </c>
      <c r="R1025">
        <f t="shared" si="329"/>
        <v>112.09305675122494</v>
      </c>
      <c r="S1025">
        <f t="shared" si="329"/>
        <v>115.4558484537617</v>
      </c>
      <c r="T1025">
        <f t="shared" si="329"/>
        <v>118.91952390737454</v>
      </c>
      <c r="U1025">
        <f t="shared" si="329"/>
        <v>122.48710962459579</v>
      </c>
      <c r="V1025">
        <f t="shared" si="329"/>
        <v>126.16172291333365</v>
      </c>
    </row>
    <row r="1026" spans="2:22">
      <c r="C1026" s="407"/>
      <c r="F1026">
        <f>SUM(F1019:F1025)</f>
        <v>127720</v>
      </c>
      <c r="G1026"/>
      <c r="J1026" s="28">
        <f>SUM(J1019:J1025)</f>
        <v>263.56951427723999</v>
      </c>
      <c r="K1026" s="28">
        <f t="shared" ref="K1026:V1026" si="330">SUM(K1019:K1025)</f>
        <v>271.47659970555719</v>
      </c>
      <c r="L1026" s="28">
        <f t="shared" si="330"/>
        <v>279.62089769672394</v>
      </c>
      <c r="M1026" s="28">
        <f t="shared" si="330"/>
        <v>288.00952462762564</v>
      </c>
      <c r="N1026" s="28">
        <f t="shared" si="330"/>
        <v>296.64981036645446</v>
      </c>
      <c r="O1026" s="28">
        <f t="shared" si="330"/>
        <v>305.54930467744805</v>
      </c>
      <c r="P1026" s="28">
        <f t="shared" si="330"/>
        <v>314.71578381777158</v>
      </c>
      <c r="Q1026" s="28">
        <f t="shared" si="330"/>
        <v>324.15725733230471</v>
      </c>
      <c r="R1026" s="28">
        <f t="shared" si="330"/>
        <v>333.88197505227379</v>
      </c>
      <c r="S1026" s="28">
        <f t="shared" si="330"/>
        <v>343.89843430384207</v>
      </c>
      <c r="T1026" s="28">
        <f t="shared" si="330"/>
        <v>354.21538733295728</v>
      </c>
      <c r="U1026" s="28">
        <f t="shared" si="330"/>
        <v>364.84184895294607</v>
      </c>
      <c r="V1026" s="28">
        <f t="shared" si="330"/>
        <v>375.78710442153442</v>
      </c>
    </row>
    <row r="1027" spans="2:22">
      <c r="G1027"/>
    </row>
    <row r="1028" spans="2:22">
      <c r="B1028" t="s">
        <v>642</v>
      </c>
      <c r="F1028">
        <f>-SUM(F1019:F1024)*(1-E1038)</f>
        <v>-61933.93</v>
      </c>
      <c r="G1028"/>
      <c r="J1028">
        <f>-(J1026-J1038)</f>
        <v>-216.29731482989632</v>
      </c>
      <c r="K1028">
        <f t="shared" ref="K1028:V1028" si="331">-(K1026-K1038)</f>
        <v>-222.78623427479317</v>
      </c>
      <c r="L1028">
        <f t="shared" si="331"/>
        <v>-229.46982130303701</v>
      </c>
      <c r="M1028">
        <f t="shared" si="331"/>
        <v>-236.35391594212811</v>
      </c>
      <c r="N1028">
        <f t="shared" si="331"/>
        <v>-243.44453342039196</v>
      </c>
      <c r="O1028">
        <f t="shared" si="331"/>
        <v>-250.74786942300375</v>
      </c>
      <c r="P1028">
        <f t="shared" si="331"/>
        <v>-258.27030550569384</v>
      </c>
      <c r="Q1028">
        <f t="shared" si="331"/>
        <v>-266.01841467086467</v>
      </c>
      <c r="R1028">
        <f t="shared" si="331"/>
        <v>-273.99896711099063</v>
      </c>
      <c r="S1028">
        <f t="shared" si="331"/>
        <v>-282.21893612432035</v>
      </c>
      <c r="T1028">
        <f t="shared" si="331"/>
        <v>-290.68550420804996</v>
      </c>
      <c r="U1028">
        <f t="shared" si="331"/>
        <v>-299.40606933429149</v>
      </c>
      <c r="V1028">
        <f t="shared" si="331"/>
        <v>-308.38825141432017</v>
      </c>
    </row>
    <row r="1029" spans="2:22">
      <c r="B1029" s="279" t="s">
        <v>636</v>
      </c>
      <c r="C1029" s="280"/>
      <c r="D1029" s="280"/>
      <c r="E1029" s="280"/>
      <c r="F1029" s="281">
        <v>-9220.5995016695306</v>
      </c>
      <c r="G1029"/>
      <c r="J1029">
        <f>$F1029*J$1016/Billion</f>
        <v>-19.028099999999995</v>
      </c>
      <c r="K1029">
        <f t="shared" ref="K1029:V1033" si="332">$F1029*K$1016/Billion</f>
        <v>-19.598942999999995</v>
      </c>
      <c r="L1029">
        <f t="shared" si="332"/>
        <v>-20.186911289999998</v>
      </c>
      <c r="M1029">
        <f t="shared" si="332"/>
        <v>-20.792518628699995</v>
      </c>
      <c r="N1029">
        <f t="shared" si="332"/>
        <v>-21.416294187560997</v>
      </c>
      <c r="O1029">
        <f t="shared" si="332"/>
        <v>-22.058783013187828</v>
      </c>
      <c r="P1029">
        <f t="shared" si="332"/>
        <v>-22.720546503583467</v>
      </c>
      <c r="Q1029">
        <f t="shared" si="332"/>
        <v>-23.402162898690968</v>
      </c>
      <c r="R1029">
        <f t="shared" si="332"/>
        <v>-24.104227785651695</v>
      </c>
      <c r="S1029">
        <f t="shared" si="332"/>
        <v>-24.82735461922125</v>
      </c>
      <c r="T1029">
        <f t="shared" si="332"/>
        <v>-25.572175257797888</v>
      </c>
      <c r="U1029">
        <f t="shared" si="332"/>
        <v>-26.339340515531827</v>
      </c>
      <c r="V1029">
        <f t="shared" si="332"/>
        <v>-27.129520730997776</v>
      </c>
    </row>
    <row r="1030" spans="2:22">
      <c r="B1030" s="282" t="s">
        <v>637</v>
      </c>
      <c r="F1030" s="283">
        <v>-4092.01</v>
      </c>
      <c r="G1030"/>
      <c r="J1030">
        <f>$F1030*J$1016/Billion</f>
        <v>-8.4444808026746703</v>
      </c>
      <c r="K1030">
        <f t="shared" si="332"/>
        <v>-8.697815226754912</v>
      </c>
      <c r="L1030">
        <f t="shared" si="332"/>
        <v>-8.9587496835575582</v>
      </c>
      <c r="M1030">
        <f t="shared" si="332"/>
        <v>-9.2275121740642856</v>
      </c>
      <c r="N1030">
        <f t="shared" si="332"/>
        <v>-9.5043375392862153</v>
      </c>
      <c r="O1030">
        <f t="shared" si="332"/>
        <v>-9.7894676654647999</v>
      </c>
      <c r="P1030">
        <f t="shared" si="332"/>
        <v>-10.083151695428745</v>
      </c>
      <c r="Q1030">
        <f t="shared" si="332"/>
        <v>-10.385646246291609</v>
      </c>
      <c r="R1030">
        <f t="shared" si="332"/>
        <v>-10.697215633680354</v>
      </c>
      <c r="S1030">
        <f t="shared" si="332"/>
        <v>-11.018132102690767</v>
      </c>
      <c r="T1030">
        <f t="shared" si="332"/>
        <v>-11.348676065771491</v>
      </c>
      <c r="U1030">
        <f t="shared" si="332"/>
        <v>-11.689136347744636</v>
      </c>
      <c r="V1030">
        <f t="shared" si="332"/>
        <v>-12.039810438176973</v>
      </c>
    </row>
    <row r="1031" spans="2:22">
      <c r="B1031" s="282" t="s">
        <v>638</v>
      </c>
      <c r="F1031" s="283">
        <v>-9665.6004983304592</v>
      </c>
      <c r="G1031"/>
      <c r="J1031">
        <f>$F1031*J$1016/Billion</f>
        <v>-19.946426781575386</v>
      </c>
      <c r="K1031">
        <f t="shared" si="332"/>
        <v>-20.544819585022644</v>
      </c>
      <c r="L1031">
        <f t="shared" si="332"/>
        <v>-21.161164172573326</v>
      </c>
      <c r="M1031">
        <f t="shared" si="332"/>
        <v>-21.795999097750528</v>
      </c>
      <c r="N1031">
        <f t="shared" si="332"/>
        <v>-22.449879070683043</v>
      </c>
      <c r="O1031">
        <f t="shared" si="332"/>
        <v>-23.123375442803535</v>
      </c>
      <c r="P1031">
        <f t="shared" si="332"/>
        <v>-23.817076706087644</v>
      </c>
      <c r="Q1031">
        <f t="shared" si="332"/>
        <v>-24.53158900727027</v>
      </c>
      <c r="R1031">
        <f t="shared" si="332"/>
        <v>-25.267536677488376</v>
      </c>
      <c r="S1031">
        <f t="shared" si="332"/>
        <v>-26.025562777813033</v>
      </c>
      <c r="T1031">
        <f t="shared" si="332"/>
        <v>-26.806329661147423</v>
      </c>
      <c r="U1031">
        <f t="shared" si="332"/>
        <v>-27.610519550981849</v>
      </c>
      <c r="V1031">
        <f t="shared" si="332"/>
        <v>-28.438835137511298</v>
      </c>
    </row>
    <row r="1032" spans="2:22">
      <c r="B1032" s="284" t="s">
        <v>639</v>
      </c>
      <c r="C1032" s="118"/>
      <c r="D1032" s="118"/>
      <c r="E1032" s="118"/>
      <c r="F1032" s="212">
        <f>F1028-SUM(F1029:F1031)</f>
        <v>-38955.720000000008</v>
      </c>
      <c r="G1032"/>
      <c r="J1032">
        <f>$F1032*J$1016/Billion</f>
        <v>-80.39101314375327</v>
      </c>
      <c r="K1032">
        <f t="shared" si="332"/>
        <v>-82.802743538065855</v>
      </c>
      <c r="L1032">
        <f t="shared" si="332"/>
        <v>-85.28682584420784</v>
      </c>
      <c r="M1032">
        <f t="shared" si="332"/>
        <v>-87.845430619534071</v>
      </c>
      <c r="N1032">
        <f t="shared" si="332"/>
        <v>-90.480793538120096</v>
      </c>
      <c r="O1032">
        <f t="shared" si="332"/>
        <v>-93.195217344263696</v>
      </c>
      <c r="P1032">
        <f t="shared" si="332"/>
        <v>-95.991073864591627</v>
      </c>
      <c r="Q1032">
        <f t="shared" si="332"/>
        <v>-98.870806080529377</v>
      </c>
      <c r="R1032">
        <f t="shared" si="332"/>
        <v>-101.83693026294524</v>
      </c>
      <c r="S1032">
        <f t="shared" si="332"/>
        <v>-104.89203817083362</v>
      </c>
      <c r="T1032">
        <f t="shared" si="332"/>
        <v>-108.03879931595861</v>
      </c>
      <c r="U1032">
        <f t="shared" si="332"/>
        <v>-111.2799632954374</v>
      </c>
      <c r="V1032">
        <f t="shared" si="332"/>
        <v>-114.61836219430049</v>
      </c>
    </row>
    <row r="1033" spans="2:22">
      <c r="B1033" s="284" t="s">
        <v>401</v>
      </c>
      <c r="C1033" s="118"/>
      <c r="D1033" s="118"/>
      <c r="E1033" s="118"/>
      <c r="F1033" s="212">
        <f>-F1025</f>
        <v>-42879</v>
      </c>
      <c r="G1033"/>
      <c r="J1033">
        <f>$F1033*J$1016/Billion</f>
        <v>-88.487294101892999</v>
      </c>
      <c r="K1033">
        <f t="shared" si="332"/>
        <v>-91.141912924949779</v>
      </c>
      <c r="L1033">
        <f t="shared" si="332"/>
        <v>-93.876170312698292</v>
      </c>
      <c r="M1033">
        <f t="shared" si="332"/>
        <v>-96.692455422079234</v>
      </c>
      <c r="N1033">
        <f t="shared" si="332"/>
        <v>-99.593229084741623</v>
      </c>
      <c r="O1033">
        <f t="shared" si="332"/>
        <v>-102.58102595728387</v>
      </c>
      <c r="P1033">
        <f t="shared" si="332"/>
        <v>-105.65845673600239</v>
      </c>
      <c r="Q1033">
        <f t="shared" si="332"/>
        <v>-108.82821043808248</v>
      </c>
      <c r="R1033">
        <f t="shared" si="332"/>
        <v>-112.09305675122494</v>
      </c>
      <c r="S1033">
        <f t="shared" si="332"/>
        <v>-115.4558484537617</v>
      </c>
      <c r="T1033">
        <f t="shared" si="332"/>
        <v>-118.91952390737454</v>
      </c>
      <c r="U1033">
        <f t="shared" si="332"/>
        <v>-122.48710962459579</v>
      </c>
      <c r="V1033">
        <f t="shared" si="332"/>
        <v>-126.16172291333365</v>
      </c>
    </row>
    <row r="1034" spans="2:22">
      <c r="F1034" s="21"/>
      <c r="G1034"/>
      <c r="J1034">
        <f>SUM(J1029:J1033)</f>
        <v>-216.29731482989632</v>
      </c>
      <c r="K1034">
        <f t="shared" ref="K1034:V1034" si="333">SUM(K1029:K1033)</f>
        <v>-222.78623427479317</v>
      </c>
      <c r="L1034">
        <f t="shared" si="333"/>
        <v>-229.46982130303701</v>
      </c>
      <c r="M1034">
        <f t="shared" si="333"/>
        <v>-236.35391594212811</v>
      </c>
      <c r="N1034">
        <f t="shared" si="333"/>
        <v>-243.44453342039196</v>
      </c>
      <c r="O1034">
        <f t="shared" si="333"/>
        <v>-250.74786942300375</v>
      </c>
      <c r="P1034">
        <f t="shared" si="333"/>
        <v>-258.27030550569384</v>
      </c>
      <c r="Q1034">
        <f t="shared" si="333"/>
        <v>-266.01841467086467</v>
      </c>
      <c r="R1034">
        <f t="shared" si="333"/>
        <v>-273.99896711099063</v>
      </c>
      <c r="S1034">
        <f t="shared" si="333"/>
        <v>-282.21893612432035</v>
      </c>
      <c r="T1034">
        <f t="shared" si="333"/>
        <v>-290.68550420804996</v>
      </c>
      <c r="U1034">
        <f t="shared" si="333"/>
        <v>-299.40606933429149</v>
      </c>
      <c r="V1034">
        <f t="shared" si="333"/>
        <v>-308.38825141432017</v>
      </c>
    </row>
    <row r="1035" spans="2:22">
      <c r="G1035"/>
      <c r="J1035" t="b">
        <f t="shared" ref="J1035:V1035" si="334">J1034=J1028</f>
        <v>1</v>
      </c>
      <c r="K1035" t="b">
        <f t="shared" si="334"/>
        <v>1</v>
      </c>
      <c r="L1035" t="b">
        <f t="shared" si="334"/>
        <v>1</v>
      </c>
      <c r="M1035" t="b">
        <f t="shared" si="334"/>
        <v>1</v>
      </c>
      <c r="N1035" t="b">
        <f t="shared" si="334"/>
        <v>1</v>
      </c>
      <c r="O1035" t="b">
        <f t="shared" si="334"/>
        <v>1</v>
      </c>
      <c r="P1035" t="b">
        <f t="shared" si="334"/>
        <v>1</v>
      </c>
      <c r="Q1035" t="b">
        <f t="shared" si="334"/>
        <v>1</v>
      </c>
      <c r="R1035" t="b">
        <f t="shared" si="334"/>
        <v>1</v>
      </c>
      <c r="S1035" t="b">
        <f t="shared" si="334"/>
        <v>1</v>
      </c>
      <c r="T1035" t="b">
        <f t="shared" si="334"/>
        <v>1</v>
      </c>
      <c r="U1035" t="b">
        <f t="shared" si="334"/>
        <v>1</v>
      </c>
      <c r="V1035" t="b">
        <f t="shared" si="334"/>
        <v>1</v>
      </c>
    </row>
    <row r="1036" spans="2:22">
      <c r="B1036" t="s">
        <v>9</v>
      </c>
      <c r="G1036"/>
      <c r="J1036">
        <f>SUM(J1002,J1026)</f>
        <v>456.93611833517997</v>
      </c>
      <c r="K1036">
        <f t="shared" ref="K1036:V1036" si="335">SUM(K1002,K1026)</f>
        <v>470.64420188523536</v>
      </c>
      <c r="L1036">
        <f t="shared" si="335"/>
        <v>484.7635279417924</v>
      </c>
      <c r="M1036">
        <f t="shared" si="335"/>
        <v>499.30643378004623</v>
      </c>
      <c r="N1036">
        <f t="shared" si="335"/>
        <v>514.2856267934477</v>
      </c>
      <c r="O1036">
        <f t="shared" si="335"/>
        <v>529.71419559725109</v>
      </c>
      <c r="P1036">
        <f t="shared" si="335"/>
        <v>545.60562146516872</v>
      </c>
      <c r="Q1036">
        <f t="shared" si="335"/>
        <v>561.97379010912368</v>
      </c>
      <c r="R1036">
        <f t="shared" si="335"/>
        <v>578.83300381239746</v>
      </c>
      <c r="S1036">
        <f t="shared" si="335"/>
        <v>596.19799392676941</v>
      </c>
      <c r="T1036">
        <f t="shared" si="335"/>
        <v>614.08393374457239</v>
      </c>
      <c r="U1036">
        <f t="shared" si="335"/>
        <v>632.50645175690966</v>
      </c>
      <c r="V1036">
        <f t="shared" si="335"/>
        <v>651.48164530961697</v>
      </c>
    </row>
    <row r="1037" spans="2:22">
      <c r="G1037"/>
    </row>
    <row r="1038" spans="2:22">
      <c r="B1038" t="s">
        <v>434</v>
      </c>
      <c r="E1038" s="39">
        <f>E1013</f>
        <v>0.27</v>
      </c>
      <c r="G1038"/>
      <c r="J1038">
        <f>SUM(J1026,J1034)</f>
        <v>47.272199447343667</v>
      </c>
      <c r="K1038">
        <f t="shared" ref="K1038:V1038" si="336">SUM(K1026,K1034)</f>
        <v>48.690365430764018</v>
      </c>
      <c r="L1038">
        <f t="shared" si="336"/>
        <v>50.151076393686935</v>
      </c>
      <c r="M1038">
        <f t="shared" si="336"/>
        <v>51.655608685497526</v>
      </c>
      <c r="N1038">
        <f t="shared" si="336"/>
        <v>53.205276946062497</v>
      </c>
      <c r="O1038">
        <f t="shared" si="336"/>
        <v>54.8014352544443</v>
      </c>
      <c r="P1038">
        <f t="shared" si="336"/>
        <v>56.445478312077739</v>
      </c>
      <c r="Q1038">
        <f t="shared" si="336"/>
        <v>58.138842661440037</v>
      </c>
      <c r="R1038">
        <f t="shared" si="336"/>
        <v>59.883007941283154</v>
      </c>
      <c r="S1038">
        <f t="shared" si="336"/>
        <v>61.679498179521715</v>
      </c>
      <c r="T1038">
        <f t="shared" si="336"/>
        <v>63.529883124907315</v>
      </c>
      <c r="U1038">
        <f t="shared" si="336"/>
        <v>65.435779618654578</v>
      </c>
      <c r="V1038">
        <f t="shared" si="336"/>
        <v>67.398853007214257</v>
      </c>
    </row>
    <row r="1039" spans="2:22">
      <c r="G1039"/>
    </row>
    <row r="1040" spans="2:22">
      <c r="B1040" s="28" t="s">
        <v>643</v>
      </c>
      <c r="C1040" s="28"/>
      <c r="D1040" s="28"/>
      <c r="E1040" s="28"/>
      <c r="F1040" s="28"/>
      <c r="G1040" s="28"/>
      <c r="H1040" s="28"/>
      <c r="I1040" s="28"/>
      <c r="J1040" s="28">
        <f>SUM(J1013,J1038)</f>
        <v>81.134480303319037</v>
      </c>
      <c r="K1040" s="28">
        <f t="shared" ref="K1040:V1040" si="337">SUM(K1013,K1038)</f>
        <v>83.568514712418676</v>
      </c>
      <c r="L1040" s="28">
        <f t="shared" si="337"/>
        <v>86.075570153791176</v>
      </c>
      <c r="M1040" s="28">
        <f t="shared" si="337"/>
        <v>88.657837258404925</v>
      </c>
      <c r="N1040" s="28">
        <f t="shared" si="337"/>
        <v>91.317572376157131</v>
      </c>
      <c r="O1040" s="28">
        <f t="shared" si="337"/>
        <v>94.057099547441766</v>
      </c>
      <c r="P1040" s="28">
        <f t="shared" si="337"/>
        <v>96.87881253386513</v>
      </c>
      <c r="Q1040" s="28">
        <f t="shared" si="337"/>
        <v>99.785176909881045</v>
      </c>
      <c r="R1040" s="28">
        <f t="shared" si="337"/>
        <v>102.77873221717738</v>
      </c>
      <c r="S1040" s="28">
        <f t="shared" si="337"/>
        <v>105.86209418369279</v>
      </c>
      <c r="T1040" s="28">
        <f t="shared" si="337"/>
        <v>109.03795700920352</v>
      </c>
      <c r="U1040" s="28">
        <f t="shared" si="337"/>
        <v>112.30909571947967</v>
      </c>
      <c r="V1040" s="28">
        <f t="shared" si="337"/>
        <v>115.67836859106413</v>
      </c>
    </row>
    <row r="1041" spans="2:22">
      <c r="G1041"/>
    </row>
    <row r="1042" spans="2:22">
      <c r="G1042"/>
    </row>
    <row r="1043" spans="2:22" ht="15.75">
      <c r="B1043" s="15" t="s">
        <v>644</v>
      </c>
      <c r="G1043"/>
    </row>
    <row r="1044" spans="2:22" ht="15.75">
      <c r="B1044" s="15" t="s">
        <v>626</v>
      </c>
      <c r="G1044"/>
    </row>
    <row r="1045" spans="2:22">
      <c r="B1045" t="s">
        <v>407</v>
      </c>
      <c r="G1045"/>
      <c r="J1045">
        <f>J26+J31/2</f>
        <v>1602574.2089999998</v>
      </c>
      <c r="K1045">
        <f t="shared" ref="K1045:V1045" si="338">K26+K31/2</f>
        <v>1650651.4352699998</v>
      </c>
      <c r="L1045">
        <f t="shared" si="338"/>
        <v>1700170.9783280997</v>
      </c>
      <c r="M1045">
        <f t="shared" si="338"/>
        <v>1751176.1076779428</v>
      </c>
      <c r="N1045">
        <f t="shared" si="338"/>
        <v>1803711.3909082813</v>
      </c>
      <c r="O1045">
        <f t="shared" si="338"/>
        <v>2357822.7326355297</v>
      </c>
      <c r="P1045">
        <f t="shared" si="338"/>
        <v>2663557.4146145955</v>
      </c>
      <c r="Q1045">
        <f t="shared" si="338"/>
        <v>3320964.1370530333</v>
      </c>
      <c r="R1045">
        <f t="shared" si="338"/>
        <v>3030093.061164625</v>
      </c>
      <c r="S1045">
        <f t="shared" si="338"/>
        <v>3590995.8529995633</v>
      </c>
      <c r="T1045">
        <f t="shared" si="338"/>
        <v>3653725.7285895501</v>
      </c>
      <c r="U1045">
        <f t="shared" si="338"/>
        <v>2218337.5004472369</v>
      </c>
      <c r="V1045">
        <f t="shared" si="338"/>
        <v>3784887.625460654</v>
      </c>
    </row>
    <row r="1046" spans="2:22">
      <c r="G1046"/>
    </row>
    <row r="1047" spans="2:22" ht="30">
      <c r="E1047" s="9" t="s">
        <v>645</v>
      </c>
      <c r="F1047" s="9" t="s">
        <v>646</v>
      </c>
      <c r="G1047" s="9" t="s">
        <v>642</v>
      </c>
    </row>
    <row r="1048" spans="2:22">
      <c r="B1048" t="s">
        <v>629</v>
      </c>
      <c r="E1048" s="19">
        <v>2526</v>
      </c>
      <c r="F1048" s="19">
        <f>E1048</f>
        <v>2526</v>
      </c>
      <c r="G1048"/>
      <c r="J1048">
        <f t="shared" ref="J1048:V1054" si="339">$F1048*J$1045/Billion</f>
        <v>4.0481024519339996</v>
      </c>
      <c r="K1048">
        <f t="shared" si="339"/>
        <v>4.16954552549202</v>
      </c>
      <c r="L1048">
        <f t="shared" si="339"/>
        <v>4.2946318912567794</v>
      </c>
      <c r="M1048">
        <f t="shared" si="339"/>
        <v>4.4234708479944835</v>
      </c>
      <c r="N1048">
        <f t="shared" si="339"/>
        <v>4.5561749734343184</v>
      </c>
      <c r="O1048">
        <f t="shared" si="339"/>
        <v>5.955860222637348</v>
      </c>
      <c r="P1048">
        <f t="shared" si="339"/>
        <v>6.7281460293164681</v>
      </c>
      <c r="Q1048">
        <f t="shared" si="339"/>
        <v>8.3887554101959623</v>
      </c>
      <c r="R1048">
        <f t="shared" si="339"/>
        <v>7.6540150725018421</v>
      </c>
      <c r="S1048">
        <f t="shared" si="339"/>
        <v>9.0708555246768974</v>
      </c>
      <c r="T1048">
        <f t="shared" si="339"/>
        <v>9.2293111904172047</v>
      </c>
      <c r="U1048">
        <f t="shared" si="339"/>
        <v>5.6035205261297207</v>
      </c>
      <c r="V1048">
        <f t="shared" si="339"/>
        <v>9.5606261419136125</v>
      </c>
    </row>
    <row r="1049" spans="2:22">
      <c r="B1049" t="s">
        <v>630</v>
      </c>
      <c r="E1049" s="19">
        <v>36303</v>
      </c>
      <c r="F1049" s="19">
        <f>E1049</f>
        <v>36303</v>
      </c>
      <c r="G1049"/>
      <c r="J1049">
        <f t="shared" si="339"/>
        <v>58.178251509326998</v>
      </c>
      <c r="K1049">
        <f t="shared" si="339"/>
        <v>59.923599054606804</v>
      </c>
      <c r="L1049">
        <f t="shared" si="339"/>
        <v>61.721307026245</v>
      </c>
      <c r="M1049">
        <f t="shared" si="339"/>
        <v>63.572946237032355</v>
      </c>
      <c r="N1049">
        <f t="shared" si="339"/>
        <v>65.480134624143332</v>
      </c>
      <c r="O1049">
        <f t="shared" si="339"/>
        <v>85.596038662867628</v>
      </c>
      <c r="P1049">
        <f t="shared" si="339"/>
        <v>96.695124822753655</v>
      </c>
      <c r="Q1049">
        <f t="shared" si="339"/>
        <v>120.56096106743627</v>
      </c>
      <c r="R1049">
        <f t="shared" si="339"/>
        <v>110.00146839945938</v>
      </c>
      <c r="S1049">
        <f t="shared" si="339"/>
        <v>130.36392245144316</v>
      </c>
      <c r="T1049">
        <f t="shared" si="339"/>
        <v>132.64120512498644</v>
      </c>
      <c r="U1049">
        <f t="shared" si="339"/>
        <v>80.532306278736044</v>
      </c>
      <c r="V1049">
        <f t="shared" si="339"/>
        <v>137.40277546709814</v>
      </c>
    </row>
    <row r="1050" spans="2:22">
      <c r="B1050" s="407" t="s">
        <v>631</v>
      </c>
      <c r="E1050" s="19">
        <v>23777</v>
      </c>
      <c r="F1050" s="19">
        <f>-SUM(E1065:F1065)/G1050*E1050</f>
        <v>8584.6810575874533</v>
      </c>
      <c r="G1050">
        <f>E1050*(1-E1068)</f>
        <v>17357.21</v>
      </c>
      <c r="J1050">
        <f t="shared" si="339"/>
        <v>13.757588455380494</v>
      </c>
      <c r="K1050">
        <f t="shared" si="339"/>
        <v>14.170316109041909</v>
      </c>
      <c r="L1050">
        <f t="shared" si="339"/>
        <v>14.595425592313166</v>
      </c>
      <c r="M1050">
        <f t="shared" si="339"/>
        <v>15.033288360082562</v>
      </c>
      <c r="N1050">
        <f t="shared" si="339"/>
        <v>15.484287010885041</v>
      </c>
      <c r="O1050">
        <f t="shared" si="339"/>
        <v>20.241156150005317</v>
      </c>
      <c r="P1050">
        <f t="shared" si="339"/>
        <v>22.865790883038528</v>
      </c>
      <c r="Q1050">
        <f t="shared" si="339"/>
        <v>28.509417920286438</v>
      </c>
      <c r="R1050">
        <f t="shared" si="339"/>
        <v>26.012382504907134</v>
      </c>
      <c r="S1050">
        <f t="shared" si="339"/>
        <v>30.82755407712045</v>
      </c>
      <c r="T1050">
        <f t="shared" si="339"/>
        <v>31.366070051842627</v>
      </c>
      <c r="U1050">
        <f t="shared" si="339"/>
        <v>19.043719919425293</v>
      </c>
      <c r="V1050">
        <f t="shared" si="339"/>
        <v>32.492053103389232</v>
      </c>
    </row>
    <row r="1051" spans="2:22">
      <c r="B1051" s="407" t="s">
        <v>632</v>
      </c>
      <c r="E1051" s="19">
        <v>8421</v>
      </c>
      <c r="F1051" s="19">
        <f>-SUM(E1066:F1066)/G1051*E1051</f>
        <v>6393.8535185530009</v>
      </c>
      <c r="G1051">
        <f>E1051*(1-E1068)</f>
        <v>6147.33</v>
      </c>
      <c r="J1051">
        <f t="shared" si="339"/>
        <v>10.246624744956941</v>
      </c>
      <c r="K1051">
        <f t="shared" si="339"/>
        <v>10.554023487305649</v>
      </c>
      <c r="L1051">
        <f t="shared" si="339"/>
        <v>10.870644191924818</v>
      </c>
      <c r="M1051">
        <f t="shared" si="339"/>
        <v>11.196763517682564</v>
      </c>
      <c r="N1051">
        <f t="shared" si="339"/>
        <v>11.53266642321304</v>
      </c>
      <c r="O1051">
        <f t="shared" si="339"/>
        <v>15.075573175185932</v>
      </c>
      <c r="P1051">
        <f t="shared" si="339"/>
        <v>17.030395947301464</v>
      </c>
      <c r="Q1051">
        <f t="shared" si="339"/>
        <v>21.233758232684867</v>
      </c>
      <c r="R1051">
        <f t="shared" si="339"/>
        <v>19.37397118067047</v>
      </c>
      <c r="S1051">
        <f t="shared" si="339"/>
        <v>22.960301469810492</v>
      </c>
      <c r="T1051">
        <f t="shared" si="339"/>
        <v>23.361387105569925</v>
      </c>
      <c r="U1051">
        <f t="shared" si="339"/>
        <v>14.183725032572635</v>
      </c>
      <c r="V1051">
        <f t="shared" si="339"/>
        <v>24.200017061379313</v>
      </c>
    </row>
    <row r="1052" spans="2:22">
      <c r="B1052" s="407" t="s">
        <v>633</v>
      </c>
      <c r="E1052" s="19">
        <v>6935</v>
      </c>
      <c r="F1052" s="19">
        <f>E1052</f>
        <v>6935</v>
      </c>
      <c r="G1052"/>
      <c r="J1052">
        <f t="shared" si="339"/>
        <v>11.113852139414998</v>
      </c>
      <c r="K1052">
        <f t="shared" si="339"/>
        <v>11.447267703597449</v>
      </c>
      <c r="L1052">
        <f t="shared" si="339"/>
        <v>11.790685734705372</v>
      </c>
      <c r="M1052">
        <f t="shared" si="339"/>
        <v>12.144406306746534</v>
      </c>
      <c r="N1052">
        <f t="shared" si="339"/>
        <v>12.508738495948931</v>
      </c>
      <c r="O1052">
        <f t="shared" si="339"/>
        <v>16.351500650827397</v>
      </c>
      <c r="P1052">
        <f t="shared" si="339"/>
        <v>18.471770670352218</v>
      </c>
      <c r="Q1052">
        <f t="shared" si="339"/>
        <v>23.030886290462789</v>
      </c>
      <c r="R1052">
        <f t="shared" si="339"/>
        <v>21.013695379176674</v>
      </c>
      <c r="S1052">
        <f t="shared" si="339"/>
        <v>24.903556240551971</v>
      </c>
      <c r="T1052">
        <f t="shared" si="339"/>
        <v>25.338587927768533</v>
      </c>
      <c r="U1052">
        <f t="shared" si="339"/>
        <v>15.384170565601588</v>
      </c>
      <c r="V1052">
        <f t="shared" si="339"/>
        <v>26.248195682569637</v>
      </c>
    </row>
    <row r="1053" spans="2:22">
      <c r="B1053" s="407" t="s">
        <v>634</v>
      </c>
      <c r="E1053" s="19">
        <v>297</v>
      </c>
      <c r="F1053" s="19">
        <v>297</v>
      </c>
      <c r="G1053"/>
      <c r="J1053">
        <f t="shared" si="339"/>
        <v>0.47596454007299993</v>
      </c>
      <c r="K1053">
        <f t="shared" si="339"/>
        <v>0.49024347627518994</v>
      </c>
      <c r="L1053">
        <f t="shared" si="339"/>
        <v>0.50495078056344567</v>
      </c>
      <c r="M1053">
        <f t="shared" si="339"/>
        <v>0.52009930398034898</v>
      </c>
      <c r="N1053">
        <f t="shared" si="339"/>
        <v>0.53570228309975954</v>
      </c>
      <c r="O1053">
        <f t="shared" si="339"/>
        <v>0.70027335159275239</v>
      </c>
      <c r="P1053">
        <f t="shared" si="339"/>
        <v>0.79107655214053485</v>
      </c>
      <c r="Q1053">
        <f t="shared" si="339"/>
        <v>0.98632634870475089</v>
      </c>
      <c r="R1053">
        <f t="shared" si="339"/>
        <v>0.89993763916589364</v>
      </c>
      <c r="S1053">
        <f t="shared" si="339"/>
        <v>1.0665257683408702</v>
      </c>
      <c r="T1053">
        <f t="shared" si="339"/>
        <v>1.0851565413910964</v>
      </c>
      <c r="U1053">
        <f t="shared" si="339"/>
        <v>0.65884623763282946</v>
      </c>
      <c r="V1053">
        <f t="shared" si="339"/>
        <v>1.1241116247618144</v>
      </c>
    </row>
    <row r="1054" spans="2:22">
      <c r="B1054" s="407" t="s">
        <v>647</v>
      </c>
      <c r="E1054" s="19">
        <f>F1001</f>
        <v>42401</v>
      </c>
      <c r="F1054" s="19">
        <f>SUM(E1048:E1054)-SUM(F1048:F1053)</f>
        <v>59620.465423859547</v>
      </c>
      <c r="G1054">
        <f>E1054-F1054</f>
        <v>-17219.465423859547</v>
      </c>
      <c r="J1054">
        <f t="shared" si="339"/>
        <v>95.546220216853541</v>
      </c>
      <c r="K1054">
        <f t="shared" si="339"/>
        <v>98.412606823359155</v>
      </c>
      <c r="L1054">
        <f t="shared" si="339"/>
        <v>101.36498502805992</v>
      </c>
      <c r="M1054">
        <f t="shared" si="339"/>
        <v>104.40593457890174</v>
      </c>
      <c r="N1054">
        <f t="shared" si="339"/>
        <v>107.5381126162688</v>
      </c>
      <c r="O1054">
        <f t="shared" si="339"/>
        <v>140.57448870668665</v>
      </c>
      <c r="P1054">
        <f t="shared" si="339"/>
        <v>158.80253274249421</v>
      </c>
      <c r="Q1054">
        <f t="shared" si="339"/>
        <v>197.99742750704795</v>
      </c>
      <c r="R1054">
        <f t="shared" si="339"/>
        <v>180.65555858424224</v>
      </c>
      <c r="S1054">
        <f t="shared" si="339"/>
        <v>214.0968440909835</v>
      </c>
      <c r="T1054">
        <f t="shared" si="339"/>
        <v>217.8368284696393</v>
      </c>
      <c r="U1054">
        <f t="shared" si="339"/>
        <v>132.2583142438655</v>
      </c>
      <c r="V1054">
        <f t="shared" si="339"/>
        <v>225.65676180697079</v>
      </c>
    </row>
    <row r="1055" spans="2:22">
      <c r="C1055" s="407"/>
      <c r="E1055">
        <f>SUM(E1048:E1054)</f>
        <v>120660</v>
      </c>
      <c r="F1055">
        <f>SUM(F1048:F1054)</f>
        <v>120660</v>
      </c>
      <c r="G1055">
        <f>E1055-F1055</f>
        <v>0</v>
      </c>
      <c r="J1055" s="28">
        <f>SUM(J1048:J1054)</f>
        <v>193.36660405793998</v>
      </c>
      <c r="K1055" s="28">
        <f t="shared" ref="K1055:V1055" si="340">SUM(K1048:K1054)</f>
        <v>199.16760217967817</v>
      </c>
      <c r="L1055" s="28">
        <f t="shared" si="340"/>
        <v>205.14263024506852</v>
      </c>
      <c r="M1055" s="28">
        <f t="shared" si="340"/>
        <v>211.2969091524206</v>
      </c>
      <c r="N1055" s="28">
        <f t="shared" si="340"/>
        <v>217.63581642699324</v>
      </c>
      <c r="O1055" s="28">
        <f t="shared" si="340"/>
        <v>284.49489091980303</v>
      </c>
      <c r="P1055" s="28">
        <f t="shared" si="340"/>
        <v>321.38483764739703</v>
      </c>
      <c r="Q1055" s="28">
        <f t="shared" si="340"/>
        <v>400.70753277681899</v>
      </c>
      <c r="R1055" s="28">
        <f t="shared" si="340"/>
        <v>365.61102876012365</v>
      </c>
      <c r="S1055" s="28">
        <f t="shared" si="340"/>
        <v>433.28955962292736</v>
      </c>
      <c r="T1055" s="28">
        <f t="shared" si="340"/>
        <v>440.85854641161512</v>
      </c>
      <c r="U1055" s="28">
        <f t="shared" si="340"/>
        <v>267.66460280396359</v>
      </c>
      <c r="V1055" s="28">
        <f t="shared" si="340"/>
        <v>456.68454088808255</v>
      </c>
    </row>
    <row r="1056" spans="2:22">
      <c r="B1056" t="s">
        <v>648</v>
      </c>
      <c r="G1056"/>
    </row>
    <row r="1057" spans="2:22">
      <c r="B1057" t="s">
        <v>642</v>
      </c>
      <c r="E1057">
        <f>SUM(E1058:E1061)</f>
        <v>-57129.07</v>
      </c>
      <c r="F1057">
        <f>SUM(F1058:F1061)</f>
        <v>-37160.395760733183</v>
      </c>
      <c r="G1057">
        <f>E1057-F1057</f>
        <v>-19968.674239266817</v>
      </c>
      <c r="J1057">
        <f>SUM(J1058:J1062)</f>
        <v>-155.09851205923746</v>
      </c>
      <c r="K1057">
        <f t="shared" ref="K1057:V1057" si="341">SUM(K1058:K1062)</f>
        <v>-159.75146742101458</v>
      </c>
      <c r="L1057">
        <f t="shared" si="341"/>
        <v>-164.54401144364502</v>
      </c>
      <c r="M1057">
        <f t="shared" si="341"/>
        <v>-169.48033178695442</v>
      </c>
      <c r="N1057">
        <f t="shared" si="341"/>
        <v>-174.56474174056305</v>
      </c>
      <c r="O1057">
        <f t="shared" si="341"/>
        <v>-179.80168399277994</v>
      </c>
      <c r="P1057">
        <f t="shared" si="341"/>
        <v>-185.19573451256332</v>
      </c>
      <c r="Q1057">
        <f t="shared" si="341"/>
        <v>-190.75160654794024</v>
      </c>
      <c r="R1057">
        <f t="shared" si="341"/>
        <v>-196.47415474437844</v>
      </c>
      <c r="S1057">
        <f t="shared" si="341"/>
        <v>-202.36837938670982</v>
      </c>
      <c r="T1057">
        <f t="shared" si="341"/>
        <v>-208.4394307683111</v>
      </c>
      <c r="U1057">
        <f t="shared" si="341"/>
        <v>-214.69261369136044</v>
      </c>
      <c r="V1057">
        <f t="shared" si="341"/>
        <v>-221.13339210210125</v>
      </c>
    </row>
    <row r="1058" spans="2:22">
      <c r="B1058" s="279" t="s">
        <v>636</v>
      </c>
      <c r="C1058" s="280"/>
      <c r="D1058" s="285">
        <f t="shared" ref="D1058:D1063" si="342">E1058/E$1057</f>
        <v>0.118128830743832</v>
      </c>
      <c r="E1058" s="472">
        <f>F1005</f>
        <v>-6748.59024058253</v>
      </c>
      <c r="F1058" s="281">
        <v>-6748.59024058253</v>
      </c>
      <c r="G1058" s="21"/>
      <c r="J1058">
        <f>$F1058*J$992/Billion</f>
        <v>-10.815116666666666</v>
      </c>
      <c r="K1058">
        <f t="shared" ref="K1058:V1062" si="343">$F1058*K$992/Billion</f>
        <v>-11.139570166666665</v>
      </c>
      <c r="L1058">
        <f t="shared" si="343"/>
        <v>-11.473757271666665</v>
      </c>
      <c r="M1058">
        <f t="shared" si="343"/>
        <v>-11.817969989816667</v>
      </c>
      <c r="N1058">
        <f t="shared" si="343"/>
        <v>-12.172509089511168</v>
      </c>
      <c r="O1058">
        <f t="shared" si="343"/>
        <v>-12.537684362196503</v>
      </c>
      <c r="P1058">
        <f t="shared" si="343"/>
        <v>-12.913814893062399</v>
      </c>
      <c r="Q1058">
        <f t="shared" si="343"/>
        <v>-13.30122933985427</v>
      </c>
      <c r="R1058">
        <f t="shared" si="343"/>
        <v>-13.700266220049899</v>
      </c>
      <c r="S1058">
        <f t="shared" si="343"/>
        <v>-14.111274206651398</v>
      </c>
      <c r="T1058">
        <f t="shared" si="343"/>
        <v>-14.534612432850937</v>
      </c>
      <c r="U1058">
        <f t="shared" si="343"/>
        <v>-14.970650805836467</v>
      </c>
      <c r="V1058">
        <f t="shared" si="343"/>
        <v>-15.419770330011561</v>
      </c>
    </row>
    <row r="1059" spans="2:22">
      <c r="B1059" s="282" t="s">
        <v>637</v>
      </c>
      <c r="D1059" s="286">
        <f t="shared" si="342"/>
        <v>7.32681277675271E-2</v>
      </c>
      <c r="E1059" s="283">
        <f>F1006</f>
        <v>-4185.74</v>
      </c>
      <c r="F1059" s="283">
        <f>E1059</f>
        <v>-4185.74</v>
      </c>
      <c r="G1059"/>
      <c r="J1059">
        <f>$F1059*J$992/Billion</f>
        <v>-6.7079589695796589</v>
      </c>
      <c r="K1059">
        <f t="shared" si="343"/>
        <v>-6.9091977386670482</v>
      </c>
      <c r="L1059">
        <f t="shared" si="343"/>
        <v>-7.1164736708270597</v>
      </c>
      <c r="M1059">
        <f t="shared" si="343"/>
        <v>-7.3299678809518722</v>
      </c>
      <c r="N1059">
        <f t="shared" si="343"/>
        <v>-7.5498669173804291</v>
      </c>
      <c r="O1059">
        <f t="shared" si="343"/>
        <v>-7.776362924901842</v>
      </c>
      <c r="P1059">
        <f t="shared" si="343"/>
        <v>-8.0096538126488976</v>
      </c>
      <c r="Q1059">
        <f t="shared" si="343"/>
        <v>-8.2499434270283647</v>
      </c>
      <c r="R1059">
        <f t="shared" si="343"/>
        <v>-8.4974417298392169</v>
      </c>
      <c r="S1059">
        <f t="shared" si="343"/>
        <v>-8.7523649817343916</v>
      </c>
      <c r="T1059">
        <f t="shared" si="343"/>
        <v>-9.0149359311864217</v>
      </c>
      <c r="U1059">
        <f t="shared" si="343"/>
        <v>-9.2853840091220174</v>
      </c>
      <c r="V1059">
        <f t="shared" si="343"/>
        <v>-9.5639455293956779</v>
      </c>
    </row>
    <row r="1060" spans="2:22">
      <c r="B1060" s="282" t="s">
        <v>638</v>
      </c>
      <c r="D1060" s="286">
        <f t="shared" si="342"/>
        <v>0.2200317589524475</v>
      </c>
      <c r="E1060" s="283">
        <f>F1007</f>
        <v>-12570.209759417499</v>
      </c>
      <c r="F1060" s="19">
        <v>0</v>
      </c>
      <c r="G1060"/>
      <c r="J1060">
        <f>$F1060*J$992/Billion</f>
        <v>0</v>
      </c>
      <c r="K1060">
        <f t="shared" si="343"/>
        <v>0</v>
      </c>
      <c r="L1060">
        <f t="shared" si="343"/>
        <v>0</v>
      </c>
      <c r="M1060">
        <f t="shared" si="343"/>
        <v>0</v>
      </c>
      <c r="N1060">
        <f t="shared" si="343"/>
        <v>0</v>
      </c>
      <c r="O1060">
        <f t="shared" si="343"/>
        <v>0</v>
      </c>
      <c r="P1060">
        <f t="shared" si="343"/>
        <v>0</v>
      </c>
      <c r="Q1060">
        <f t="shared" si="343"/>
        <v>0</v>
      </c>
      <c r="R1060">
        <f t="shared" si="343"/>
        <v>0</v>
      </c>
      <c r="S1060">
        <f t="shared" si="343"/>
        <v>0</v>
      </c>
      <c r="T1060">
        <f t="shared" si="343"/>
        <v>0</v>
      </c>
      <c r="U1060">
        <f t="shared" si="343"/>
        <v>0</v>
      </c>
      <c r="V1060">
        <f t="shared" si="343"/>
        <v>0</v>
      </c>
    </row>
    <row r="1061" spans="2:22">
      <c r="B1061" s="284" t="s">
        <v>639</v>
      </c>
      <c r="C1061" s="118"/>
      <c r="D1061" s="287">
        <f t="shared" si="342"/>
        <v>0.5885712825361934</v>
      </c>
      <c r="E1061" s="212">
        <f>F1008</f>
        <v>-33624.52999999997</v>
      </c>
      <c r="F1061" s="212">
        <f>E1063*SUM(F1048:F1053)</f>
        <v>-26226.065520150652</v>
      </c>
      <c r="G1061"/>
      <c r="J1061">
        <f>$F1061*J$992/Billion</f>
        <v>-42.029216206137605</v>
      </c>
      <c r="K1061">
        <f t="shared" si="343"/>
        <v>-43.290092692321728</v>
      </c>
      <c r="L1061">
        <f t="shared" si="343"/>
        <v>-44.58879547309138</v>
      </c>
      <c r="M1061">
        <f t="shared" si="343"/>
        <v>-45.926459337284129</v>
      </c>
      <c r="N1061">
        <f t="shared" si="343"/>
        <v>-47.304253117402652</v>
      </c>
      <c r="O1061">
        <f t="shared" si="343"/>
        <v>-48.723380710924729</v>
      </c>
      <c r="P1061">
        <f t="shared" si="343"/>
        <v>-50.185082132252475</v>
      </c>
      <c r="Q1061">
        <f t="shared" si="343"/>
        <v>-51.69063459622005</v>
      </c>
      <c r="R1061">
        <f t="shared" si="343"/>
        <v>-53.241353634106652</v>
      </c>
      <c r="S1061">
        <f t="shared" si="343"/>
        <v>-54.838594243129862</v>
      </c>
      <c r="T1061">
        <f t="shared" si="343"/>
        <v>-56.483752070423748</v>
      </c>
      <c r="U1061">
        <f t="shared" si="343"/>
        <v>-58.178264632536461</v>
      </c>
      <c r="V1061">
        <f t="shared" si="343"/>
        <v>-59.923612571512557</v>
      </c>
    </row>
    <row r="1062" spans="2:22">
      <c r="B1062" t="s">
        <v>401</v>
      </c>
      <c r="D1062" s="286">
        <f t="shared" si="342"/>
        <v>0.74219657347826595</v>
      </c>
      <c r="E1062">
        <f>-F1001</f>
        <v>-42401</v>
      </c>
      <c r="F1062">
        <f>-F1054</f>
        <v>-59620.465423859547</v>
      </c>
      <c r="G1062">
        <f>F1062-E1062</f>
        <v>-17219.465423859547</v>
      </c>
      <c r="J1062">
        <f>$F1062*J$992/Billion</f>
        <v>-95.546220216853541</v>
      </c>
      <c r="K1062">
        <f t="shared" si="343"/>
        <v>-98.412606823359155</v>
      </c>
      <c r="L1062">
        <f t="shared" si="343"/>
        <v>-101.36498502805992</v>
      </c>
      <c r="M1062">
        <f t="shared" si="343"/>
        <v>-104.40593457890174</v>
      </c>
      <c r="N1062">
        <f t="shared" si="343"/>
        <v>-107.5381126162688</v>
      </c>
      <c r="O1062">
        <f t="shared" si="343"/>
        <v>-110.76425599475685</v>
      </c>
      <c r="P1062">
        <f t="shared" si="343"/>
        <v>-114.08718367459956</v>
      </c>
      <c r="Q1062">
        <f t="shared" si="343"/>
        <v>-117.50979918483756</v>
      </c>
      <c r="R1062">
        <f t="shared" si="343"/>
        <v>-121.03509316038269</v>
      </c>
      <c r="S1062">
        <f t="shared" si="343"/>
        <v>-124.66614595519418</v>
      </c>
      <c r="T1062">
        <f t="shared" si="343"/>
        <v>-128.40613033385</v>
      </c>
      <c r="U1062">
        <f t="shared" si="343"/>
        <v>-132.2583142438655</v>
      </c>
      <c r="V1062">
        <f t="shared" si="343"/>
        <v>-136.22606367118146</v>
      </c>
    </row>
    <row r="1063" spans="2:22">
      <c r="D1063" s="288">
        <f t="shared" si="342"/>
        <v>7.5208127184885235E-6</v>
      </c>
      <c r="E1063" s="21">
        <f>E1061/SUM(E1048:E1053)</f>
        <v>-0.42965703625142115</v>
      </c>
      <c r="G1063"/>
    </row>
    <row r="1064" spans="2:22">
      <c r="E1064" s="407" t="s">
        <v>636</v>
      </c>
      <c r="F1064" s="407" t="s">
        <v>649</v>
      </c>
      <c r="G1064"/>
    </row>
    <row r="1065" spans="2:22">
      <c r="B1065" t="s">
        <v>650</v>
      </c>
      <c r="E1065">
        <v>-3175.8071720388398</v>
      </c>
      <c r="F1065">
        <v>-3091.01</v>
      </c>
      <c r="G1065"/>
    </row>
    <row r="1066" spans="2:22">
      <c r="B1066" t="s">
        <v>651</v>
      </c>
      <c r="E1066">
        <v>-3572.7830685436902</v>
      </c>
      <c r="F1066">
        <v>-1094.73</v>
      </c>
      <c r="G1066"/>
    </row>
    <row r="1067" spans="2:22">
      <c r="G1067"/>
    </row>
    <row r="1068" spans="2:22">
      <c r="B1068" t="s">
        <v>434</v>
      </c>
      <c r="E1068" s="39">
        <f>E1013</f>
        <v>0.27</v>
      </c>
      <c r="G1068"/>
      <c r="J1068">
        <f>SUM(J1055,J1057)</f>
        <v>38.268091998702516</v>
      </c>
      <c r="K1068">
        <f t="shared" ref="K1068:V1068" si="344">SUM(K1055,K1057)</f>
        <v>39.416134758663588</v>
      </c>
      <c r="L1068">
        <f t="shared" si="344"/>
        <v>40.598618801423498</v>
      </c>
      <c r="M1068">
        <f t="shared" si="344"/>
        <v>41.816577365466173</v>
      </c>
      <c r="N1068">
        <f t="shared" si="344"/>
        <v>43.071074686430194</v>
      </c>
      <c r="O1068">
        <f t="shared" si="344"/>
        <v>104.69320692702308</v>
      </c>
      <c r="P1068">
        <f t="shared" si="344"/>
        <v>136.18910313483372</v>
      </c>
      <c r="Q1068">
        <f t="shared" si="344"/>
        <v>209.95592622887875</v>
      </c>
      <c r="R1068">
        <f t="shared" si="344"/>
        <v>169.13687401574521</v>
      </c>
      <c r="S1068">
        <f t="shared" si="344"/>
        <v>230.92118023621754</v>
      </c>
      <c r="T1068">
        <f t="shared" si="344"/>
        <v>232.41911564330402</v>
      </c>
      <c r="U1068">
        <f t="shared" si="344"/>
        <v>52.971989112603154</v>
      </c>
      <c r="V1068">
        <f t="shared" si="344"/>
        <v>235.5511487859813</v>
      </c>
    </row>
    <row r="1069" spans="2:22">
      <c r="G1069"/>
    </row>
    <row r="1070" spans="2:22" ht="15.75">
      <c r="B1070" s="15" t="s">
        <v>626</v>
      </c>
      <c r="G1070"/>
    </row>
    <row r="1071" spans="2:22">
      <c r="B1071" t="s">
        <v>407</v>
      </c>
      <c r="G1071"/>
      <c r="J1071">
        <f>J21+J31/2</f>
        <v>2063651.067</v>
      </c>
      <c r="K1071">
        <f t="shared" ref="K1071:V1071" si="345">K21+K31/2</f>
        <v>2125560.59901</v>
      </c>
      <c r="L1071">
        <f t="shared" si="345"/>
        <v>2189327.4169803001</v>
      </c>
      <c r="M1071">
        <f t="shared" si="345"/>
        <v>2255007.239489709</v>
      </c>
      <c r="N1071">
        <f t="shared" si="345"/>
        <v>2322657.4566744007</v>
      </c>
      <c r="O1071">
        <f t="shared" si="345"/>
        <v>2892337.1803746326</v>
      </c>
      <c r="P1071">
        <f t="shared" si="345"/>
        <v>3214107.2957858718</v>
      </c>
      <c r="Q1071">
        <f t="shared" si="345"/>
        <v>3888030.5146594481</v>
      </c>
      <c r="R1071">
        <f t="shared" si="345"/>
        <v>3614171.4300992312</v>
      </c>
      <c r="S1071">
        <f t="shared" si="345"/>
        <v>4192596.5730022085</v>
      </c>
      <c r="T1071">
        <f t="shared" si="345"/>
        <v>4273374.4701922741</v>
      </c>
      <c r="U1071">
        <f t="shared" si="345"/>
        <v>2856575.7042980432</v>
      </c>
      <c r="V1071">
        <f t="shared" si="345"/>
        <v>4442272.975426984</v>
      </c>
    </row>
    <row r="1072" spans="2:22">
      <c r="G1072"/>
    </row>
    <row r="1073" spans="2:22" ht="30">
      <c r="E1073" s="9" t="s">
        <v>652</v>
      </c>
      <c r="F1073" s="9" t="s">
        <v>653</v>
      </c>
      <c r="G1073" s="9" t="s">
        <v>642</v>
      </c>
    </row>
    <row r="1074" spans="2:22">
      <c r="B1074" t="s">
        <v>629</v>
      </c>
      <c r="E1074" s="19">
        <f t="shared" ref="E1074:E1080" si="346">F1019</f>
        <v>3705</v>
      </c>
      <c r="F1074" s="19">
        <f>E1074</f>
        <v>3705</v>
      </c>
      <c r="G1074"/>
      <c r="J1074">
        <f t="shared" ref="J1074:V1080" si="347">$F1074*J$1071/Billion</f>
        <v>7.645827203235001</v>
      </c>
      <c r="K1074">
        <f t="shared" si="347"/>
        <v>7.8752020193320504</v>
      </c>
      <c r="L1074">
        <f t="shared" si="347"/>
        <v>8.111458079912012</v>
      </c>
      <c r="M1074">
        <f t="shared" si="347"/>
        <v>8.3548018223093727</v>
      </c>
      <c r="N1074">
        <f t="shared" si="347"/>
        <v>8.6054458769786546</v>
      </c>
      <c r="O1074">
        <f t="shared" si="347"/>
        <v>10.716109253288014</v>
      </c>
      <c r="P1074">
        <f t="shared" si="347"/>
        <v>11.908267530886656</v>
      </c>
      <c r="Q1074">
        <f t="shared" si="347"/>
        <v>14.405153056813255</v>
      </c>
      <c r="R1074">
        <f t="shared" si="347"/>
        <v>13.390505148517653</v>
      </c>
      <c r="S1074">
        <f t="shared" si="347"/>
        <v>15.533570302973184</v>
      </c>
      <c r="T1074">
        <f t="shared" si="347"/>
        <v>15.832852412062376</v>
      </c>
      <c r="U1074">
        <f t="shared" si="347"/>
        <v>10.583612984424249</v>
      </c>
      <c r="V1074">
        <f t="shared" si="347"/>
        <v>16.458621373956976</v>
      </c>
    </row>
    <row r="1075" spans="2:22">
      <c r="B1075" t="s">
        <v>630</v>
      </c>
      <c r="E1075" s="19">
        <f t="shared" si="346"/>
        <v>42588</v>
      </c>
      <c r="F1075" s="19">
        <f>E1075</f>
        <v>42588</v>
      </c>
      <c r="G1075"/>
      <c r="J1075">
        <f t="shared" si="347"/>
        <v>87.886771641395995</v>
      </c>
      <c r="K1075">
        <f t="shared" si="347"/>
        <v>90.523374790637874</v>
      </c>
      <c r="L1075">
        <f t="shared" si="347"/>
        <v>93.239076034357026</v>
      </c>
      <c r="M1075">
        <f t="shared" si="347"/>
        <v>96.036248315387724</v>
      </c>
      <c r="N1075">
        <f t="shared" si="347"/>
        <v>98.917335764849383</v>
      </c>
      <c r="O1075">
        <f t="shared" si="347"/>
        <v>123.17885583779484</v>
      </c>
      <c r="P1075">
        <f t="shared" si="347"/>
        <v>136.88240151292871</v>
      </c>
      <c r="Q1075">
        <f t="shared" si="347"/>
        <v>165.58344355831656</v>
      </c>
      <c r="R1075">
        <f t="shared" si="347"/>
        <v>153.92033286506606</v>
      </c>
      <c r="S1075">
        <f t="shared" si="347"/>
        <v>178.55430285101806</v>
      </c>
      <c r="T1075">
        <f t="shared" si="347"/>
        <v>181.99447193654856</v>
      </c>
      <c r="U1075">
        <f t="shared" si="347"/>
        <v>121.65584609464507</v>
      </c>
      <c r="V1075">
        <f t="shared" si="347"/>
        <v>189.18752147748441</v>
      </c>
    </row>
    <row r="1076" spans="2:22">
      <c r="B1076" s="407" t="s">
        <v>631</v>
      </c>
      <c r="E1076" s="461">
        <f t="shared" si="346"/>
        <v>23245</v>
      </c>
      <c r="F1076" s="19">
        <f>-SUM(E1091:F1091)/G1076*E1076</f>
        <v>10083.500887458207</v>
      </c>
      <c r="G1076" s="462">
        <f>E1076*(1-E1095)</f>
        <v>16968.849999999999</v>
      </c>
      <c r="J1076">
        <f t="shared" si="347"/>
        <v>20.808827365498576</v>
      </c>
      <c r="K1076">
        <f t="shared" si="347"/>
        <v>21.433092186463536</v>
      </c>
      <c r="L1076">
        <f t="shared" si="347"/>
        <v>22.076084952057442</v>
      </c>
      <c r="M1076">
        <f t="shared" si="347"/>
        <v>22.738367500619162</v>
      </c>
      <c r="N1076">
        <f t="shared" si="347"/>
        <v>23.420518525637743</v>
      </c>
      <c r="O1076">
        <f t="shared" si="347"/>
        <v>29.164884525135975</v>
      </c>
      <c r="P1076">
        <f t="shared" si="347"/>
        <v>32.409453769442734</v>
      </c>
      <c r="Q1076">
        <f t="shared" si="347"/>
        <v>39.204959145033136</v>
      </c>
      <c r="R1076">
        <f t="shared" si="347"/>
        <v>36.443500822831695</v>
      </c>
      <c r="S1076">
        <f t="shared" si="347"/>
        <v>42.276051264622012</v>
      </c>
      <c r="T1076">
        <f t="shared" si="347"/>
        <v>43.090575262625038</v>
      </c>
      <c r="U1076">
        <f t="shared" si="347"/>
        <v>28.804283649380871</v>
      </c>
      <c r="V1076">
        <f t="shared" si="347"/>
        <v>44.793663490049603</v>
      </c>
    </row>
    <row r="1077" spans="2:22">
      <c r="B1077" s="407" t="s">
        <v>632</v>
      </c>
      <c r="E1077" s="19">
        <f t="shared" si="346"/>
        <v>8232</v>
      </c>
      <c r="F1077" s="19">
        <f>-SUM(E1092:F1092)/G1077*E1077</f>
        <v>8152.9504846918499</v>
      </c>
      <c r="G1077">
        <f>E1077*(1-E1095)</f>
        <v>6009.36</v>
      </c>
      <c r="J1077">
        <f t="shared" si="347"/>
        <v>16.824844966932503</v>
      </c>
      <c r="K1077">
        <f t="shared" si="347"/>
        <v>17.329590315940479</v>
      </c>
      <c r="L1077">
        <f t="shared" si="347"/>
        <v>17.849478025418694</v>
      </c>
      <c r="M1077">
        <f t="shared" si="347"/>
        <v>18.384962366181256</v>
      </c>
      <c r="N1077">
        <f t="shared" si="347"/>
        <v>18.936511237166695</v>
      </c>
      <c r="O1077">
        <f t="shared" si="347"/>
        <v>23.58108181662762</v>
      </c>
      <c r="P1077">
        <f t="shared" si="347"/>
        <v>26.204457635029033</v>
      </c>
      <c r="Q1077">
        <f t="shared" si="347"/>
        <v>31.698920268989447</v>
      </c>
      <c r="R1077">
        <f t="shared" si="347"/>
        <v>29.466160712786966</v>
      </c>
      <c r="S1077">
        <f t="shared" si="347"/>
        <v>34.182032261975749</v>
      </c>
      <c r="T1077">
        <f t="shared" si="347"/>
        <v>34.840610458023882</v>
      </c>
      <c r="U1077">
        <f t="shared" si="347"/>
        <v>23.289520272915695</v>
      </c>
      <c r="V1077">
        <f t="shared" si="347"/>
        <v>36.217631608140941</v>
      </c>
    </row>
    <row r="1078" spans="2:22">
      <c r="B1078" s="407" t="s">
        <v>633</v>
      </c>
      <c r="E1078" s="19">
        <f t="shared" si="346"/>
        <v>6780</v>
      </c>
      <c r="F1078" s="19">
        <f>E1078</f>
        <v>6780</v>
      </c>
      <c r="G1078"/>
      <c r="J1078">
        <f t="shared" si="347"/>
        <v>13.991554234260001</v>
      </c>
      <c r="K1078">
        <f t="shared" si="347"/>
        <v>14.411300861287799</v>
      </c>
      <c r="L1078">
        <f t="shared" si="347"/>
        <v>14.843639887126434</v>
      </c>
      <c r="M1078">
        <f t="shared" si="347"/>
        <v>15.288949083740226</v>
      </c>
      <c r="N1078">
        <f t="shared" si="347"/>
        <v>15.747617556252438</v>
      </c>
      <c r="O1078">
        <f t="shared" si="347"/>
        <v>19.610046082940009</v>
      </c>
      <c r="P1078">
        <f t="shared" si="347"/>
        <v>21.791647465428213</v>
      </c>
      <c r="Q1078">
        <f t="shared" si="347"/>
        <v>26.360846889391055</v>
      </c>
      <c r="R1078">
        <f t="shared" si="347"/>
        <v>24.504082296072788</v>
      </c>
      <c r="S1078">
        <f t="shared" si="347"/>
        <v>28.425804764954975</v>
      </c>
      <c r="T1078">
        <f t="shared" si="347"/>
        <v>28.973478907903619</v>
      </c>
      <c r="U1078">
        <f t="shared" si="347"/>
        <v>19.367583275140731</v>
      </c>
      <c r="V1078">
        <f t="shared" si="347"/>
        <v>30.118610773394952</v>
      </c>
    </row>
    <row r="1079" spans="2:22">
      <c r="B1079" s="407" t="s">
        <v>634</v>
      </c>
      <c r="E1079" s="19">
        <f t="shared" si="346"/>
        <v>291</v>
      </c>
      <c r="F1079" s="19">
        <f>E1079</f>
        <v>291</v>
      </c>
      <c r="G1079"/>
      <c r="J1079">
        <f t="shared" si="347"/>
        <v>0.60052246049699998</v>
      </c>
      <c r="K1079">
        <f t="shared" si="347"/>
        <v>0.61853813431191007</v>
      </c>
      <c r="L1079">
        <f t="shared" si="347"/>
        <v>0.63709427834126731</v>
      </c>
      <c r="M1079">
        <f t="shared" si="347"/>
        <v>0.65620710669150528</v>
      </c>
      <c r="N1079">
        <f t="shared" si="347"/>
        <v>0.67589331989225065</v>
      </c>
      <c r="O1079">
        <f t="shared" si="347"/>
        <v>0.84167011948901804</v>
      </c>
      <c r="P1079">
        <f t="shared" si="347"/>
        <v>0.9353052230736888</v>
      </c>
      <c r="Q1079">
        <f t="shared" si="347"/>
        <v>1.1314168797658994</v>
      </c>
      <c r="R1079">
        <f t="shared" si="347"/>
        <v>1.0517238861588762</v>
      </c>
      <c r="S1079">
        <f t="shared" si="347"/>
        <v>1.2200456027436426</v>
      </c>
      <c r="T1079">
        <f t="shared" si="347"/>
        <v>1.2435519708259519</v>
      </c>
      <c r="U1079">
        <f t="shared" si="347"/>
        <v>0.83126352995073061</v>
      </c>
      <c r="V1079">
        <f t="shared" si="347"/>
        <v>1.2927014358492526</v>
      </c>
    </row>
    <row r="1080" spans="2:22">
      <c r="B1080" s="407" t="s">
        <v>647</v>
      </c>
      <c r="E1080" s="19">
        <f t="shared" si="346"/>
        <v>42879</v>
      </c>
      <c r="F1080" s="19">
        <f>E1081-SUM(F1074:F1079)</f>
        <v>56119.548627849945</v>
      </c>
      <c r="G1080"/>
      <c r="J1080">
        <f t="shared" si="347"/>
        <v>115.81116640542093</v>
      </c>
      <c r="K1080">
        <f t="shared" si="347"/>
        <v>119.28550139758356</v>
      </c>
      <c r="L1080">
        <f t="shared" si="347"/>
        <v>122.86406643951106</v>
      </c>
      <c r="M1080">
        <f t="shared" si="347"/>
        <v>126.5499884326964</v>
      </c>
      <c r="N1080">
        <f t="shared" si="347"/>
        <v>130.34648808567729</v>
      </c>
      <c r="O1080">
        <f t="shared" si="347"/>
        <v>162.31665704217258</v>
      </c>
      <c r="P1080">
        <f t="shared" si="347"/>
        <v>180.37425068098253</v>
      </c>
      <c r="Q1080">
        <f t="shared" si="347"/>
        <v>218.19451753399534</v>
      </c>
      <c r="R1080">
        <f t="shared" si="347"/>
        <v>202.82566932083978</v>
      </c>
      <c r="S1080">
        <f t="shared" si="347"/>
        <v>235.28662725555446</v>
      </c>
      <c r="T1080">
        <f t="shared" si="347"/>
        <v>239.81984638496783</v>
      </c>
      <c r="U1080">
        <f t="shared" si="347"/>
        <v>160.30973914648874</v>
      </c>
      <c r="V1080">
        <f t="shared" si="347"/>
        <v>249.29835426265831</v>
      </c>
    </row>
    <row r="1081" spans="2:22">
      <c r="C1081" s="407"/>
      <c r="E1081">
        <f>SUM(E1074:E1080)</f>
        <v>127720</v>
      </c>
      <c r="F1081">
        <f>SUM(F1074:F1080)</f>
        <v>127720</v>
      </c>
      <c r="G1081">
        <f>E1081-F1081</f>
        <v>0</v>
      </c>
      <c r="J1081" s="28">
        <f>SUM(J1074:J1080)</f>
        <v>263.56951427723999</v>
      </c>
      <c r="K1081" s="28">
        <f t="shared" ref="K1081:V1081" si="348">SUM(K1074:K1080)</f>
        <v>271.47659970555719</v>
      </c>
      <c r="L1081" s="28">
        <f t="shared" si="348"/>
        <v>279.62089769672394</v>
      </c>
      <c r="M1081" s="28">
        <f t="shared" si="348"/>
        <v>288.00952462762564</v>
      </c>
      <c r="N1081" s="28">
        <f t="shared" si="348"/>
        <v>296.6498103664544</v>
      </c>
      <c r="O1081" s="28">
        <f t="shared" si="348"/>
        <v>369.40930467744806</v>
      </c>
      <c r="P1081" s="28">
        <f t="shared" si="348"/>
        <v>410.50578381777154</v>
      </c>
      <c r="Q1081" s="28">
        <f t="shared" si="348"/>
        <v>496.57925733230468</v>
      </c>
      <c r="R1081" s="28">
        <f t="shared" si="348"/>
        <v>461.60197505227381</v>
      </c>
      <c r="S1081" s="28">
        <f t="shared" si="348"/>
        <v>535.47843430384205</v>
      </c>
      <c r="T1081" s="28">
        <f t="shared" si="348"/>
        <v>545.79538733295726</v>
      </c>
      <c r="U1081" s="28">
        <f t="shared" si="348"/>
        <v>364.84184895294607</v>
      </c>
      <c r="V1081" s="28">
        <f t="shared" si="348"/>
        <v>567.36710442153446</v>
      </c>
    </row>
    <row r="1082" spans="2:22">
      <c r="B1082" t="s">
        <v>648</v>
      </c>
      <c r="G1082"/>
    </row>
    <row r="1083" spans="2:22">
      <c r="B1083" t="s">
        <v>642</v>
      </c>
      <c r="E1083">
        <f>SUM(E1084:E1087)</f>
        <v>-61933.93</v>
      </c>
      <c r="F1083">
        <f>SUM(F1084:F1087)</f>
        <v>-45636.014920302609</v>
      </c>
      <c r="G1083"/>
      <c r="J1083">
        <f>SUM(J1084:J1088)</f>
        <v>-209.98797728933135</v>
      </c>
      <c r="K1083">
        <f t="shared" ref="K1083:V1083" si="349">SUM(K1084:K1088)</f>
        <v>-216.28761660801126</v>
      </c>
      <c r="L1083">
        <f t="shared" si="349"/>
        <v>-222.77624510625162</v>
      </c>
      <c r="M1083">
        <f t="shared" si="349"/>
        <v>-229.45953245943915</v>
      </c>
      <c r="N1083">
        <f t="shared" si="349"/>
        <v>-236.34331843322235</v>
      </c>
      <c r="O1083">
        <f t="shared" si="349"/>
        <v>-294.31139976029533</v>
      </c>
      <c r="P1083">
        <f t="shared" si="349"/>
        <v>-327.05329918692007</v>
      </c>
      <c r="Q1083">
        <f t="shared" si="349"/>
        <v>-395.62873611158574</v>
      </c>
      <c r="R1083">
        <f t="shared" si="349"/>
        <v>-367.7620506293797</v>
      </c>
      <c r="S1083">
        <f t="shared" si="349"/>
        <v>-426.62002701589279</v>
      </c>
      <c r="T1083">
        <f t="shared" si="349"/>
        <v>-434.83962746670272</v>
      </c>
      <c r="U1083">
        <f t="shared" si="349"/>
        <v>-290.67247060880817</v>
      </c>
      <c r="V1083">
        <f t="shared" si="349"/>
        <v>-452.02599004930119</v>
      </c>
    </row>
    <row r="1084" spans="2:22">
      <c r="B1084" s="279" t="s">
        <v>636</v>
      </c>
      <c r="C1084" s="280"/>
      <c r="D1084" s="285">
        <f t="shared" ref="D1084:D1089" si="350">E1084/E$1057</f>
        <v>0.16139943292739634</v>
      </c>
      <c r="E1084" s="281">
        <f>F1029</f>
        <v>-9220.5995016695306</v>
      </c>
      <c r="F1084" s="281">
        <f>E1084</f>
        <v>-9220.5995016695306</v>
      </c>
      <c r="G1084" s="21"/>
      <c r="J1084">
        <f>$F1084*J$1071/Billion</f>
        <v>-19.028099999999995</v>
      </c>
      <c r="K1084">
        <f t="shared" ref="K1084:V1088" si="351">$F1084*K$1071/Billion</f>
        <v>-19.598942999999995</v>
      </c>
      <c r="L1084">
        <f t="shared" si="351"/>
        <v>-20.186911289999998</v>
      </c>
      <c r="M1084">
        <f t="shared" si="351"/>
        <v>-20.792518628699995</v>
      </c>
      <c r="N1084">
        <f t="shared" si="351"/>
        <v>-21.416294187560997</v>
      </c>
      <c r="O1084">
        <f t="shared" si="351"/>
        <v>-26.66908276402259</v>
      </c>
      <c r="P1084">
        <f t="shared" si="351"/>
        <v>-29.635996129835615</v>
      </c>
      <c r="Q1084">
        <f t="shared" si="351"/>
        <v>-35.849972225944832</v>
      </c>
      <c r="R1084">
        <f t="shared" si="351"/>
        <v>-33.324827287321227</v>
      </c>
      <c r="S1084">
        <f t="shared" si="351"/>
        <v>-38.658253871725549</v>
      </c>
      <c r="T1084">
        <f t="shared" si="351"/>
        <v>-39.403074510302176</v>
      </c>
      <c r="U1084">
        <f t="shared" si="351"/>
        <v>-26.339340515531827</v>
      </c>
      <c r="V1084">
        <f t="shared" si="351"/>
        <v>-40.960419983502078</v>
      </c>
    </row>
    <row r="1085" spans="2:22">
      <c r="B1085" s="282" t="s">
        <v>637</v>
      </c>
      <c r="D1085" s="286">
        <f t="shared" si="350"/>
        <v>7.1627456914667084E-2</v>
      </c>
      <c r="E1085" s="283">
        <f>F1030</f>
        <v>-4092.01</v>
      </c>
      <c r="F1085" s="281">
        <f>E1085</f>
        <v>-4092.01</v>
      </c>
      <c r="G1085"/>
      <c r="J1085">
        <f>$F1085*J$1071/Billion</f>
        <v>-8.4444808026746703</v>
      </c>
      <c r="K1085">
        <f t="shared" si="351"/>
        <v>-8.697815226754912</v>
      </c>
      <c r="L1085">
        <f t="shared" si="351"/>
        <v>-8.9587496835575582</v>
      </c>
      <c r="M1085">
        <f t="shared" si="351"/>
        <v>-9.2275121740642856</v>
      </c>
      <c r="N1085">
        <f t="shared" si="351"/>
        <v>-9.5043375392862153</v>
      </c>
      <c r="O1085">
        <f t="shared" si="351"/>
        <v>-11.835472665464803</v>
      </c>
      <c r="P1085">
        <f t="shared" si="351"/>
        <v>-13.152159195428744</v>
      </c>
      <c r="Q1085">
        <f t="shared" si="351"/>
        <v>-15.909859746291609</v>
      </c>
      <c r="R1085">
        <f t="shared" si="351"/>
        <v>-14.789225633680354</v>
      </c>
      <c r="S1085">
        <f t="shared" si="351"/>
        <v>-17.156147102690767</v>
      </c>
      <c r="T1085">
        <f t="shared" si="351"/>
        <v>-17.486691065771488</v>
      </c>
      <c r="U1085">
        <f t="shared" si="351"/>
        <v>-11.689136347744636</v>
      </c>
      <c r="V1085">
        <f t="shared" si="351"/>
        <v>-18.177825438176974</v>
      </c>
    </row>
    <row r="1086" spans="2:22">
      <c r="B1086" s="282" t="s">
        <v>638</v>
      </c>
      <c r="D1086" s="286">
        <f t="shared" si="350"/>
        <v>0.16918882975568234</v>
      </c>
      <c r="E1086" s="283">
        <f>F1031</f>
        <v>-9665.6004983304592</v>
      </c>
      <c r="F1086" s="19">
        <v>0</v>
      </c>
      <c r="G1086">
        <f>E1086</f>
        <v>-9665.6004983304592</v>
      </c>
      <c r="J1086">
        <f>$F1086*J$1071/Billion</f>
        <v>0</v>
      </c>
      <c r="K1086">
        <f t="shared" si="351"/>
        <v>0</v>
      </c>
      <c r="L1086">
        <f t="shared" si="351"/>
        <v>0</v>
      </c>
      <c r="M1086">
        <f t="shared" si="351"/>
        <v>0</v>
      </c>
      <c r="N1086">
        <f t="shared" si="351"/>
        <v>0</v>
      </c>
      <c r="O1086">
        <f t="shared" si="351"/>
        <v>0</v>
      </c>
      <c r="P1086">
        <f t="shared" si="351"/>
        <v>0</v>
      </c>
      <c r="Q1086">
        <f t="shared" si="351"/>
        <v>0</v>
      </c>
      <c r="R1086">
        <f t="shared" si="351"/>
        <v>0</v>
      </c>
      <c r="S1086">
        <f t="shared" si="351"/>
        <v>0</v>
      </c>
      <c r="T1086">
        <f t="shared" si="351"/>
        <v>0</v>
      </c>
      <c r="U1086">
        <f t="shared" si="351"/>
        <v>0</v>
      </c>
      <c r="V1086">
        <f t="shared" si="351"/>
        <v>0</v>
      </c>
    </row>
    <row r="1087" spans="2:22">
      <c r="B1087" s="284" t="s">
        <v>639</v>
      </c>
      <c r="C1087" s="118"/>
      <c r="D1087" s="287">
        <f t="shared" si="350"/>
        <v>0.68188962291876987</v>
      </c>
      <c r="E1087" s="212">
        <f>F1032</f>
        <v>-38955.720000000008</v>
      </c>
      <c r="F1087" s="19">
        <f>E1089*SUM(F1074:F1077)</f>
        <v>-32323.405418633076</v>
      </c>
      <c r="G1087"/>
      <c r="J1087">
        <f>$F1087*J$1071/Billion</f>
        <v>-66.704230081235735</v>
      </c>
      <c r="K1087">
        <f t="shared" si="351"/>
        <v>-68.7053569836728</v>
      </c>
      <c r="L1087">
        <f t="shared" si="351"/>
        <v>-70.76651769318299</v>
      </c>
      <c r="M1087">
        <f t="shared" si="351"/>
        <v>-72.889513223978469</v>
      </c>
      <c r="N1087">
        <f t="shared" si="351"/>
        <v>-75.076198620697852</v>
      </c>
      <c r="O1087">
        <f t="shared" si="351"/>
        <v>-93.490187288635312</v>
      </c>
      <c r="P1087">
        <f t="shared" si="351"/>
        <v>-103.89089318067316</v>
      </c>
      <c r="Q1087">
        <f t="shared" si="351"/>
        <v>-125.67438660535394</v>
      </c>
      <c r="R1087">
        <f t="shared" si="351"/>
        <v>-116.82232838753835</v>
      </c>
      <c r="S1087">
        <f t="shared" si="351"/>
        <v>-135.51899878592204</v>
      </c>
      <c r="T1087">
        <f t="shared" si="351"/>
        <v>-138.13001550566119</v>
      </c>
      <c r="U1087">
        <f t="shared" si="351"/>
        <v>-92.334254599042964</v>
      </c>
      <c r="V1087">
        <f t="shared" si="351"/>
        <v>-143.58939036496386</v>
      </c>
    </row>
    <row r="1088" spans="2:22">
      <c r="B1088" s="284" t="s">
        <v>639</v>
      </c>
      <c r="C1088" s="118"/>
      <c r="D1088" s="287">
        <f t="shared" si="350"/>
        <v>0.75056359223071545</v>
      </c>
      <c r="E1088" s="212">
        <f>F1033</f>
        <v>-42879</v>
      </c>
      <c r="F1088" s="19">
        <f>-F1080</f>
        <v>-56119.548627849945</v>
      </c>
      <c r="G1088"/>
      <c r="J1088">
        <f>$F1088*J$1071/Billion</f>
        <v>-115.81116640542093</v>
      </c>
      <c r="K1088">
        <f t="shared" si="351"/>
        <v>-119.28550139758356</v>
      </c>
      <c r="L1088">
        <f t="shared" si="351"/>
        <v>-122.86406643951106</v>
      </c>
      <c r="M1088">
        <f t="shared" si="351"/>
        <v>-126.5499884326964</v>
      </c>
      <c r="N1088">
        <f t="shared" si="351"/>
        <v>-130.34648808567729</v>
      </c>
      <c r="O1088">
        <f t="shared" si="351"/>
        <v>-162.31665704217258</v>
      </c>
      <c r="P1088">
        <f t="shared" si="351"/>
        <v>-180.37425068098253</v>
      </c>
      <c r="Q1088">
        <f t="shared" si="351"/>
        <v>-218.19451753399534</v>
      </c>
      <c r="R1088">
        <f t="shared" si="351"/>
        <v>-202.82566932083978</v>
      </c>
      <c r="S1088">
        <f t="shared" si="351"/>
        <v>-235.28662725555446</v>
      </c>
      <c r="T1088">
        <f t="shared" si="351"/>
        <v>-239.81984638496783</v>
      </c>
      <c r="U1088">
        <f t="shared" si="351"/>
        <v>-160.30973914648874</v>
      </c>
      <c r="V1088">
        <f t="shared" si="351"/>
        <v>-249.29835426265831</v>
      </c>
    </row>
    <row r="1089" spans="2:22">
      <c r="D1089" s="288">
        <f t="shared" si="350"/>
        <v>8.7680290975796566E-6</v>
      </c>
      <c r="E1089" s="288">
        <f>E1087/SUM(E1074:E1077)</f>
        <v>-0.50090934807766507</v>
      </c>
      <c r="G1089"/>
    </row>
    <row r="1090" spans="2:22">
      <c r="E1090" s="407" t="s">
        <v>636</v>
      </c>
      <c r="F1090" s="407" t="s">
        <v>649</v>
      </c>
      <c r="G1090"/>
    </row>
    <row r="1091" spans="2:22">
      <c r="B1091" t="s">
        <v>650</v>
      </c>
      <c r="E1091">
        <v>-4339.1056478444898</v>
      </c>
      <c r="F1091">
        <v>-3021.85</v>
      </c>
      <c r="G1091"/>
    </row>
    <row r="1092" spans="2:22">
      <c r="B1092" t="s">
        <v>651</v>
      </c>
      <c r="E1092">
        <v>-4881.4938538250499</v>
      </c>
      <c r="F1092">
        <v>-1070.1600000000001</v>
      </c>
      <c r="G1092" s="21"/>
    </row>
    <row r="1093" spans="2:22">
      <c r="G1093"/>
    </row>
    <row r="1094" spans="2:22">
      <c r="G1094"/>
    </row>
    <row r="1095" spans="2:22">
      <c r="B1095" t="s">
        <v>434</v>
      </c>
      <c r="E1095" s="39">
        <f>E1068</f>
        <v>0.27</v>
      </c>
      <c r="G1095"/>
      <c r="J1095">
        <f>SUM(J1081,J1083)</f>
        <v>53.581536987908635</v>
      </c>
      <c r="K1095">
        <f t="shared" ref="K1095:V1095" si="352">SUM(K1081,K1083)</f>
        <v>55.188983097545929</v>
      </c>
      <c r="L1095">
        <f t="shared" si="352"/>
        <v>56.844652590472322</v>
      </c>
      <c r="M1095">
        <f t="shared" si="352"/>
        <v>58.549992168186492</v>
      </c>
      <c r="N1095">
        <f t="shared" si="352"/>
        <v>60.306491933232053</v>
      </c>
      <c r="O1095">
        <f t="shared" si="352"/>
        <v>75.097904917152732</v>
      </c>
      <c r="P1095">
        <f t="shared" si="352"/>
        <v>83.452484630851473</v>
      </c>
      <c r="Q1095">
        <f t="shared" si="352"/>
        <v>100.95052122071894</v>
      </c>
      <c r="R1095">
        <f t="shared" si="352"/>
        <v>93.839924422894114</v>
      </c>
      <c r="S1095">
        <f t="shared" si="352"/>
        <v>108.85840728794926</v>
      </c>
      <c r="T1095">
        <f t="shared" si="352"/>
        <v>110.95575986625454</v>
      </c>
      <c r="U1095">
        <f t="shared" si="352"/>
        <v>74.169378344137897</v>
      </c>
      <c r="V1095">
        <f t="shared" si="352"/>
        <v>115.34111437223328</v>
      </c>
    </row>
    <row r="1096" spans="2:22">
      <c r="G1096"/>
      <c r="I1096" s="21"/>
      <c r="K1096" s="21"/>
      <c r="L1096" s="21"/>
      <c r="M1096" s="21"/>
      <c r="N1096" s="21"/>
    </row>
    <row r="1097" spans="2:22">
      <c r="G1097"/>
      <c r="I1097" s="21"/>
      <c r="K1097" s="21"/>
      <c r="L1097" s="21"/>
      <c r="M1097" s="21"/>
      <c r="N1097" s="21"/>
    </row>
    <row r="1098" spans="2:22">
      <c r="B1098" t="s">
        <v>471</v>
      </c>
      <c r="G1098"/>
      <c r="I1098" s="21"/>
      <c r="J1098">
        <f>SUM(J1071,J1045)</f>
        <v>3666225.2759999996</v>
      </c>
      <c r="K1098">
        <f t="shared" ref="K1098:V1098" si="353">SUM(K1071,K1045)</f>
        <v>3776212.0342799998</v>
      </c>
      <c r="L1098">
        <f t="shared" si="353"/>
        <v>3889498.3953083996</v>
      </c>
      <c r="M1098">
        <f t="shared" si="353"/>
        <v>4006183.3471676521</v>
      </c>
      <c r="N1098">
        <f t="shared" si="353"/>
        <v>4126368.847582682</v>
      </c>
      <c r="O1098">
        <f t="shared" si="353"/>
        <v>5250159.9130101623</v>
      </c>
      <c r="P1098">
        <f t="shared" si="353"/>
        <v>5877664.7104004677</v>
      </c>
      <c r="Q1098">
        <f t="shared" si="353"/>
        <v>7208994.6517124809</v>
      </c>
      <c r="R1098">
        <f t="shared" si="353"/>
        <v>6644264.4912638562</v>
      </c>
      <c r="S1098">
        <f t="shared" si="353"/>
        <v>7783592.4260017723</v>
      </c>
      <c r="T1098">
        <f t="shared" si="353"/>
        <v>7927100.1987818237</v>
      </c>
      <c r="U1098">
        <f t="shared" si="353"/>
        <v>5074913.2047452796</v>
      </c>
      <c r="V1098">
        <f t="shared" si="353"/>
        <v>8227160.6008876376</v>
      </c>
    </row>
    <row r="1099" spans="2:22">
      <c r="B1099" t="s">
        <v>578</v>
      </c>
      <c r="G1099"/>
      <c r="I1099" s="21"/>
      <c r="J1099" s="23">
        <f>SUM(J1081,J1055)</f>
        <v>456.93611833517997</v>
      </c>
      <c r="K1099" s="23">
        <f t="shared" ref="K1099:V1099" si="354">SUM(K1081,K1055)</f>
        <v>470.64420188523536</v>
      </c>
      <c r="L1099" s="23">
        <f t="shared" si="354"/>
        <v>484.76352794179246</v>
      </c>
      <c r="M1099" s="23">
        <f t="shared" si="354"/>
        <v>499.30643378004623</v>
      </c>
      <c r="N1099" s="23">
        <f t="shared" si="354"/>
        <v>514.28562679344759</v>
      </c>
      <c r="O1099" s="23">
        <f t="shared" si="354"/>
        <v>653.90419559725115</v>
      </c>
      <c r="P1099" s="23">
        <f t="shared" si="354"/>
        <v>731.89062146516858</v>
      </c>
      <c r="Q1099" s="23">
        <f t="shared" si="354"/>
        <v>897.28679010912367</v>
      </c>
      <c r="R1099" s="23">
        <f t="shared" si="354"/>
        <v>827.21300381239746</v>
      </c>
      <c r="S1099" s="23">
        <f t="shared" si="354"/>
        <v>968.76799392676935</v>
      </c>
      <c r="T1099" s="23">
        <f t="shared" si="354"/>
        <v>986.65393374457244</v>
      </c>
      <c r="U1099" s="23">
        <f t="shared" si="354"/>
        <v>632.50645175690966</v>
      </c>
      <c r="V1099" s="23">
        <f t="shared" si="354"/>
        <v>1024.051645309617</v>
      </c>
    </row>
    <row r="1100" spans="2:22">
      <c r="B1100" t="s">
        <v>434</v>
      </c>
      <c r="G1100"/>
      <c r="I1100" s="21"/>
      <c r="J1100">
        <f>SUM(J1095,J1068)</f>
        <v>91.849628986611151</v>
      </c>
      <c r="K1100">
        <f t="shared" ref="K1100:V1100" si="355">SUM(K1095,K1068)</f>
        <v>94.605117856209517</v>
      </c>
      <c r="L1100">
        <f t="shared" si="355"/>
        <v>97.44327139189582</v>
      </c>
      <c r="M1100">
        <f t="shared" si="355"/>
        <v>100.36656953365267</v>
      </c>
      <c r="N1100">
        <f t="shared" si="355"/>
        <v>103.37756661966225</v>
      </c>
      <c r="O1100">
        <f t="shared" si="355"/>
        <v>179.79111184417582</v>
      </c>
      <c r="P1100">
        <f t="shared" si="355"/>
        <v>219.64158776568519</v>
      </c>
      <c r="Q1100">
        <f t="shared" si="355"/>
        <v>310.90644744959769</v>
      </c>
      <c r="R1100">
        <f t="shared" si="355"/>
        <v>262.97679843863932</v>
      </c>
      <c r="S1100">
        <f t="shared" si="355"/>
        <v>339.7795875241668</v>
      </c>
      <c r="T1100">
        <f t="shared" si="355"/>
        <v>343.37487550955859</v>
      </c>
      <c r="U1100">
        <f t="shared" si="355"/>
        <v>127.14136745674105</v>
      </c>
      <c r="V1100">
        <f t="shared" si="355"/>
        <v>350.89226315821458</v>
      </c>
    </row>
    <row r="1101" spans="2:22">
      <c r="G1101"/>
      <c r="I1101" s="21"/>
      <c r="J1101" s="74">
        <f>J1100/J1104-1</f>
        <v>0.13206652268226549</v>
      </c>
      <c r="K1101" s="74">
        <f t="shared" ref="K1101:T1101" si="356">K1100/K1104-1</f>
        <v>0.13206652268226504</v>
      </c>
      <c r="L1101" s="74">
        <f t="shared" si="356"/>
        <v>0.13206652268226593</v>
      </c>
      <c r="M1101" s="74">
        <f t="shared" si="356"/>
        <v>0.13206652268226549</v>
      </c>
      <c r="N1101" s="74">
        <f t="shared" si="356"/>
        <v>0.13206652268226482</v>
      </c>
      <c r="O1101" s="74">
        <f t="shared" si="356"/>
        <v>0.91151027098693804</v>
      </c>
      <c r="P1101" s="74">
        <f t="shared" si="356"/>
        <v>1.2671787774948924</v>
      </c>
      <c r="Q1101" s="74">
        <f t="shared" si="356"/>
        <v>2.1157578417722958</v>
      </c>
      <c r="R1101" s="74">
        <f t="shared" si="356"/>
        <v>1.5586694130742362</v>
      </c>
      <c r="S1101" s="74">
        <f t="shared" si="356"/>
        <v>2.2096435475249376</v>
      </c>
      <c r="T1101" s="74">
        <f t="shared" si="356"/>
        <v>2.1491315953450547</v>
      </c>
      <c r="U1101" s="74"/>
      <c r="V1101" s="74"/>
    </row>
    <row r="1102" spans="2:22">
      <c r="B1102" t="s">
        <v>654</v>
      </c>
      <c r="G1102"/>
      <c r="I1102" s="21"/>
    </row>
    <row r="1103" spans="2:22">
      <c r="B1103" t="s">
        <v>472</v>
      </c>
      <c r="G1103"/>
      <c r="J1103">
        <f>SUM(J1036)</f>
        <v>456.93611833517997</v>
      </c>
      <c r="K1103">
        <f t="shared" ref="K1103:V1103" si="357">SUM(K1036)</f>
        <v>470.64420188523536</v>
      </c>
      <c r="L1103">
        <f t="shared" si="357"/>
        <v>484.7635279417924</v>
      </c>
      <c r="M1103">
        <f t="shared" si="357"/>
        <v>499.30643378004623</v>
      </c>
      <c r="N1103">
        <f t="shared" si="357"/>
        <v>514.2856267934477</v>
      </c>
      <c r="O1103">
        <f t="shared" si="357"/>
        <v>529.71419559725109</v>
      </c>
      <c r="P1103">
        <f t="shared" si="357"/>
        <v>545.60562146516872</v>
      </c>
      <c r="Q1103">
        <f t="shared" si="357"/>
        <v>561.97379010912368</v>
      </c>
      <c r="R1103">
        <f t="shared" si="357"/>
        <v>578.83300381239746</v>
      </c>
      <c r="S1103">
        <f t="shared" si="357"/>
        <v>596.19799392676941</v>
      </c>
      <c r="T1103">
        <f t="shared" si="357"/>
        <v>614.08393374457239</v>
      </c>
      <c r="U1103">
        <f t="shared" si="357"/>
        <v>632.50645175690966</v>
      </c>
      <c r="V1103">
        <f t="shared" si="357"/>
        <v>651.48164530961697</v>
      </c>
    </row>
    <row r="1104" spans="2:22">
      <c r="B1104" t="s">
        <v>434</v>
      </c>
      <c r="G1104"/>
      <c r="J1104">
        <f>J1040</f>
        <v>81.134480303319037</v>
      </c>
      <c r="K1104">
        <f t="shared" ref="K1104:V1104" si="358">K1040</f>
        <v>83.568514712418676</v>
      </c>
      <c r="L1104">
        <f t="shared" si="358"/>
        <v>86.075570153791176</v>
      </c>
      <c r="M1104">
        <f t="shared" si="358"/>
        <v>88.657837258404925</v>
      </c>
      <c r="N1104">
        <f t="shared" si="358"/>
        <v>91.317572376157131</v>
      </c>
      <c r="O1104">
        <f t="shared" si="358"/>
        <v>94.057099547441766</v>
      </c>
      <c r="P1104">
        <f t="shared" si="358"/>
        <v>96.87881253386513</v>
      </c>
      <c r="Q1104">
        <f t="shared" si="358"/>
        <v>99.785176909881045</v>
      </c>
      <c r="R1104">
        <f t="shared" si="358"/>
        <v>102.77873221717738</v>
      </c>
      <c r="S1104">
        <f t="shared" si="358"/>
        <v>105.86209418369279</v>
      </c>
      <c r="T1104">
        <f t="shared" si="358"/>
        <v>109.03795700920352</v>
      </c>
      <c r="U1104">
        <f t="shared" si="358"/>
        <v>112.30909571947967</v>
      </c>
      <c r="V1104">
        <f t="shared" si="358"/>
        <v>115.67836859106413</v>
      </c>
    </row>
    <row r="1105" spans="2:22">
      <c r="G1105"/>
    </row>
    <row r="1106" spans="2:22">
      <c r="G1106"/>
    </row>
    <row r="1107" spans="2:22" ht="24" thickBot="1">
      <c r="B1107" s="14" t="s">
        <v>655</v>
      </c>
      <c r="C1107" s="14"/>
      <c r="D1107" s="14"/>
      <c r="E1107" s="14"/>
      <c r="F1107" s="14"/>
      <c r="G1107" s="14"/>
      <c r="H1107" s="14"/>
      <c r="I1107" s="14"/>
      <c r="J1107" s="14"/>
      <c r="K1107" s="14"/>
      <c r="L1107" s="14"/>
      <c r="M1107" s="14"/>
      <c r="N1107" s="14"/>
      <c r="O1107" s="14"/>
      <c r="P1107" s="14"/>
      <c r="Q1107" s="14"/>
      <c r="R1107" s="14"/>
      <c r="S1107" s="14"/>
      <c r="T1107" s="14"/>
      <c r="U1107" s="14"/>
      <c r="V1107" s="14"/>
    </row>
    <row r="1108" spans="2:22">
      <c r="G1108"/>
    </row>
    <row r="1109" spans="2:22">
      <c r="B1109" t="s">
        <v>37</v>
      </c>
      <c r="F1109" s="19">
        <v>2025</v>
      </c>
      <c r="G1109"/>
      <c r="J1109" s="13">
        <f>IF(J$8&lt;$F1109,0,1)*J$12</f>
        <v>0</v>
      </c>
      <c r="K1109" s="13">
        <f t="shared" ref="K1109:V1109" si="359">IF(K$8&lt;$F1109,0,1)*K$12</f>
        <v>1</v>
      </c>
      <c r="L1109" s="13">
        <f t="shared" si="359"/>
        <v>1</v>
      </c>
      <c r="M1109" s="13">
        <f t="shared" si="359"/>
        <v>1</v>
      </c>
      <c r="N1109" s="13">
        <f t="shared" si="359"/>
        <v>1</v>
      </c>
      <c r="O1109" s="13">
        <f t="shared" si="359"/>
        <v>1</v>
      </c>
      <c r="P1109" s="13">
        <f t="shared" si="359"/>
        <v>1</v>
      </c>
      <c r="Q1109" s="13">
        <f t="shared" si="359"/>
        <v>1</v>
      </c>
      <c r="R1109" s="13">
        <f t="shared" si="359"/>
        <v>1</v>
      </c>
      <c r="S1109" s="13">
        <f t="shared" si="359"/>
        <v>1</v>
      </c>
      <c r="T1109" s="13">
        <f t="shared" si="359"/>
        <v>1</v>
      </c>
      <c r="U1109" s="13">
        <f t="shared" si="359"/>
        <v>1</v>
      </c>
      <c r="V1109" s="13">
        <f t="shared" si="359"/>
        <v>1</v>
      </c>
    </row>
    <row r="1110" spans="2:22" ht="15.75">
      <c r="B1110" s="15" t="s">
        <v>625</v>
      </c>
      <c r="G1110"/>
    </row>
    <row r="1111" spans="2:22" ht="15.75">
      <c r="B1111" s="15" t="s">
        <v>656</v>
      </c>
      <c r="G1111"/>
    </row>
    <row r="1112" spans="2:22">
      <c r="B1112" t="s">
        <v>407</v>
      </c>
      <c r="G1112"/>
      <c r="H1112">
        <v>3600</v>
      </c>
      <c r="J1112">
        <f>J181</f>
        <v>1990024.6600000001</v>
      </c>
      <c r="K1112">
        <f t="shared" ref="K1112:V1112" si="360">K181</f>
        <v>2049725.3998000002</v>
      </c>
      <c r="L1112">
        <f t="shared" si="360"/>
        <v>2111217.1617939998</v>
      </c>
      <c r="M1112">
        <f t="shared" si="360"/>
        <v>2174553.67664782</v>
      </c>
      <c r="N1112">
        <f t="shared" si="360"/>
        <v>2239790.286947255</v>
      </c>
      <c r="O1112">
        <f t="shared" si="360"/>
        <v>2306983.9955556723</v>
      </c>
      <c r="P1112">
        <f t="shared" si="360"/>
        <v>2376193.5154223428</v>
      </c>
      <c r="Q1112">
        <f t="shared" si="360"/>
        <v>2447479.3208850133</v>
      </c>
      <c r="R1112">
        <f t="shared" si="360"/>
        <v>2520903.7005115636</v>
      </c>
      <c r="S1112">
        <f t="shared" si="360"/>
        <v>2596530.8115269109</v>
      </c>
      <c r="T1112">
        <f t="shared" si="360"/>
        <v>2674426.735872718</v>
      </c>
      <c r="U1112">
        <f t="shared" si="360"/>
        <v>2754659.5379488994</v>
      </c>
      <c r="V1112">
        <f t="shared" si="360"/>
        <v>2837299.3240873665</v>
      </c>
    </row>
    <row r="1113" spans="2:22">
      <c r="B1113" s="407" t="s">
        <v>657</v>
      </c>
      <c r="F1113">
        <v>34880</v>
      </c>
      <c r="G1113">
        <v>69000</v>
      </c>
      <c r="H1113">
        <v>32300</v>
      </c>
      <c r="I1113" s="21">
        <f>H1113/H1115</f>
        <v>0.71460176991150437</v>
      </c>
      <c r="J1113">
        <f>J182</f>
        <v>0</v>
      </c>
    </row>
    <row r="1114" spans="2:22">
      <c r="B1114" t="s">
        <v>627</v>
      </c>
      <c r="E1114" s="289">
        <f>SUM(E1115:E1120)</f>
        <v>1.0000000000000002</v>
      </c>
      <c r="F1114" s="9" t="s">
        <v>628</v>
      </c>
      <c r="G1114">
        <f>G1113-F1113</f>
        <v>34120</v>
      </c>
      <c r="H1114">
        <v>9300</v>
      </c>
      <c r="J1114">
        <f>J184</f>
        <v>34120</v>
      </c>
      <c r="K1114">
        <f>K184</f>
        <v>35143.599999999999</v>
      </c>
      <c r="L1114">
        <f>L184</f>
        <v>36197.907999999996</v>
      </c>
    </row>
    <row r="1115" spans="2:22">
      <c r="B1115" t="s">
        <v>629</v>
      </c>
      <c r="E1115" s="289">
        <f>100%-SUM(E1116:E1120)</f>
        <v>0.13988167495112391</v>
      </c>
      <c r="F1115" s="19">
        <f>F1113-F1117</f>
        <v>10464</v>
      </c>
      <c r="G1115"/>
      <c r="H1115">
        <f>SUM(H1112:H1114)</f>
        <v>45200</v>
      </c>
      <c r="J1115">
        <f t="shared" ref="J1115:V1121" si="361">$F1115*J$1112/Billion</f>
        <v>20.823618042240003</v>
      </c>
      <c r="K1115">
        <f t="shared" si="361"/>
        <v>21.448326583507203</v>
      </c>
      <c r="L1115">
        <f t="shared" si="361"/>
        <v>22.091776381012412</v>
      </c>
      <c r="M1115">
        <f t="shared" si="361"/>
        <v>22.754529672442786</v>
      </c>
      <c r="N1115">
        <f t="shared" si="361"/>
        <v>23.437165562616077</v>
      </c>
      <c r="O1115">
        <f t="shared" si="361"/>
        <v>24.140280529494557</v>
      </c>
      <c r="P1115">
        <f t="shared" si="361"/>
        <v>24.864488945379396</v>
      </c>
      <c r="Q1115">
        <f t="shared" si="361"/>
        <v>25.610423613740778</v>
      </c>
      <c r="R1115">
        <f t="shared" si="361"/>
        <v>26.378736322152999</v>
      </c>
      <c r="S1115">
        <f t="shared" si="361"/>
        <v>27.170098411817598</v>
      </c>
      <c r="T1115">
        <f t="shared" si="361"/>
        <v>27.985201364172124</v>
      </c>
      <c r="U1115">
        <f t="shared" si="361"/>
        <v>28.824757405097284</v>
      </c>
      <c r="V1115">
        <f t="shared" si="361"/>
        <v>29.689500127250202</v>
      </c>
    </row>
    <row r="1116" spans="2:22">
      <c r="B1116" t="s">
        <v>630</v>
      </c>
      <c r="E1116" s="21">
        <v>0.46388274831009851</v>
      </c>
      <c r="F1116" s="19"/>
      <c r="G1116"/>
      <c r="J1116">
        <f t="shared" si="361"/>
        <v>0</v>
      </c>
      <c r="K1116">
        <f t="shared" si="361"/>
        <v>0</v>
      </c>
      <c r="L1116">
        <f t="shared" si="361"/>
        <v>0</v>
      </c>
      <c r="M1116">
        <f t="shared" si="361"/>
        <v>0</v>
      </c>
      <c r="N1116">
        <f t="shared" si="361"/>
        <v>0</v>
      </c>
      <c r="O1116">
        <f t="shared" si="361"/>
        <v>0</v>
      </c>
      <c r="P1116">
        <f t="shared" si="361"/>
        <v>0</v>
      </c>
      <c r="Q1116">
        <f t="shared" si="361"/>
        <v>0</v>
      </c>
      <c r="R1116">
        <f t="shared" si="361"/>
        <v>0</v>
      </c>
      <c r="S1116">
        <f t="shared" si="361"/>
        <v>0</v>
      </c>
      <c r="T1116">
        <f t="shared" si="361"/>
        <v>0</v>
      </c>
      <c r="U1116">
        <f t="shared" si="361"/>
        <v>0</v>
      </c>
      <c r="V1116">
        <f t="shared" si="361"/>
        <v>0</v>
      </c>
    </row>
    <row r="1117" spans="2:22">
      <c r="B1117" s="407" t="s">
        <v>631</v>
      </c>
      <c r="E1117" s="21">
        <v>0.30382448025147268</v>
      </c>
      <c r="F1117" s="19">
        <f>F1113*70%</f>
        <v>24416</v>
      </c>
      <c r="G1117" s="19">
        <v>32300</v>
      </c>
      <c r="J1117">
        <f t="shared" si="361"/>
        <v>48.588442098560009</v>
      </c>
      <c r="K1117">
        <f t="shared" si="361"/>
        <v>50.046095361516805</v>
      </c>
      <c r="L1117">
        <f t="shared" si="361"/>
        <v>51.547478222362294</v>
      </c>
      <c r="M1117">
        <f t="shared" si="361"/>
        <v>53.093902569033176</v>
      </c>
      <c r="N1117">
        <f t="shared" si="361"/>
        <v>54.68671964610418</v>
      </c>
      <c r="O1117">
        <f t="shared" si="361"/>
        <v>56.327321235487297</v>
      </c>
      <c r="P1117">
        <f t="shared" si="361"/>
        <v>58.017140872551927</v>
      </c>
      <c r="Q1117">
        <f t="shared" si="361"/>
        <v>59.757655098728485</v>
      </c>
      <c r="R1117">
        <f t="shared" si="361"/>
        <v>61.550384751690338</v>
      </c>
      <c r="S1117">
        <f t="shared" si="361"/>
        <v>63.39689629424106</v>
      </c>
      <c r="T1117">
        <f t="shared" si="361"/>
        <v>65.298803183068287</v>
      </c>
      <c r="U1117">
        <f t="shared" si="361"/>
        <v>67.257767278560323</v>
      </c>
      <c r="V1117">
        <f t="shared" si="361"/>
        <v>69.275500296917144</v>
      </c>
    </row>
    <row r="1118" spans="2:22">
      <c r="B1118" s="407" t="s">
        <v>632</v>
      </c>
      <c r="E1118" s="21"/>
      <c r="F1118" s="19">
        <f>E1118*$F$1113</f>
        <v>0</v>
      </c>
      <c r="G1118"/>
      <c r="J1118">
        <f t="shared" si="361"/>
        <v>0</v>
      </c>
      <c r="K1118">
        <f t="shared" si="361"/>
        <v>0</v>
      </c>
      <c r="L1118">
        <f t="shared" si="361"/>
        <v>0</v>
      </c>
      <c r="M1118">
        <f t="shared" si="361"/>
        <v>0</v>
      </c>
      <c r="N1118">
        <f t="shared" si="361"/>
        <v>0</v>
      </c>
      <c r="O1118">
        <f t="shared" si="361"/>
        <v>0</v>
      </c>
      <c r="P1118">
        <f t="shared" si="361"/>
        <v>0</v>
      </c>
      <c r="Q1118">
        <f t="shared" si="361"/>
        <v>0</v>
      </c>
      <c r="R1118">
        <f t="shared" si="361"/>
        <v>0</v>
      </c>
      <c r="S1118">
        <f t="shared" si="361"/>
        <v>0</v>
      </c>
      <c r="T1118">
        <f t="shared" si="361"/>
        <v>0</v>
      </c>
      <c r="U1118">
        <f t="shared" si="361"/>
        <v>0</v>
      </c>
      <c r="V1118">
        <f t="shared" si="361"/>
        <v>0</v>
      </c>
    </row>
    <row r="1119" spans="2:22">
      <c r="B1119" s="407" t="s">
        <v>633</v>
      </c>
      <c r="E1119" s="21">
        <v>8.8616005826805858E-2</v>
      </c>
      <c r="F1119" s="19"/>
      <c r="G1119">
        <v>10464</v>
      </c>
      <c r="J1119">
        <f t="shared" si="361"/>
        <v>0</v>
      </c>
      <c r="K1119">
        <f t="shared" si="361"/>
        <v>0</v>
      </c>
      <c r="L1119">
        <f t="shared" si="361"/>
        <v>0</v>
      </c>
      <c r="M1119">
        <f t="shared" si="361"/>
        <v>0</v>
      </c>
      <c r="N1119">
        <f t="shared" si="361"/>
        <v>0</v>
      </c>
      <c r="O1119">
        <f t="shared" si="361"/>
        <v>0</v>
      </c>
      <c r="P1119">
        <f t="shared" si="361"/>
        <v>0</v>
      </c>
      <c r="Q1119">
        <f t="shared" si="361"/>
        <v>0</v>
      </c>
      <c r="R1119">
        <f t="shared" si="361"/>
        <v>0</v>
      </c>
      <c r="S1119">
        <f t="shared" si="361"/>
        <v>0</v>
      </c>
      <c r="T1119">
        <f t="shared" si="361"/>
        <v>0</v>
      </c>
      <c r="U1119">
        <f t="shared" si="361"/>
        <v>0</v>
      </c>
      <c r="V1119">
        <f t="shared" si="361"/>
        <v>0</v>
      </c>
    </row>
    <row r="1120" spans="2:22">
      <c r="B1120" s="407" t="s">
        <v>634</v>
      </c>
      <c r="E1120" s="21">
        <v>3.7950906604991121E-3</v>
      </c>
      <c r="F1120" s="19"/>
      <c r="G1120"/>
      <c r="J1120">
        <f t="shared" si="361"/>
        <v>0</v>
      </c>
      <c r="K1120">
        <f t="shared" si="361"/>
        <v>0</v>
      </c>
      <c r="L1120">
        <f t="shared" si="361"/>
        <v>0</v>
      </c>
      <c r="M1120">
        <f t="shared" si="361"/>
        <v>0</v>
      </c>
      <c r="N1120">
        <f t="shared" si="361"/>
        <v>0</v>
      </c>
      <c r="O1120">
        <f t="shared" si="361"/>
        <v>0</v>
      </c>
      <c r="P1120">
        <f t="shared" si="361"/>
        <v>0</v>
      </c>
      <c r="Q1120">
        <f t="shared" si="361"/>
        <v>0</v>
      </c>
      <c r="R1120">
        <f t="shared" si="361"/>
        <v>0</v>
      </c>
      <c r="S1120">
        <f t="shared" si="361"/>
        <v>0</v>
      </c>
      <c r="T1120">
        <f t="shared" si="361"/>
        <v>0</v>
      </c>
      <c r="U1120">
        <f t="shared" si="361"/>
        <v>0</v>
      </c>
      <c r="V1120">
        <f t="shared" si="361"/>
        <v>0</v>
      </c>
    </row>
    <row r="1121" spans="2:22">
      <c r="B1121" s="407" t="s">
        <v>647</v>
      </c>
      <c r="E1121" s="21"/>
      <c r="F1121" s="19">
        <f>G1113-F1113</f>
        <v>34120</v>
      </c>
      <c r="G1121"/>
      <c r="J1121">
        <f t="shared" si="361"/>
        <v>67.899641399200007</v>
      </c>
      <c r="K1121">
        <f t="shared" si="361"/>
        <v>69.936630641176009</v>
      </c>
      <c r="L1121">
        <f t="shared" si="361"/>
        <v>72.034729560411265</v>
      </c>
      <c r="M1121">
        <f t="shared" si="361"/>
        <v>74.19577144722362</v>
      </c>
      <c r="N1121">
        <f t="shared" si="361"/>
        <v>76.421644590640341</v>
      </c>
      <c r="O1121">
        <f t="shared" si="361"/>
        <v>78.714293928359538</v>
      </c>
      <c r="P1121">
        <f t="shared" si="361"/>
        <v>81.075722746210346</v>
      </c>
      <c r="Q1121">
        <f t="shared" si="361"/>
        <v>83.507994428596646</v>
      </c>
      <c r="R1121">
        <f t="shared" si="361"/>
        <v>86.013234261454542</v>
      </c>
      <c r="S1121">
        <f t="shared" si="361"/>
        <v>88.593631289298202</v>
      </c>
      <c r="T1121">
        <f t="shared" si="361"/>
        <v>91.251440227977142</v>
      </c>
      <c r="U1121">
        <f t="shared" si="361"/>
        <v>93.988983434816447</v>
      </c>
      <c r="V1121">
        <f t="shared" si="361"/>
        <v>96.808652937860941</v>
      </c>
    </row>
    <row r="1122" spans="2:22">
      <c r="C1122" s="407"/>
      <c r="F1122">
        <f>SUM(F1115:F1120)</f>
        <v>34880</v>
      </c>
      <c r="G1122">
        <v>24416</v>
      </c>
      <c r="J1122" s="28">
        <f>SUM(J1115:J1121)</f>
        <v>137.31170154</v>
      </c>
      <c r="K1122" s="28">
        <f t="shared" ref="K1122:V1122" si="362">SUM(K1115:K1121)</f>
        <v>141.43105258620002</v>
      </c>
      <c r="L1122" s="28">
        <f t="shared" si="362"/>
        <v>145.67398416378597</v>
      </c>
      <c r="M1122" s="28">
        <f t="shared" si="362"/>
        <v>150.04420368869958</v>
      </c>
      <c r="N1122" s="28">
        <f t="shared" si="362"/>
        <v>154.54552979936059</v>
      </c>
      <c r="O1122" s="28">
        <f t="shared" si="362"/>
        <v>159.1818956933414</v>
      </c>
      <c r="P1122" s="28">
        <f t="shared" si="362"/>
        <v>163.95735256414167</v>
      </c>
      <c r="Q1122" s="28">
        <f t="shared" si="362"/>
        <v>168.87607314106592</v>
      </c>
      <c r="R1122" s="28">
        <f t="shared" si="362"/>
        <v>173.94235533529786</v>
      </c>
      <c r="S1122" s="28">
        <f t="shared" si="362"/>
        <v>179.16062599535687</v>
      </c>
      <c r="T1122" s="28">
        <f t="shared" si="362"/>
        <v>184.53544477521757</v>
      </c>
      <c r="U1122" s="28">
        <f t="shared" si="362"/>
        <v>190.07150811847407</v>
      </c>
      <c r="V1122" s="28">
        <f t="shared" si="362"/>
        <v>195.77365336202828</v>
      </c>
    </row>
    <row r="1123" spans="2:22">
      <c r="G1123"/>
    </row>
    <row r="1124" spans="2:22">
      <c r="B1124" s="407" t="s">
        <v>483</v>
      </c>
      <c r="F1124">
        <f>-SUM(F1115:F1120)*(1-E1133)</f>
        <v>-25462.399999999998</v>
      </c>
      <c r="G1124"/>
      <c r="J1124">
        <f>-(J1122-J1133)</f>
        <v>-118.57044530198401</v>
      </c>
      <c r="K1124">
        <f t="shared" ref="K1124:V1124" si="363">-(K1122-K1133)</f>
        <v>-122.12755866104354</v>
      </c>
      <c r="L1124">
        <f t="shared" si="363"/>
        <v>-125.7913854208748</v>
      </c>
      <c r="M1124">
        <f t="shared" si="363"/>
        <v>-129.56512698350107</v>
      </c>
      <c r="N1124">
        <f t="shared" si="363"/>
        <v>-133.45208079300613</v>
      </c>
      <c r="O1124">
        <f t="shared" si="363"/>
        <v>-137.45564321679629</v>
      </c>
      <c r="P1124">
        <f t="shared" si="363"/>
        <v>-141.57931251330021</v>
      </c>
      <c r="Q1124">
        <f t="shared" si="363"/>
        <v>-145.8266918886992</v>
      </c>
      <c r="R1124">
        <f t="shared" si="363"/>
        <v>-150.20149264536019</v>
      </c>
      <c r="S1124">
        <f t="shared" si="363"/>
        <v>-154.70753742472101</v>
      </c>
      <c r="T1124">
        <f t="shared" si="363"/>
        <v>-159.34876354746262</v>
      </c>
      <c r="U1124">
        <f t="shared" si="363"/>
        <v>-164.1292264538865</v>
      </c>
      <c r="V1124">
        <f t="shared" si="363"/>
        <v>-169.05310324750309</v>
      </c>
    </row>
    <row r="1125" spans="2:22">
      <c r="B1125" s="279" t="s">
        <v>636</v>
      </c>
      <c r="C1125" s="280"/>
      <c r="D1125" s="280"/>
      <c r="E1125" s="280"/>
      <c r="F1125" s="281">
        <v>-2377</v>
      </c>
      <c r="G1125"/>
      <c r="J1125">
        <f>$F1125*J$1112/Billion</f>
        <v>-4.7302886168200002</v>
      </c>
      <c r="K1125">
        <f t="shared" ref="K1125:V1129" si="364">$F1125*K$1112/Billion</f>
        <v>-4.8721972753246003</v>
      </c>
      <c r="L1125">
        <f t="shared" si="364"/>
        <v>-5.0183631935843369</v>
      </c>
      <c r="M1125">
        <f t="shared" si="364"/>
        <v>-5.168914089391869</v>
      </c>
      <c r="N1125">
        <f t="shared" si="364"/>
        <v>-5.3239815120736251</v>
      </c>
      <c r="O1125">
        <f t="shared" si="364"/>
        <v>-5.4837009574358326</v>
      </c>
      <c r="P1125">
        <f t="shared" si="364"/>
        <v>-5.6482119861589091</v>
      </c>
      <c r="Q1125">
        <f t="shared" si="364"/>
        <v>-5.817658345743677</v>
      </c>
      <c r="R1125">
        <f t="shared" si="364"/>
        <v>-5.9921880961159868</v>
      </c>
      <c r="S1125">
        <f t="shared" si="364"/>
        <v>-6.1719537389994672</v>
      </c>
      <c r="T1125">
        <f t="shared" si="364"/>
        <v>-6.3571123511694507</v>
      </c>
      <c r="U1125">
        <f t="shared" si="364"/>
        <v>-6.5478257217045339</v>
      </c>
      <c r="V1125">
        <f t="shared" si="364"/>
        <v>-6.7442604933556698</v>
      </c>
    </row>
    <row r="1126" spans="2:22">
      <c r="B1126" s="282" t="s">
        <v>637</v>
      </c>
      <c r="F1126" s="283">
        <v>-3174.08</v>
      </c>
      <c r="G1126"/>
      <c r="J1126">
        <f>$F1126*J$1112/Billion</f>
        <v>-6.3164974728128005</v>
      </c>
      <c r="K1126">
        <f t="shared" si="364"/>
        <v>-6.5059923969971845</v>
      </c>
      <c r="L1126">
        <f t="shared" si="364"/>
        <v>-6.7011721689070987</v>
      </c>
      <c r="M1126">
        <f t="shared" si="364"/>
        <v>-6.9022073339743129</v>
      </c>
      <c r="N1126">
        <f t="shared" si="364"/>
        <v>-7.1092735539935425</v>
      </c>
      <c r="O1126">
        <f t="shared" si="364"/>
        <v>-7.3225517606133481</v>
      </c>
      <c r="P1126">
        <f t="shared" si="364"/>
        <v>-7.5422283134317496</v>
      </c>
      <c r="Q1126">
        <f t="shared" si="364"/>
        <v>-7.7684951628347028</v>
      </c>
      <c r="R1126">
        <f t="shared" si="364"/>
        <v>-8.0015500177197438</v>
      </c>
      <c r="S1126">
        <f t="shared" si="364"/>
        <v>-8.2415965182513364</v>
      </c>
      <c r="T1126">
        <f t="shared" si="364"/>
        <v>-8.4888444137988763</v>
      </c>
      <c r="U1126">
        <f t="shared" si="364"/>
        <v>-8.7435097462128422</v>
      </c>
      <c r="V1126">
        <f t="shared" si="364"/>
        <v>-9.0058150385992271</v>
      </c>
    </row>
    <row r="1127" spans="2:22">
      <c r="B1127" s="282" t="s">
        <v>638</v>
      </c>
      <c r="F1127" s="293">
        <v>-12272.1430163898</v>
      </c>
      <c r="G1127"/>
      <c r="J1127">
        <f>$F1127*J$1112/Billion</f>
        <v>-24.421867233662486</v>
      </c>
      <c r="K1127">
        <f t="shared" si="364"/>
        <v>-25.154523250672362</v>
      </c>
      <c r="L1127">
        <f t="shared" si="364"/>
        <v>-25.90915894819253</v>
      </c>
      <c r="M1127">
        <f t="shared" si="364"/>
        <v>-26.686433716638309</v>
      </c>
      <c r="N1127">
        <f t="shared" si="364"/>
        <v>-27.487026728137462</v>
      </c>
      <c r="O1127">
        <f t="shared" si="364"/>
        <v>-28.311637529981581</v>
      </c>
      <c r="P1127">
        <f t="shared" si="364"/>
        <v>-29.160986655881036</v>
      </c>
      <c r="Q1127">
        <f t="shared" si="364"/>
        <v>-30.035816255557467</v>
      </c>
      <c r="R1127">
        <f t="shared" si="364"/>
        <v>-30.93689074322419</v>
      </c>
      <c r="S1127">
        <f t="shared" si="364"/>
        <v>-31.864997465520918</v>
      </c>
      <c r="T1127">
        <f t="shared" si="364"/>
        <v>-32.820947389486548</v>
      </c>
      <c r="U1127">
        <f t="shared" si="364"/>
        <v>-33.805575811171138</v>
      </c>
      <c r="V1127">
        <f t="shared" si="364"/>
        <v>-34.819743085506275</v>
      </c>
    </row>
    <row r="1128" spans="2:22">
      <c r="B1128" s="284" t="s">
        <v>639</v>
      </c>
      <c r="C1128" s="118"/>
      <c r="D1128" s="118"/>
      <c r="E1128" s="118"/>
      <c r="F1128" s="212">
        <f>F1124-SUM(F1125:F1127)</f>
        <v>-7639.1769836101994</v>
      </c>
      <c r="G1128"/>
      <c r="J1128">
        <f>$F1128*J$1112/Billion</f>
        <v>-15.202150579488714</v>
      </c>
      <c r="K1128">
        <f t="shared" si="364"/>
        <v>-15.658215096873375</v>
      </c>
      <c r="L1128">
        <f t="shared" si="364"/>
        <v>-16.127961549779574</v>
      </c>
      <c r="M1128">
        <f t="shared" si="364"/>
        <v>-16.611800396272962</v>
      </c>
      <c r="N1128">
        <f t="shared" si="364"/>
        <v>-17.110154408161154</v>
      </c>
      <c r="O1128">
        <f t="shared" si="364"/>
        <v>-17.623459040405987</v>
      </c>
      <c r="P1128">
        <f t="shared" si="364"/>
        <v>-18.152162811618169</v>
      </c>
      <c r="Q1128">
        <f t="shared" si="364"/>
        <v>-18.696727695966718</v>
      </c>
      <c r="R1128">
        <f t="shared" si="364"/>
        <v>-19.257629526845715</v>
      </c>
      <c r="S1128">
        <f t="shared" si="364"/>
        <v>-19.83535841265109</v>
      </c>
      <c r="T1128">
        <f t="shared" si="364"/>
        <v>-20.430419165030621</v>
      </c>
      <c r="U1128">
        <f t="shared" si="364"/>
        <v>-21.043331739981539</v>
      </c>
      <c r="V1128">
        <f t="shared" si="364"/>
        <v>-21.674631692180984</v>
      </c>
    </row>
    <row r="1129" spans="2:22">
      <c r="B1129" t="s">
        <v>401</v>
      </c>
      <c r="F1129">
        <f>-F1121</f>
        <v>-34120</v>
      </c>
      <c r="G1129"/>
      <c r="J1129">
        <f>$F1129*J$1112/Billion</f>
        <v>-67.899641399200007</v>
      </c>
      <c r="K1129">
        <f t="shared" si="364"/>
        <v>-69.936630641176009</v>
      </c>
      <c r="L1129">
        <f t="shared" si="364"/>
        <v>-72.034729560411265</v>
      </c>
      <c r="M1129">
        <f t="shared" si="364"/>
        <v>-74.19577144722362</v>
      </c>
      <c r="N1129">
        <f t="shared" si="364"/>
        <v>-76.421644590640341</v>
      </c>
      <c r="O1129">
        <f t="shared" si="364"/>
        <v>-78.714293928359538</v>
      </c>
      <c r="P1129">
        <f t="shared" si="364"/>
        <v>-81.075722746210346</v>
      </c>
      <c r="Q1129">
        <f t="shared" si="364"/>
        <v>-83.507994428596646</v>
      </c>
      <c r="R1129">
        <f t="shared" si="364"/>
        <v>-86.013234261454542</v>
      </c>
      <c r="S1129">
        <f t="shared" si="364"/>
        <v>-88.593631289298202</v>
      </c>
      <c r="T1129">
        <f t="shared" si="364"/>
        <v>-91.251440227977142</v>
      </c>
      <c r="U1129">
        <f t="shared" si="364"/>
        <v>-93.988983434816447</v>
      </c>
      <c r="V1129">
        <f t="shared" si="364"/>
        <v>-96.808652937860941</v>
      </c>
    </row>
    <row r="1130" spans="2:22">
      <c r="F1130" s="21">
        <f>F1128/F1122</f>
        <v>-0.2190131015943291</v>
      </c>
      <c r="G1130"/>
      <c r="J1130">
        <f>SUM(J1125:J1129)</f>
        <v>-118.57044530198401</v>
      </c>
      <c r="K1130">
        <f t="shared" ref="K1130:V1130" si="365">SUM(K1125:K1129)</f>
        <v>-122.12755866104354</v>
      </c>
      <c r="L1130">
        <f t="shared" si="365"/>
        <v>-125.7913854208748</v>
      </c>
      <c r="M1130">
        <f t="shared" si="365"/>
        <v>-129.56512698350107</v>
      </c>
      <c r="N1130">
        <f t="shared" si="365"/>
        <v>-133.45208079300613</v>
      </c>
      <c r="O1130">
        <f t="shared" si="365"/>
        <v>-137.45564321679629</v>
      </c>
      <c r="P1130">
        <f t="shared" si="365"/>
        <v>-141.57931251330021</v>
      </c>
      <c r="Q1130">
        <f t="shared" si="365"/>
        <v>-145.8266918886992</v>
      </c>
      <c r="R1130">
        <f t="shared" si="365"/>
        <v>-150.20149264536019</v>
      </c>
      <c r="S1130">
        <f t="shared" si="365"/>
        <v>-154.70753742472101</v>
      </c>
      <c r="T1130">
        <f t="shared" si="365"/>
        <v>-159.34876354746262</v>
      </c>
      <c r="U1130">
        <f t="shared" si="365"/>
        <v>-164.1292264538865</v>
      </c>
      <c r="V1130">
        <f t="shared" si="365"/>
        <v>-169.05310324750309</v>
      </c>
    </row>
    <row r="1131" spans="2:22">
      <c r="G1131"/>
    </row>
    <row r="1132" spans="2:22">
      <c r="G1132"/>
    </row>
    <row r="1133" spans="2:22">
      <c r="B1133" t="s">
        <v>434</v>
      </c>
      <c r="E1133" s="39">
        <v>0.27</v>
      </c>
      <c r="G1133"/>
      <c r="J1133">
        <f>SUM(J1122,J1130)</f>
        <v>18.741256238015993</v>
      </c>
      <c r="K1133">
        <f t="shared" ref="K1133:V1133" si="366">SUM(K1122,K1130)</f>
        <v>19.303493925156488</v>
      </c>
      <c r="L1133">
        <f t="shared" si="366"/>
        <v>19.882598742911171</v>
      </c>
      <c r="M1133">
        <f t="shared" si="366"/>
        <v>20.479076705198509</v>
      </c>
      <c r="N1133">
        <f t="shared" si="366"/>
        <v>21.093449006354462</v>
      </c>
      <c r="O1133">
        <f t="shared" si="366"/>
        <v>21.726252476545113</v>
      </c>
      <c r="P1133">
        <f t="shared" si="366"/>
        <v>22.378040050841463</v>
      </c>
      <c r="Q1133">
        <f t="shared" si="366"/>
        <v>23.049381252366715</v>
      </c>
      <c r="R1133">
        <f t="shared" si="366"/>
        <v>23.740862689937671</v>
      </c>
      <c r="S1133">
        <f t="shared" si="366"/>
        <v>24.453088570635856</v>
      </c>
      <c r="T1133">
        <f t="shared" si="366"/>
        <v>25.186681227754946</v>
      </c>
      <c r="U1133">
        <f t="shared" si="366"/>
        <v>25.942281664587568</v>
      </c>
      <c r="V1133">
        <f t="shared" si="366"/>
        <v>26.720550114525196</v>
      </c>
    </row>
    <row r="1134" spans="2:22">
      <c r="G1134"/>
    </row>
    <row r="1135" spans="2:22">
      <c r="G1135"/>
    </row>
    <row r="1136" spans="2:22" ht="15.75">
      <c r="B1136" s="15" t="s">
        <v>644</v>
      </c>
      <c r="G1136"/>
    </row>
    <row r="1137" spans="2:22" ht="15.75">
      <c r="B1137" s="15" t="s">
        <v>656</v>
      </c>
      <c r="G1137"/>
    </row>
    <row r="1138" spans="2:22">
      <c r="B1138" t="s">
        <v>407</v>
      </c>
      <c r="G1138"/>
      <c r="J1138">
        <f>SUM(J181:J183)</f>
        <v>1990024.6600000001</v>
      </c>
      <c r="K1138">
        <f t="shared" ref="K1138:V1138" si="367">SUM(K181:K183)</f>
        <v>2049725.3998000002</v>
      </c>
      <c r="L1138">
        <f t="shared" si="367"/>
        <v>2111217.1617939998</v>
      </c>
      <c r="M1138">
        <f t="shared" si="367"/>
        <v>3664578.3366478197</v>
      </c>
      <c r="N1138">
        <f t="shared" si="367"/>
        <v>4074515.6867472548</v>
      </c>
      <c r="O1138">
        <f t="shared" si="367"/>
        <v>4235533.3796396721</v>
      </c>
      <c r="P1138">
        <f t="shared" si="367"/>
        <v>4407558.6058733994</v>
      </c>
      <c r="Q1138">
        <f t="shared" si="367"/>
        <v>4591905.4278124971</v>
      </c>
      <c r="R1138">
        <f t="shared" si="367"/>
        <v>4790084.0293180607</v>
      </c>
      <c r="S1138">
        <f t="shared" si="367"/>
        <v>5003831.5575810177</v>
      </c>
      <c r="T1138">
        <f t="shared" si="367"/>
        <v>5235147.8654021937</v>
      </c>
      <c r="U1138">
        <f t="shared" si="367"/>
        <v>4817202.1405355763</v>
      </c>
      <c r="V1138">
        <f t="shared" si="367"/>
        <v>4961718.2047516434</v>
      </c>
    </row>
    <row r="1139" spans="2:22">
      <c r="G1139"/>
    </row>
    <row r="1140" spans="2:22" ht="30">
      <c r="E1140" s="9" t="s">
        <v>645</v>
      </c>
      <c r="F1140" s="9" t="s">
        <v>646</v>
      </c>
      <c r="G1140" s="9" t="s">
        <v>642</v>
      </c>
    </row>
    <row r="1141" spans="2:22">
      <c r="B1141" t="s">
        <v>629</v>
      </c>
      <c r="E1141" s="19">
        <f t="shared" ref="E1141:E1147" si="368">F1115</f>
        <v>10464</v>
      </c>
      <c r="F1141" s="19">
        <f>E1141</f>
        <v>10464</v>
      </c>
      <c r="G1141"/>
      <c r="J1141">
        <f t="shared" ref="J1141:V1147" si="369">$F1141*J$1138/Billion</f>
        <v>20.823618042240003</v>
      </c>
      <c r="K1141">
        <f t="shared" si="369"/>
        <v>21.448326583507203</v>
      </c>
      <c r="L1141">
        <f t="shared" si="369"/>
        <v>22.091776381012412</v>
      </c>
      <c r="M1141">
        <f t="shared" si="369"/>
        <v>38.346147714682786</v>
      </c>
      <c r="N1141">
        <f t="shared" si="369"/>
        <v>42.635732146123274</v>
      </c>
      <c r="O1141">
        <f t="shared" si="369"/>
        <v>44.320621284549532</v>
      </c>
      <c r="P1141">
        <f t="shared" si="369"/>
        <v>46.120693251859251</v>
      </c>
      <c r="Q1141">
        <f t="shared" si="369"/>
        <v>48.049698396629964</v>
      </c>
      <c r="R1141">
        <f t="shared" si="369"/>
        <v>50.12343928278419</v>
      </c>
      <c r="S1141">
        <f t="shared" si="369"/>
        <v>52.360093418527768</v>
      </c>
      <c r="T1141">
        <f t="shared" si="369"/>
        <v>54.780587263568556</v>
      </c>
      <c r="U1141">
        <f t="shared" si="369"/>
        <v>50.407203198564268</v>
      </c>
      <c r="V1141">
        <f t="shared" si="369"/>
        <v>51.919419294521191</v>
      </c>
    </row>
    <row r="1142" spans="2:22">
      <c r="B1142" t="s">
        <v>630</v>
      </c>
      <c r="E1142" s="19">
        <f t="shared" si="368"/>
        <v>0</v>
      </c>
      <c r="F1142" s="19">
        <f>E1142</f>
        <v>0</v>
      </c>
      <c r="G1142"/>
      <c r="J1142">
        <f t="shared" si="369"/>
        <v>0</v>
      </c>
      <c r="K1142">
        <f t="shared" si="369"/>
        <v>0</v>
      </c>
      <c r="L1142">
        <f t="shared" si="369"/>
        <v>0</v>
      </c>
      <c r="M1142">
        <f t="shared" si="369"/>
        <v>0</v>
      </c>
      <c r="N1142">
        <f t="shared" si="369"/>
        <v>0</v>
      </c>
      <c r="O1142">
        <f t="shared" si="369"/>
        <v>0</v>
      </c>
      <c r="P1142">
        <f t="shared" si="369"/>
        <v>0</v>
      </c>
      <c r="Q1142">
        <f t="shared" si="369"/>
        <v>0</v>
      </c>
      <c r="R1142">
        <f t="shared" si="369"/>
        <v>0</v>
      </c>
      <c r="S1142">
        <f t="shared" si="369"/>
        <v>0</v>
      </c>
      <c r="T1142">
        <f t="shared" si="369"/>
        <v>0</v>
      </c>
      <c r="U1142">
        <f t="shared" si="369"/>
        <v>0</v>
      </c>
      <c r="V1142">
        <f t="shared" si="369"/>
        <v>0</v>
      </c>
    </row>
    <row r="1143" spans="2:22">
      <c r="B1143" s="407" t="s">
        <v>631</v>
      </c>
      <c r="E1143" s="19">
        <f t="shared" si="368"/>
        <v>24416</v>
      </c>
      <c r="F1143" s="19">
        <f>-SUM(E1158:F1158)/G1143*E1143*120%</f>
        <v>9125.814219633221</v>
      </c>
      <c r="G1143">
        <f>E1143*(1-E1161)</f>
        <v>17823.68</v>
      </c>
      <c r="H1143">
        <f>E1143-F1143</f>
        <v>15290.185780366779</v>
      </c>
      <c r="J1143">
        <f t="shared" si="369"/>
        <v>18.160595339648765</v>
      </c>
      <c r="K1143">
        <f t="shared" si="369"/>
        <v>18.70541319983823</v>
      </c>
      <c r="L1143">
        <f t="shared" si="369"/>
        <v>19.266575595833373</v>
      </c>
      <c r="M1143">
        <f t="shared" si="369"/>
        <v>33.44226109354053</v>
      </c>
      <c r="N1143">
        <f t="shared" si="369"/>
        <v>37.183273192236719</v>
      </c>
      <c r="O1143">
        <f t="shared" si="369"/>
        <v>38.652690743646872</v>
      </c>
      <c r="P1143">
        <f t="shared" si="369"/>
        <v>40.222560999346243</v>
      </c>
      <c r="Q1143">
        <f t="shared" si="369"/>
        <v>41.904875848342257</v>
      </c>
      <c r="R1143">
        <f t="shared" si="369"/>
        <v>43.713416947988755</v>
      </c>
      <c r="S1143">
        <f t="shared" si="369"/>
        <v>45.664037180822305</v>
      </c>
      <c r="T1143">
        <f t="shared" si="369"/>
        <v>47.774986831969841</v>
      </c>
      <c r="U1143">
        <f t="shared" si="369"/>
        <v>43.960891792947152</v>
      </c>
      <c r="V1143">
        <f t="shared" si="369"/>
        <v>45.279718546735566</v>
      </c>
    </row>
    <row r="1144" spans="2:22">
      <c r="B1144" s="407" t="s">
        <v>632</v>
      </c>
      <c r="E1144" s="19">
        <f t="shared" si="368"/>
        <v>0</v>
      </c>
      <c r="F1144" s="19"/>
      <c r="G1144">
        <f>E1144*(1-E1161)</f>
        <v>0</v>
      </c>
      <c r="J1144">
        <f t="shared" si="369"/>
        <v>0</v>
      </c>
      <c r="K1144">
        <f t="shared" si="369"/>
        <v>0</v>
      </c>
      <c r="L1144">
        <f t="shared" si="369"/>
        <v>0</v>
      </c>
      <c r="M1144">
        <f t="shared" si="369"/>
        <v>0</v>
      </c>
      <c r="N1144">
        <f t="shared" si="369"/>
        <v>0</v>
      </c>
      <c r="O1144">
        <f t="shared" si="369"/>
        <v>0</v>
      </c>
      <c r="P1144">
        <f t="shared" si="369"/>
        <v>0</v>
      </c>
      <c r="Q1144">
        <f t="shared" si="369"/>
        <v>0</v>
      </c>
      <c r="R1144">
        <f t="shared" si="369"/>
        <v>0</v>
      </c>
      <c r="S1144">
        <f t="shared" si="369"/>
        <v>0</v>
      </c>
      <c r="T1144">
        <f t="shared" si="369"/>
        <v>0</v>
      </c>
      <c r="U1144">
        <f t="shared" si="369"/>
        <v>0</v>
      </c>
      <c r="V1144">
        <f t="shared" si="369"/>
        <v>0</v>
      </c>
    </row>
    <row r="1145" spans="2:22">
      <c r="B1145" s="407" t="s">
        <v>633</v>
      </c>
      <c r="E1145" s="19">
        <f t="shared" si="368"/>
        <v>0</v>
      </c>
      <c r="F1145" s="19"/>
      <c r="G1145"/>
      <c r="J1145">
        <f t="shared" si="369"/>
        <v>0</v>
      </c>
      <c r="K1145">
        <f t="shared" si="369"/>
        <v>0</v>
      </c>
      <c r="L1145">
        <f t="shared" si="369"/>
        <v>0</v>
      </c>
      <c r="M1145">
        <f t="shared" si="369"/>
        <v>0</v>
      </c>
      <c r="N1145">
        <f t="shared" si="369"/>
        <v>0</v>
      </c>
      <c r="O1145">
        <f t="shared" si="369"/>
        <v>0</v>
      </c>
      <c r="P1145">
        <f t="shared" si="369"/>
        <v>0</v>
      </c>
      <c r="Q1145">
        <f t="shared" si="369"/>
        <v>0</v>
      </c>
      <c r="R1145">
        <f t="shared" si="369"/>
        <v>0</v>
      </c>
      <c r="S1145">
        <f t="shared" si="369"/>
        <v>0</v>
      </c>
      <c r="T1145">
        <f t="shared" si="369"/>
        <v>0</v>
      </c>
      <c r="U1145">
        <f t="shared" si="369"/>
        <v>0</v>
      </c>
      <c r="V1145">
        <f t="shared" si="369"/>
        <v>0</v>
      </c>
    </row>
    <row r="1146" spans="2:22">
      <c r="B1146" s="407" t="s">
        <v>634</v>
      </c>
      <c r="E1146" s="19">
        <f t="shared" si="368"/>
        <v>0</v>
      </c>
      <c r="F1146" s="19">
        <f>E1146</f>
        <v>0</v>
      </c>
      <c r="G1146"/>
      <c r="J1146">
        <f t="shared" si="369"/>
        <v>0</v>
      </c>
      <c r="K1146">
        <f t="shared" si="369"/>
        <v>0</v>
      </c>
      <c r="L1146">
        <f t="shared" si="369"/>
        <v>0</v>
      </c>
      <c r="M1146">
        <f t="shared" si="369"/>
        <v>0</v>
      </c>
      <c r="N1146">
        <f t="shared" si="369"/>
        <v>0</v>
      </c>
      <c r="O1146">
        <f t="shared" si="369"/>
        <v>0</v>
      </c>
      <c r="P1146">
        <f t="shared" si="369"/>
        <v>0</v>
      </c>
      <c r="Q1146">
        <f t="shared" si="369"/>
        <v>0</v>
      </c>
      <c r="R1146">
        <f t="shared" si="369"/>
        <v>0</v>
      </c>
      <c r="S1146">
        <f t="shared" si="369"/>
        <v>0</v>
      </c>
      <c r="T1146">
        <f t="shared" si="369"/>
        <v>0</v>
      </c>
      <c r="U1146">
        <f t="shared" si="369"/>
        <v>0</v>
      </c>
      <c r="V1146">
        <f t="shared" si="369"/>
        <v>0</v>
      </c>
    </row>
    <row r="1147" spans="2:22">
      <c r="B1147" s="407" t="s">
        <v>647</v>
      </c>
      <c r="E1147" s="19">
        <f t="shared" si="368"/>
        <v>34120</v>
      </c>
      <c r="F1147" s="19">
        <f>E1148-SUM(F1141:F1146)</f>
        <v>49410.185780366781</v>
      </c>
      <c r="G1147"/>
      <c r="J1147">
        <f t="shared" si="369"/>
        <v>98.327488158111251</v>
      </c>
      <c r="K1147">
        <f t="shared" si="369"/>
        <v>101.27731280285458</v>
      </c>
      <c r="L1147">
        <f t="shared" si="369"/>
        <v>104.31563218694021</v>
      </c>
      <c r="M1147">
        <f t="shared" si="369"/>
        <v>181.06749642047626</v>
      </c>
      <c r="N1147">
        <f t="shared" si="369"/>
        <v>201.32257704720058</v>
      </c>
      <c r="O1147">
        <f t="shared" si="369"/>
        <v>209.27849116694097</v>
      </c>
      <c r="P1147">
        <f t="shared" si="369"/>
        <v>217.77828955405909</v>
      </c>
      <c r="Q1147">
        <f t="shared" si="369"/>
        <v>226.8869002740901</v>
      </c>
      <c r="R1147">
        <f t="shared" si="369"/>
        <v>236.67894179217325</v>
      </c>
      <c r="S1147">
        <f t="shared" si="369"/>
        <v>247.24024687374018</v>
      </c>
      <c r="T1147">
        <f t="shared" si="369"/>
        <v>258.66962861721299</v>
      </c>
      <c r="U1147">
        <f t="shared" si="369"/>
        <v>238.01885270544335</v>
      </c>
      <c r="V1147">
        <f t="shared" si="369"/>
        <v>245.15941828660664</v>
      </c>
    </row>
    <row r="1148" spans="2:22">
      <c r="C1148" s="407"/>
      <c r="E1148">
        <f>SUM(E1141:E1147)</f>
        <v>69000</v>
      </c>
      <c r="F1148">
        <f>SUM(F1141:F1147)</f>
        <v>69000</v>
      </c>
      <c r="G1148">
        <f>F1148-E1148</f>
        <v>0</v>
      </c>
      <c r="J1148" s="28">
        <f>SUM(J1141:J1147)</f>
        <v>137.31170154</v>
      </c>
      <c r="K1148" s="28">
        <f t="shared" ref="K1148:V1148" si="370">SUM(K1141:K1147)</f>
        <v>141.4310525862</v>
      </c>
      <c r="L1148" s="28">
        <f t="shared" si="370"/>
        <v>145.67398416378597</v>
      </c>
      <c r="M1148" s="28">
        <f t="shared" si="370"/>
        <v>252.85590522869958</v>
      </c>
      <c r="N1148" s="28">
        <f t="shared" si="370"/>
        <v>281.14158238556058</v>
      </c>
      <c r="O1148" s="28">
        <f t="shared" si="370"/>
        <v>292.25180319513737</v>
      </c>
      <c r="P1148" s="28">
        <f t="shared" si="370"/>
        <v>304.12154380526459</v>
      </c>
      <c r="Q1148" s="28">
        <f t="shared" si="370"/>
        <v>316.84147451906233</v>
      </c>
      <c r="R1148" s="28">
        <f t="shared" si="370"/>
        <v>330.51579802294623</v>
      </c>
      <c r="S1148" s="28">
        <f t="shared" si="370"/>
        <v>345.26437747309024</v>
      </c>
      <c r="T1148" s="28">
        <f t="shared" si="370"/>
        <v>361.22520271275141</v>
      </c>
      <c r="U1148" s="28">
        <f t="shared" si="370"/>
        <v>332.38694769695473</v>
      </c>
      <c r="V1148" s="28">
        <f t="shared" si="370"/>
        <v>342.35855612786338</v>
      </c>
    </row>
    <row r="1149" spans="2:22">
      <c r="B1149" t="s">
        <v>648</v>
      </c>
      <c r="E1149" s="290">
        <f>SUM(E1148,E1150)</f>
        <v>43537.600000000006</v>
      </c>
      <c r="F1149" s="290">
        <f>SUM(F1148,F1150)</f>
        <v>59158.494028101435</v>
      </c>
      <c r="G1149"/>
    </row>
    <row r="1150" spans="2:22">
      <c r="B1150" t="s">
        <v>642</v>
      </c>
      <c r="E1150">
        <f>-SUM(E1141:E1146)*(1-E1161)</f>
        <v>-25462.399999999998</v>
      </c>
      <c r="F1150">
        <f>SUM(F1151:F1154)</f>
        <v>-9841.5059718985649</v>
      </c>
      <c r="G1150">
        <f>E1150-F1150</f>
        <v>-15620.894028101433</v>
      </c>
      <c r="J1150">
        <f>SUM(J1151:J1155)</f>
        <v>-117.91232773372667</v>
      </c>
      <c r="K1150">
        <f t="shared" ref="K1150:V1150" si="371">SUM(K1151:K1155)</f>
        <v>-121.44969756573846</v>
      </c>
      <c r="L1150">
        <f t="shared" si="371"/>
        <v>-125.0931884927106</v>
      </c>
      <c r="M1150">
        <f t="shared" si="371"/>
        <v>-217.13246600508589</v>
      </c>
      <c r="N1150">
        <f t="shared" si="371"/>
        <v>-241.42194751091807</v>
      </c>
      <c r="O1150">
        <f t="shared" si="371"/>
        <v>-250.96251821684052</v>
      </c>
      <c r="P1150">
        <f t="shared" si="371"/>
        <v>-261.15530389525509</v>
      </c>
      <c r="Q1150">
        <f t="shared" si="371"/>
        <v>-272.07816496430019</v>
      </c>
      <c r="R1150">
        <f t="shared" si="371"/>
        <v>-283.82058237260287</v>
      </c>
      <c r="S1150">
        <f t="shared" si="371"/>
        <v>-296.48548503004827</v>
      </c>
      <c r="T1150">
        <f t="shared" si="371"/>
        <v>-310.19136759834072</v>
      </c>
      <c r="U1150">
        <f t="shared" si="371"/>
        <v>-285.42737633936679</v>
      </c>
      <c r="V1150">
        <f t="shared" si="371"/>
        <v>-293.99019762954777</v>
      </c>
    </row>
    <row r="1151" spans="2:22">
      <c r="B1151" s="279" t="s">
        <v>636</v>
      </c>
      <c r="C1151" s="280"/>
      <c r="D1151" s="285">
        <f>E1151/E$1057</f>
        <v>4.1607538858938191E-2</v>
      </c>
      <c r="E1151" s="281">
        <f>F1125</f>
        <v>-2377</v>
      </c>
      <c r="F1151" s="281">
        <f>E1151</f>
        <v>-2377</v>
      </c>
      <c r="G1151" s="21"/>
      <c r="J1151">
        <f>$F1151*J$1138/Billion</f>
        <v>-4.7302886168200002</v>
      </c>
      <c r="K1151">
        <f t="shared" ref="K1151:V1155" si="372">$F1151*K$1138/Billion</f>
        <v>-4.8721972753246003</v>
      </c>
      <c r="L1151">
        <f t="shared" si="372"/>
        <v>-5.0183631935843369</v>
      </c>
      <c r="M1151">
        <f t="shared" si="372"/>
        <v>-8.7107027062118689</v>
      </c>
      <c r="N1151">
        <f t="shared" si="372"/>
        <v>-9.6851237873982239</v>
      </c>
      <c r="O1151">
        <f t="shared" si="372"/>
        <v>-10.067862843403502</v>
      </c>
      <c r="P1151">
        <f t="shared" si="372"/>
        <v>-10.47676680616107</v>
      </c>
      <c r="Q1151">
        <f t="shared" si="372"/>
        <v>-10.914959201910305</v>
      </c>
      <c r="R1151">
        <f t="shared" si="372"/>
        <v>-11.38602973768903</v>
      </c>
      <c r="S1151">
        <f t="shared" si="372"/>
        <v>-11.894107612370078</v>
      </c>
      <c r="T1151">
        <f t="shared" si="372"/>
        <v>-12.443946476061015</v>
      </c>
      <c r="U1151">
        <f t="shared" si="372"/>
        <v>-11.450489488053064</v>
      </c>
      <c r="V1151">
        <f t="shared" si="372"/>
        <v>-11.794004172694656</v>
      </c>
    </row>
    <row r="1152" spans="2:22">
      <c r="B1152" s="282" t="s">
        <v>637</v>
      </c>
      <c r="D1152" s="286">
        <f>E1152/E$1057</f>
        <v>5.5559805191997699E-2</v>
      </c>
      <c r="E1152" s="283">
        <f>F1126</f>
        <v>-3174.08</v>
      </c>
      <c r="F1152" s="281">
        <f>E1152</f>
        <v>-3174.08</v>
      </c>
      <c r="G1152"/>
      <c r="J1152">
        <f>$F1152*J$1138/Billion</f>
        <v>-6.3164974728128005</v>
      </c>
      <c r="K1152">
        <f t="shared" si="372"/>
        <v>-6.5059923969971845</v>
      </c>
      <c r="L1152">
        <f t="shared" si="372"/>
        <v>-6.7011721689070987</v>
      </c>
      <c r="M1152">
        <f t="shared" si="372"/>
        <v>-11.631664806787111</v>
      </c>
      <c r="N1152">
        <f t="shared" si="372"/>
        <v>-12.932838750990726</v>
      </c>
      <c r="O1152">
        <f t="shared" si="372"/>
        <v>-13.443921789646691</v>
      </c>
      <c r="P1152">
        <f t="shared" si="372"/>
        <v>-13.989943619730639</v>
      </c>
      <c r="Q1152">
        <f t="shared" si="372"/>
        <v>-14.575075180311091</v>
      </c>
      <c r="R1152">
        <f t="shared" si="372"/>
        <v>-15.20410991577787</v>
      </c>
      <c r="S1152">
        <f t="shared" si="372"/>
        <v>-15.882561670286757</v>
      </c>
      <c r="T1152">
        <f t="shared" si="372"/>
        <v>-16.616778136615796</v>
      </c>
      <c r="U1152">
        <f t="shared" si="372"/>
        <v>-15.290184970231161</v>
      </c>
      <c r="V1152">
        <f t="shared" si="372"/>
        <v>-15.748890519338097</v>
      </c>
    </row>
    <row r="1153" spans="2:22">
      <c r="B1153" s="282" t="s">
        <v>638</v>
      </c>
      <c r="D1153" s="288">
        <f>E1153/E1148</f>
        <v>-0.17785714516506956</v>
      </c>
      <c r="E1153" s="283">
        <f>F1127</f>
        <v>-12272.1430163898</v>
      </c>
      <c r="F1153" s="19">
        <v>0</v>
      </c>
      <c r="G1153"/>
      <c r="J1153">
        <f>$F1153*J$1138/Billion</f>
        <v>0</v>
      </c>
      <c r="K1153">
        <f t="shared" si="372"/>
        <v>0</v>
      </c>
      <c r="L1153">
        <f t="shared" si="372"/>
        <v>0</v>
      </c>
      <c r="M1153">
        <f t="shared" si="372"/>
        <v>0</v>
      </c>
      <c r="N1153">
        <f t="shared" si="372"/>
        <v>0</v>
      </c>
      <c r="O1153">
        <f t="shared" si="372"/>
        <v>0</v>
      </c>
      <c r="P1153">
        <f t="shared" si="372"/>
        <v>0</v>
      </c>
      <c r="Q1153">
        <f t="shared" si="372"/>
        <v>0</v>
      </c>
      <c r="R1153">
        <f t="shared" si="372"/>
        <v>0</v>
      </c>
      <c r="S1153">
        <f t="shared" si="372"/>
        <v>0</v>
      </c>
      <c r="T1153">
        <f t="shared" si="372"/>
        <v>0</v>
      </c>
      <c r="U1153">
        <f t="shared" si="372"/>
        <v>0</v>
      </c>
      <c r="V1153">
        <f t="shared" si="372"/>
        <v>0</v>
      </c>
    </row>
    <row r="1154" spans="2:22">
      <c r="B1154" s="284" t="s">
        <v>639</v>
      </c>
      <c r="C1154" s="118"/>
      <c r="D1154" s="287">
        <f>E1154/E$1057</f>
        <v>0.13371785998984753</v>
      </c>
      <c r="E1154" s="212">
        <f>F1128</f>
        <v>-7639.1769836101994</v>
      </c>
      <c r="F1154" s="212">
        <f>Calculation_FSL!F1317</f>
        <v>-4290.425971898565</v>
      </c>
      <c r="G1154"/>
      <c r="J1154">
        <f>$F1154*J$1138/Billion</f>
        <v>-8.538053485982612</v>
      </c>
      <c r="K1154">
        <f t="shared" si="372"/>
        <v>-8.7941950905620896</v>
      </c>
      <c r="L1154">
        <f t="shared" si="372"/>
        <v>-9.0580209432789509</v>
      </c>
      <c r="M1154">
        <f t="shared" si="372"/>
        <v>-15.722602071610648</v>
      </c>
      <c r="N1154">
        <f t="shared" si="372"/>
        <v>-17.48140792532854</v>
      </c>
      <c r="O1154">
        <f t="shared" si="372"/>
        <v>-18.172242416849354</v>
      </c>
      <c r="P1154">
        <f t="shared" si="372"/>
        <v>-18.910303915304265</v>
      </c>
      <c r="Q1154">
        <f t="shared" si="372"/>
        <v>-19.701230307988727</v>
      </c>
      <c r="R1154">
        <f t="shared" si="372"/>
        <v>-20.551500926962735</v>
      </c>
      <c r="S1154">
        <f t="shared" si="372"/>
        <v>-21.46856887365125</v>
      </c>
      <c r="T1154">
        <f t="shared" si="372"/>
        <v>-22.461014368450904</v>
      </c>
      <c r="U1154">
        <f t="shared" si="372"/>
        <v>-20.667849175639198</v>
      </c>
      <c r="V1154">
        <f t="shared" si="372"/>
        <v>-21.287884650908371</v>
      </c>
    </row>
    <row r="1155" spans="2:22">
      <c r="B1155" s="284" t="s">
        <v>401</v>
      </c>
      <c r="C1155" s="118"/>
      <c r="D1155" s="287"/>
      <c r="E1155" s="212">
        <f>F1129</f>
        <v>-34120</v>
      </c>
      <c r="F1155" s="212">
        <f>-F1147</f>
        <v>-49410.185780366781</v>
      </c>
      <c r="G1155"/>
      <c r="J1155">
        <f>$F1155*J$1138/Billion</f>
        <v>-98.327488158111251</v>
      </c>
      <c r="K1155">
        <f t="shared" si="372"/>
        <v>-101.27731280285458</v>
      </c>
      <c r="L1155">
        <f t="shared" si="372"/>
        <v>-104.31563218694021</v>
      </c>
      <c r="M1155">
        <f t="shared" si="372"/>
        <v>-181.06749642047626</v>
      </c>
      <c r="N1155">
        <f t="shared" si="372"/>
        <v>-201.32257704720058</v>
      </c>
      <c r="O1155">
        <f t="shared" si="372"/>
        <v>-209.27849116694097</v>
      </c>
      <c r="P1155">
        <f t="shared" si="372"/>
        <v>-217.77828955405909</v>
      </c>
      <c r="Q1155">
        <f t="shared" si="372"/>
        <v>-226.8869002740901</v>
      </c>
      <c r="R1155">
        <f t="shared" si="372"/>
        <v>-236.67894179217325</v>
      </c>
      <c r="S1155">
        <f t="shared" si="372"/>
        <v>-247.24024687374018</v>
      </c>
      <c r="T1155">
        <f t="shared" si="372"/>
        <v>-258.66962861721299</v>
      </c>
      <c r="U1155">
        <f t="shared" si="372"/>
        <v>-238.01885270544335</v>
      </c>
      <c r="V1155">
        <f t="shared" si="372"/>
        <v>-245.15941828660664</v>
      </c>
    </row>
    <row r="1156" spans="2:22">
      <c r="D1156" s="288">
        <f>E1156/E$1057</f>
        <v>1.9379399998528627E-6</v>
      </c>
      <c r="E1156" s="21">
        <f>E1154/E1148</f>
        <v>-0.11071270990739419</v>
      </c>
      <c r="G1156"/>
    </row>
    <row r="1157" spans="2:22">
      <c r="E1157" s="407" t="s">
        <v>636</v>
      </c>
      <c r="F1157" s="407" t="s">
        <v>649</v>
      </c>
      <c r="G1157"/>
    </row>
    <row r="1158" spans="2:22">
      <c r="B1158" s="407" t="s">
        <v>658</v>
      </c>
      <c r="E1158">
        <v>-2377.45698361021</v>
      </c>
      <c r="F1158">
        <f>F1152</f>
        <v>-3174.08</v>
      </c>
      <c r="G1158"/>
    </row>
    <row r="1159" spans="2:22">
      <c r="G1159"/>
    </row>
    <row r="1160" spans="2:22">
      <c r="G1160"/>
    </row>
    <row r="1161" spans="2:22">
      <c r="B1161" t="s">
        <v>434</v>
      </c>
      <c r="E1161" s="39">
        <f>E1133</f>
        <v>0.27</v>
      </c>
      <c r="G1161"/>
      <c r="J1161">
        <f>SUM(J1148,J1150)</f>
        <v>19.399373806273331</v>
      </c>
      <c r="K1161">
        <f t="shared" ref="K1161:V1161" si="373">SUM(K1148,K1150)</f>
        <v>19.981355020461535</v>
      </c>
      <c r="L1161">
        <f t="shared" si="373"/>
        <v>20.580795671075379</v>
      </c>
      <c r="M1161">
        <f t="shared" si="373"/>
        <v>35.723439223613696</v>
      </c>
      <c r="N1161">
        <f t="shared" si="373"/>
        <v>39.719634874642509</v>
      </c>
      <c r="O1161">
        <f t="shared" si="373"/>
        <v>41.289284978296848</v>
      </c>
      <c r="P1161">
        <f t="shared" si="373"/>
        <v>42.966239910009506</v>
      </c>
      <c r="Q1161">
        <f t="shared" si="373"/>
        <v>44.763309554762145</v>
      </c>
      <c r="R1161">
        <f t="shared" si="373"/>
        <v>46.695215650343357</v>
      </c>
      <c r="S1161">
        <f t="shared" si="373"/>
        <v>48.778892443041968</v>
      </c>
      <c r="T1161">
        <f t="shared" si="373"/>
        <v>51.033835114410692</v>
      </c>
      <c r="U1161">
        <f t="shared" si="373"/>
        <v>46.959571357587947</v>
      </c>
      <c r="V1161">
        <f t="shared" si="373"/>
        <v>48.368358498315615</v>
      </c>
    </row>
    <row r="1162" spans="2:22">
      <c r="G1162"/>
    </row>
    <row r="1163" spans="2:22">
      <c r="G1163"/>
      <c r="I1163" s="21"/>
      <c r="K1163" s="21"/>
      <c r="L1163" s="21"/>
      <c r="M1163" s="21"/>
      <c r="N1163" s="21"/>
    </row>
    <row r="1164" spans="2:22" ht="15.75">
      <c r="B1164" s="15" t="s">
        <v>456</v>
      </c>
      <c r="G1164"/>
      <c r="I1164" s="21"/>
      <c r="K1164" s="21"/>
      <c r="L1164" s="21"/>
      <c r="M1164" s="21"/>
      <c r="N1164" s="21"/>
    </row>
    <row r="1165" spans="2:22">
      <c r="B1165" t="s">
        <v>471</v>
      </c>
      <c r="G1165"/>
      <c r="I1165" s="21"/>
      <c r="J1165">
        <f>J1112</f>
        <v>1990024.6600000001</v>
      </c>
      <c r="K1165">
        <f t="shared" ref="K1165:V1165" si="374">K1112</f>
        <v>2049725.3998000002</v>
      </c>
      <c r="L1165">
        <f t="shared" si="374"/>
        <v>2111217.1617939998</v>
      </c>
      <c r="M1165">
        <f t="shared" si="374"/>
        <v>2174553.67664782</v>
      </c>
      <c r="N1165">
        <f t="shared" si="374"/>
        <v>2239790.286947255</v>
      </c>
      <c r="O1165">
        <f t="shared" si="374"/>
        <v>2306983.9955556723</v>
      </c>
      <c r="P1165">
        <f t="shared" si="374"/>
        <v>2376193.5154223428</v>
      </c>
      <c r="Q1165">
        <f t="shared" si="374"/>
        <v>2447479.3208850133</v>
      </c>
      <c r="R1165">
        <f t="shared" si="374"/>
        <v>2520903.7005115636</v>
      </c>
      <c r="S1165">
        <f t="shared" si="374"/>
        <v>2596530.8115269109</v>
      </c>
      <c r="T1165">
        <f t="shared" si="374"/>
        <v>2674426.735872718</v>
      </c>
      <c r="U1165">
        <f t="shared" si="374"/>
        <v>2754659.5379488994</v>
      </c>
      <c r="V1165">
        <f t="shared" si="374"/>
        <v>2837299.3240873665</v>
      </c>
    </row>
    <row r="1166" spans="2:22">
      <c r="B1166" t="s">
        <v>578</v>
      </c>
      <c r="G1166"/>
      <c r="I1166" s="21"/>
      <c r="J1166">
        <f>J1148</f>
        <v>137.31170154</v>
      </c>
      <c r="K1166">
        <f t="shared" ref="K1166:V1166" si="375">K1148</f>
        <v>141.4310525862</v>
      </c>
      <c r="L1166">
        <f t="shared" si="375"/>
        <v>145.67398416378597</v>
      </c>
      <c r="M1166">
        <f t="shared" si="375"/>
        <v>252.85590522869958</v>
      </c>
      <c r="N1166">
        <f t="shared" si="375"/>
        <v>281.14158238556058</v>
      </c>
      <c r="O1166">
        <f t="shared" si="375"/>
        <v>292.25180319513737</v>
      </c>
      <c r="P1166">
        <f t="shared" si="375"/>
        <v>304.12154380526459</v>
      </c>
      <c r="Q1166">
        <f t="shared" si="375"/>
        <v>316.84147451906233</v>
      </c>
      <c r="R1166">
        <f t="shared" si="375"/>
        <v>330.51579802294623</v>
      </c>
      <c r="S1166">
        <f t="shared" si="375"/>
        <v>345.26437747309024</v>
      </c>
      <c r="T1166">
        <f t="shared" si="375"/>
        <v>361.22520271275141</v>
      </c>
      <c r="U1166">
        <f t="shared" si="375"/>
        <v>332.38694769695473</v>
      </c>
      <c r="V1166">
        <f t="shared" si="375"/>
        <v>342.35855612786338</v>
      </c>
    </row>
    <row r="1167" spans="2:22">
      <c r="B1167" t="s">
        <v>434</v>
      </c>
      <c r="G1167"/>
      <c r="I1167" s="21"/>
      <c r="J1167">
        <f>J1161</f>
        <v>19.399373806273331</v>
      </c>
      <c r="K1167">
        <f t="shared" ref="K1167:V1167" si="376">K1161</f>
        <v>19.981355020461535</v>
      </c>
      <c r="L1167">
        <f t="shared" si="376"/>
        <v>20.580795671075379</v>
      </c>
      <c r="M1167">
        <f t="shared" si="376"/>
        <v>35.723439223613696</v>
      </c>
      <c r="N1167">
        <f t="shared" si="376"/>
        <v>39.719634874642509</v>
      </c>
      <c r="O1167">
        <f t="shared" si="376"/>
        <v>41.289284978296848</v>
      </c>
      <c r="P1167">
        <f t="shared" si="376"/>
        <v>42.966239910009506</v>
      </c>
      <c r="Q1167">
        <f t="shared" si="376"/>
        <v>44.763309554762145</v>
      </c>
      <c r="R1167">
        <f t="shared" si="376"/>
        <v>46.695215650343357</v>
      </c>
      <c r="S1167">
        <f t="shared" si="376"/>
        <v>48.778892443041968</v>
      </c>
      <c r="T1167">
        <f t="shared" si="376"/>
        <v>51.033835114410692</v>
      </c>
      <c r="U1167">
        <f t="shared" si="376"/>
        <v>46.959571357587947</v>
      </c>
      <c r="V1167">
        <f t="shared" si="376"/>
        <v>48.368358498315615</v>
      </c>
    </row>
    <row r="1168" spans="2:22">
      <c r="G1168"/>
      <c r="I1168" s="21"/>
      <c r="U1168" s="74"/>
      <c r="V1168" s="74"/>
    </row>
    <row r="1169" spans="2:22" ht="15.75">
      <c r="B1169" s="15" t="s">
        <v>654</v>
      </c>
      <c r="G1169"/>
      <c r="I1169" s="21"/>
    </row>
    <row r="1170" spans="2:22">
      <c r="B1170" t="s">
        <v>472</v>
      </c>
      <c r="G1170"/>
      <c r="J1170">
        <f>J1122</f>
        <v>137.31170154</v>
      </c>
      <c r="K1170">
        <f t="shared" ref="K1170:V1170" si="377">K1122</f>
        <v>141.43105258620002</v>
      </c>
      <c r="L1170">
        <f t="shared" si="377"/>
        <v>145.67398416378597</v>
      </c>
      <c r="M1170">
        <f t="shared" si="377"/>
        <v>150.04420368869958</v>
      </c>
      <c r="N1170">
        <f t="shared" si="377"/>
        <v>154.54552979936059</v>
      </c>
      <c r="O1170">
        <f t="shared" si="377"/>
        <v>159.1818956933414</v>
      </c>
      <c r="P1170">
        <f t="shared" si="377"/>
        <v>163.95735256414167</v>
      </c>
      <c r="Q1170">
        <f t="shared" si="377"/>
        <v>168.87607314106592</v>
      </c>
      <c r="R1170">
        <f t="shared" si="377"/>
        <v>173.94235533529786</v>
      </c>
      <c r="S1170">
        <f t="shared" si="377"/>
        <v>179.16062599535687</v>
      </c>
      <c r="T1170">
        <f t="shared" si="377"/>
        <v>184.53544477521757</v>
      </c>
      <c r="U1170">
        <f t="shared" si="377"/>
        <v>190.07150811847407</v>
      </c>
      <c r="V1170">
        <f t="shared" si="377"/>
        <v>195.77365336202828</v>
      </c>
    </row>
    <row r="1171" spans="2:22">
      <c r="B1171" t="s">
        <v>434</v>
      </c>
      <c r="G1171"/>
      <c r="J1171">
        <f>J1133</f>
        <v>18.741256238015993</v>
      </c>
      <c r="K1171">
        <f t="shared" ref="K1171:V1171" si="378">K1133</f>
        <v>19.303493925156488</v>
      </c>
      <c r="L1171">
        <f t="shared" si="378"/>
        <v>19.882598742911171</v>
      </c>
      <c r="M1171">
        <f t="shared" si="378"/>
        <v>20.479076705198509</v>
      </c>
      <c r="N1171">
        <f t="shared" si="378"/>
        <v>21.093449006354462</v>
      </c>
      <c r="O1171">
        <f t="shared" si="378"/>
        <v>21.726252476545113</v>
      </c>
      <c r="P1171">
        <f t="shared" si="378"/>
        <v>22.378040050841463</v>
      </c>
      <c r="Q1171">
        <f t="shared" si="378"/>
        <v>23.049381252366715</v>
      </c>
      <c r="R1171">
        <f t="shared" si="378"/>
        <v>23.740862689937671</v>
      </c>
      <c r="S1171">
        <f t="shared" si="378"/>
        <v>24.453088570635856</v>
      </c>
      <c r="T1171">
        <f t="shared" si="378"/>
        <v>25.186681227754946</v>
      </c>
      <c r="U1171">
        <f t="shared" si="378"/>
        <v>25.942281664587568</v>
      </c>
      <c r="V1171">
        <f t="shared" si="378"/>
        <v>26.720550114525196</v>
      </c>
    </row>
    <row r="1172" spans="2:22">
      <c r="G1172"/>
    </row>
    <row r="1173" spans="2:22">
      <c r="B1173" s="407" t="s">
        <v>659</v>
      </c>
      <c r="G1173"/>
      <c r="J1173" s="74">
        <f t="shared" ref="J1173:T1173" si="379">J1167/J1171-1</f>
        <v>3.5115979414569232E-2</v>
      </c>
      <c r="K1173" s="74">
        <f t="shared" si="379"/>
        <v>3.5115979414568788E-2</v>
      </c>
      <c r="L1173" s="74">
        <f t="shared" si="379"/>
        <v>3.5115979414569232E-2</v>
      </c>
      <c r="M1173" s="74">
        <f t="shared" si="379"/>
        <v>0.74438719761938699</v>
      </c>
      <c r="N1173" s="74">
        <f t="shared" si="379"/>
        <v>0.88303178217449663</v>
      </c>
      <c r="O1173" s="74">
        <f t="shared" si="379"/>
        <v>0.90043289899495038</v>
      </c>
      <c r="P1173" s="74">
        <f t="shared" si="379"/>
        <v>0.92001800928021327</v>
      </c>
      <c r="Q1173" s="74">
        <f t="shared" si="379"/>
        <v>0.94206122345109988</v>
      </c>
      <c r="R1173" s="74">
        <f t="shared" si="379"/>
        <v>0.96687105520115146</v>
      </c>
      <c r="S1173" s="74">
        <f t="shared" si="379"/>
        <v>0.99479473941044039</v>
      </c>
      <c r="T1173" s="74">
        <f t="shared" si="379"/>
        <v>1.0262230919956608</v>
      </c>
    </row>
    <row r="1174" spans="2:22">
      <c r="G1174"/>
    </row>
    <row r="1175" spans="2:22" ht="24" thickBot="1">
      <c r="B1175" s="14" t="s">
        <v>660</v>
      </c>
      <c r="C1175" s="14"/>
      <c r="D1175" s="14"/>
      <c r="E1175" s="14"/>
      <c r="F1175" s="14"/>
      <c r="G1175" s="14"/>
      <c r="H1175" s="14"/>
      <c r="I1175" s="14"/>
      <c r="J1175" s="14"/>
      <c r="K1175" s="14"/>
      <c r="L1175" s="14"/>
      <c r="M1175" s="14"/>
      <c r="N1175" s="14"/>
      <c r="O1175" s="14"/>
      <c r="P1175" s="14"/>
      <c r="Q1175" s="14"/>
      <c r="R1175" s="14"/>
      <c r="S1175" s="14"/>
      <c r="T1175" s="14"/>
      <c r="U1175" s="14"/>
      <c r="V1175" s="14"/>
    </row>
    <row r="1176" spans="2:22">
      <c r="G1176"/>
    </row>
    <row r="1177" spans="2:22">
      <c r="B1177" s="407" t="s">
        <v>9</v>
      </c>
      <c r="G1177"/>
    </row>
    <row r="1178" spans="2:22">
      <c r="B1178" s="407" t="s">
        <v>407</v>
      </c>
      <c r="G1178"/>
      <c r="J1178">
        <f>Calculation_FSL!J586</f>
        <v>750000</v>
      </c>
      <c r="K1178">
        <f>Calculation_FSL!K586</f>
        <v>772500</v>
      </c>
      <c r="L1178">
        <f>Calculation_FSL!L586</f>
        <v>795675</v>
      </c>
      <c r="M1178">
        <f>Calculation_FSL!M586</f>
        <v>819545.25</v>
      </c>
      <c r="N1178">
        <f>Calculation_FSL!N586</f>
        <v>844131.60750000016</v>
      </c>
      <c r="O1178">
        <f>Calculation_FSL!O586</f>
        <v>869455.5557250001</v>
      </c>
      <c r="P1178">
        <f>Calculation_FSL!P586</f>
        <v>895539.22239675012</v>
      </c>
      <c r="Q1178">
        <f>Calculation_FSL!Q586</f>
        <v>922405.39906865265</v>
      </c>
      <c r="R1178">
        <f>Calculation_FSL!R586</f>
        <v>950077.56104071229</v>
      </c>
      <c r="S1178">
        <f>Calculation_FSL!S586</f>
        <v>978579.88787193364</v>
      </c>
      <c r="T1178">
        <f>Calculation_FSL!T586</f>
        <v>1007937.2845080916</v>
      </c>
      <c r="U1178">
        <f>Calculation_FSL!U586</f>
        <v>1038175.4030433345</v>
      </c>
      <c r="V1178">
        <f>Calculation_FSL!V586</f>
        <v>1069320.6651346346</v>
      </c>
    </row>
    <row r="1179" spans="2:22">
      <c r="B1179" s="407" t="s">
        <v>452</v>
      </c>
      <c r="F1179" s="19">
        <f>Sheet3!G4</f>
        <v>55000</v>
      </c>
      <c r="G1179"/>
      <c r="J1179">
        <f>$F$1179</f>
        <v>55000</v>
      </c>
      <c r="K1179">
        <f t="shared" ref="K1179:V1179" si="380">$F$1179</f>
        <v>55000</v>
      </c>
      <c r="L1179">
        <f t="shared" si="380"/>
        <v>55000</v>
      </c>
      <c r="M1179">
        <f t="shared" si="380"/>
        <v>55000</v>
      </c>
      <c r="N1179">
        <f t="shared" si="380"/>
        <v>55000</v>
      </c>
      <c r="O1179">
        <f t="shared" si="380"/>
        <v>55000</v>
      </c>
      <c r="P1179">
        <f t="shared" si="380"/>
        <v>55000</v>
      </c>
      <c r="Q1179">
        <f t="shared" si="380"/>
        <v>55000</v>
      </c>
      <c r="R1179">
        <f t="shared" si="380"/>
        <v>55000</v>
      </c>
      <c r="S1179">
        <f t="shared" si="380"/>
        <v>55000</v>
      </c>
      <c r="T1179">
        <f t="shared" si="380"/>
        <v>55000</v>
      </c>
      <c r="U1179">
        <f t="shared" si="380"/>
        <v>55000</v>
      </c>
      <c r="V1179">
        <f t="shared" si="380"/>
        <v>55000</v>
      </c>
    </row>
    <row r="1180" spans="2:22">
      <c r="B1180" s="28" t="s">
        <v>9</v>
      </c>
      <c r="C1180" s="28"/>
      <c r="D1180" s="28"/>
      <c r="E1180" s="28"/>
      <c r="F1180" s="28"/>
      <c r="G1180" s="28"/>
      <c r="H1180" s="28"/>
      <c r="I1180" s="28"/>
      <c r="J1180" s="28">
        <f>SUM(J1178)*J1179/Billion</f>
        <v>41.25</v>
      </c>
      <c r="K1180" s="28">
        <f t="shared" ref="K1180:V1180" si="381">SUM(K1178)*K1179/Billion</f>
        <v>42.487499999999997</v>
      </c>
      <c r="L1180" s="28">
        <f t="shared" si="381"/>
        <v>43.762124999999997</v>
      </c>
      <c r="M1180" s="28">
        <f t="shared" si="381"/>
        <v>45.074988750000003</v>
      </c>
      <c r="N1180" s="28">
        <f t="shared" si="381"/>
        <v>46.42723841250001</v>
      </c>
      <c r="O1180" s="28">
        <f t="shared" si="381"/>
        <v>47.820055564875005</v>
      </c>
      <c r="P1180" s="28">
        <f t="shared" si="381"/>
        <v>49.254657231821255</v>
      </c>
      <c r="Q1180" s="28">
        <f t="shared" si="381"/>
        <v>50.732296948775897</v>
      </c>
      <c r="R1180" s="28">
        <f t="shared" si="381"/>
        <v>52.254265857239176</v>
      </c>
      <c r="S1180" s="28">
        <f t="shared" si="381"/>
        <v>53.821893832956356</v>
      </c>
      <c r="T1180" s="28">
        <f t="shared" si="381"/>
        <v>55.43655064794504</v>
      </c>
      <c r="U1180" s="28">
        <f t="shared" si="381"/>
        <v>57.099647167383402</v>
      </c>
      <c r="V1180" s="28">
        <f t="shared" si="381"/>
        <v>58.812636582404899</v>
      </c>
    </row>
    <row r="1181" spans="2:22">
      <c r="B1181" s="407"/>
      <c r="G1181"/>
    </row>
    <row r="1182" spans="2:22">
      <c r="B1182" s="407" t="s">
        <v>642</v>
      </c>
      <c r="F1182" s="39">
        <f>1-37%</f>
        <v>0.63</v>
      </c>
      <c r="G1182"/>
      <c r="J1182">
        <f>-$F$1182*J1180</f>
        <v>-25.987500000000001</v>
      </c>
      <c r="K1182">
        <f t="shared" ref="K1182:V1182" si="382">-$F$1182*K1180</f>
        <v>-26.767125</v>
      </c>
      <c r="L1182">
        <f t="shared" si="382"/>
        <v>-27.570138749999998</v>
      </c>
      <c r="M1182">
        <f t="shared" si="382"/>
        <v>-28.397242912500001</v>
      </c>
      <c r="N1182">
        <f t="shared" si="382"/>
        <v>-29.249160199875007</v>
      </c>
      <c r="O1182">
        <f t="shared" si="382"/>
        <v>-30.126635005871254</v>
      </c>
      <c r="P1182">
        <f t="shared" si="382"/>
        <v>-31.03043405604739</v>
      </c>
      <c r="Q1182">
        <f t="shared" si="382"/>
        <v>-31.961347077728814</v>
      </c>
      <c r="R1182">
        <f t="shared" si="382"/>
        <v>-32.920187490060684</v>
      </c>
      <c r="S1182">
        <f t="shared" si="382"/>
        <v>-33.907793114762505</v>
      </c>
      <c r="T1182">
        <f t="shared" si="382"/>
        <v>-34.925026908205375</v>
      </c>
      <c r="U1182">
        <f t="shared" si="382"/>
        <v>-35.972777715451542</v>
      </c>
      <c r="V1182">
        <f t="shared" si="382"/>
        <v>-37.051961046915089</v>
      </c>
    </row>
    <row r="1183" spans="2:22">
      <c r="B1183" s="407"/>
      <c r="G1183"/>
    </row>
    <row r="1184" spans="2:22">
      <c r="B1184" s="28" t="s">
        <v>139</v>
      </c>
      <c r="C1184" s="28"/>
      <c r="D1184" s="28"/>
      <c r="E1184" s="28"/>
      <c r="F1184" s="28"/>
      <c r="G1184" s="28"/>
      <c r="H1184" s="28"/>
      <c r="I1184" s="28"/>
      <c r="J1184" s="28">
        <f>SUM(J1180,J1182)</f>
        <v>15.262499999999999</v>
      </c>
      <c r="K1184" s="28">
        <f t="shared" ref="K1184:V1184" si="383">SUM(K1180,K1182)</f>
        <v>15.720374999999997</v>
      </c>
      <c r="L1184" s="28">
        <f t="shared" si="383"/>
        <v>16.191986249999999</v>
      </c>
      <c r="M1184" s="28">
        <f t="shared" si="383"/>
        <v>16.677745837500002</v>
      </c>
      <c r="N1184" s="28">
        <f t="shared" si="383"/>
        <v>17.178078212625003</v>
      </c>
      <c r="O1184" s="28">
        <f t="shared" si="383"/>
        <v>17.693420559003751</v>
      </c>
      <c r="P1184" s="28">
        <f t="shared" si="383"/>
        <v>18.224223175773865</v>
      </c>
      <c r="Q1184" s="28">
        <f t="shared" si="383"/>
        <v>18.770949871047083</v>
      </c>
      <c r="R1184" s="28">
        <f t="shared" si="383"/>
        <v>19.334078367178492</v>
      </c>
      <c r="S1184" s="28">
        <f t="shared" si="383"/>
        <v>19.914100718193851</v>
      </c>
      <c r="T1184" s="28">
        <f t="shared" si="383"/>
        <v>20.511523739739665</v>
      </c>
      <c r="U1184" s="28">
        <f t="shared" si="383"/>
        <v>21.12686945193186</v>
      </c>
      <c r="V1184" s="28">
        <f t="shared" si="383"/>
        <v>21.76067553548981</v>
      </c>
    </row>
    <row r="1185" spans="2:22">
      <c r="B1185" s="407"/>
      <c r="G1185"/>
    </row>
    <row r="1186" spans="2:22">
      <c r="B1186" s="407" t="s">
        <v>636</v>
      </c>
      <c r="F1186" s="39">
        <v>0.1</v>
      </c>
      <c r="G1186"/>
      <c r="J1186">
        <f>-$F$1186*J1180</f>
        <v>-4.125</v>
      </c>
      <c r="K1186">
        <f t="shared" ref="K1186:V1186" si="384">-$F$1186*K1180</f>
        <v>-4.2487500000000002</v>
      </c>
      <c r="L1186">
        <f t="shared" si="384"/>
        <v>-4.3762125000000003</v>
      </c>
      <c r="M1186">
        <f t="shared" si="384"/>
        <v>-4.5074988750000005</v>
      </c>
      <c r="N1186">
        <f t="shared" si="384"/>
        <v>-4.6427238412500014</v>
      </c>
      <c r="O1186">
        <f t="shared" si="384"/>
        <v>-4.7820055564875004</v>
      </c>
      <c r="P1186">
        <f t="shared" si="384"/>
        <v>-4.9254657231821257</v>
      </c>
      <c r="Q1186">
        <f t="shared" si="384"/>
        <v>-5.0732296948775897</v>
      </c>
      <c r="R1186">
        <f t="shared" si="384"/>
        <v>-5.2254265857239179</v>
      </c>
      <c r="S1186">
        <f t="shared" si="384"/>
        <v>-5.3821893832956356</v>
      </c>
      <c r="T1186">
        <f t="shared" si="384"/>
        <v>-5.5436550647945042</v>
      </c>
      <c r="U1186">
        <f t="shared" si="384"/>
        <v>-5.7099647167383409</v>
      </c>
      <c r="V1186">
        <f t="shared" si="384"/>
        <v>-5.8812636582404902</v>
      </c>
    </row>
    <row r="1187" spans="2:22">
      <c r="B1187" s="28" t="s">
        <v>434</v>
      </c>
      <c r="C1187" s="28"/>
      <c r="D1187" s="28"/>
      <c r="E1187" s="28"/>
      <c r="F1187" s="28"/>
      <c r="G1187" s="28"/>
      <c r="H1187" s="28"/>
      <c r="I1187" s="28"/>
      <c r="J1187" s="28">
        <f>SUM(J1184,J1186)</f>
        <v>11.137499999999999</v>
      </c>
      <c r="K1187" s="28">
        <f t="shared" ref="K1187:V1187" si="385">SUM(K1184,K1186)</f>
        <v>11.471624999999996</v>
      </c>
      <c r="L1187" s="28">
        <f t="shared" si="385"/>
        <v>11.815773749999998</v>
      </c>
      <c r="M1187" s="28">
        <f t="shared" si="385"/>
        <v>12.170246962500002</v>
      </c>
      <c r="N1187" s="28">
        <f t="shared" si="385"/>
        <v>12.535354371375002</v>
      </c>
      <c r="O1187" s="28">
        <f t="shared" si="385"/>
        <v>12.91141500251625</v>
      </c>
      <c r="P1187" s="28">
        <f t="shared" si="385"/>
        <v>13.29875745259174</v>
      </c>
      <c r="Q1187" s="28">
        <f t="shared" si="385"/>
        <v>13.697720176169494</v>
      </c>
      <c r="R1187" s="28">
        <f t="shared" si="385"/>
        <v>14.108651781454574</v>
      </c>
      <c r="S1187" s="28">
        <f t="shared" si="385"/>
        <v>14.531911334898215</v>
      </c>
      <c r="T1187" s="28">
        <f t="shared" si="385"/>
        <v>14.967868674945162</v>
      </c>
      <c r="U1187" s="28">
        <f t="shared" si="385"/>
        <v>15.416904735193519</v>
      </c>
      <c r="V1187" s="28">
        <f t="shared" si="385"/>
        <v>15.87941187724932</v>
      </c>
    </row>
    <row r="1188" spans="2:22">
      <c r="B1188" s="407"/>
      <c r="G1188"/>
      <c r="J1188" s="21">
        <f>J1187/J1180</f>
        <v>0.26999999999999996</v>
      </c>
      <c r="K1188" s="21">
        <f t="shared" ref="K1188:T1188" si="386">K1187/K1180</f>
        <v>0.26999999999999991</v>
      </c>
      <c r="L1188" s="21">
        <f t="shared" si="386"/>
        <v>0.26999999999999996</v>
      </c>
      <c r="M1188" s="21">
        <f t="shared" si="386"/>
        <v>0.27</v>
      </c>
      <c r="N1188" s="21">
        <f t="shared" si="386"/>
        <v>0.26999999999999996</v>
      </c>
      <c r="O1188" s="21">
        <f t="shared" si="386"/>
        <v>0.26999999999999996</v>
      </c>
      <c r="P1188" s="21">
        <f t="shared" si="386"/>
        <v>0.27</v>
      </c>
      <c r="Q1188" s="21">
        <f t="shared" si="386"/>
        <v>0.27</v>
      </c>
      <c r="R1188" s="21">
        <f t="shared" si="386"/>
        <v>0.26999999999999991</v>
      </c>
      <c r="S1188" s="21">
        <f t="shared" si="386"/>
        <v>0.26999999999999996</v>
      </c>
      <c r="T1188" s="21">
        <f t="shared" si="386"/>
        <v>0.27</v>
      </c>
      <c r="U1188" s="21"/>
      <c r="V1188" s="21"/>
    </row>
    <row r="1189" spans="2:22">
      <c r="B1189" s="407"/>
      <c r="G1189"/>
      <c r="J1189" s="21"/>
      <c r="K1189" s="21"/>
      <c r="L1189" s="21"/>
      <c r="M1189" s="21"/>
      <c r="N1189" s="21"/>
      <c r="O1189" s="21"/>
      <c r="P1189" s="21"/>
      <c r="Q1189" s="21"/>
      <c r="R1189" s="21"/>
      <c r="S1189" s="21"/>
      <c r="T1189" s="21"/>
      <c r="U1189" s="21"/>
      <c r="V1189" s="21"/>
    </row>
    <row r="1190" spans="2:22">
      <c r="B1190" s="407"/>
      <c r="G1190"/>
      <c r="J1190" s="21"/>
      <c r="K1190" s="21"/>
      <c r="L1190" s="21"/>
      <c r="M1190" s="21"/>
      <c r="N1190" s="21"/>
      <c r="O1190" s="21"/>
      <c r="P1190" s="21"/>
      <c r="Q1190" s="21"/>
      <c r="R1190" s="21"/>
      <c r="S1190" s="21"/>
      <c r="T1190" s="21"/>
      <c r="U1190" s="21"/>
      <c r="V1190" s="21"/>
    </row>
    <row r="1191" spans="2:22" ht="24" thickBot="1">
      <c r="B1191" s="14" t="s">
        <v>661</v>
      </c>
      <c r="C1191" s="14"/>
      <c r="D1191" s="14"/>
      <c r="E1191" s="14"/>
      <c r="F1191" s="14"/>
      <c r="G1191" s="14"/>
      <c r="H1191" s="14"/>
      <c r="I1191" s="14"/>
      <c r="J1191" s="14"/>
      <c r="K1191" s="14"/>
      <c r="L1191" s="14"/>
      <c r="M1191" s="14"/>
      <c r="N1191" s="14"/>
      <c r="O1191" s="14"/>
      <c r="P1191" s="14"/>
      <c r="Q1191" s="14"/>
      <c r="R1191" s="14"/>
      <c r="S1191" s="14"/>
      <c r="T1191" s="14"/>
      <c r="U1191" s="14"/>
      <c r="V1191" s="14"/>
    </row>
    <row r="1192" spans="2:22">
      <c r="G1192"/>
    </row>
    <row r="1193" spans="2:22">
      <c r="B1193" s="407" t="s">
        <v>662</v>
      </c>
      <c r="G1193"/>
    </row>
    <row r="1194" spans="2:22">
      <c r="B1194" s="407" t="s">
        <v>9</v>
      </c>
      <c r="G1194"/>
    </row>
    <row r="1195" spans="2:22">
      <c r="B1195" s="407" t="s">
        <v>407</v>
      </c>
      <c r="G1195"/>
      <c r="J1195" s="43">
        <v>0</v>
      </c>
      <c r="K1195" s="43"/>
      <c r="L1195" s="276"/>
      <c r="M1195" s="43"/>
      <c r="N1195" s="43"/>
      <c r="O1195" s="43"/>
      <c r="P1195" s="43"/>
      <c r="Q1195" s="43"/>
      <c r="R1195" s="43"/>
      <c r="S1195" s="43"/>
      <c r="T1195" s="43"/>
      <c r="U1195" s="43"/>
      <c r="V1195" s="43"/>
    </row>
    <row r="1196" spans="2:22">
      <c r="B1196" s="407" t="s">
        <v>452</v>
      </c>
      <c r="G1196"/>
      <c r="L1196" s="462"/>
    </row>
    <row r="1197" spans="2:22">
      <c r="B1197" s="28" t="s">
        <v>9</v>
      </c>
      <c r="C1197" s="28"/>
      <c r="D1197" s="28"/>
      <c r="E1197" s="28"/>
      <c r="F1197" s="28"/>
      <c r="G1197" s="28"/>
      <c r="H1197" s="28"/>
      <c r="I1197" s="28"/>
      <c r="J1197" s="28">
        <f>J1195*J1196</f>
        <v>0</v>
      </c>
      <c r="K1197" s="28">
        <f t="shared" ref="K1197:V1197" si="387">K1195*K1196</f>
        <v>0</v>
      </c>
      <c r="L1197" s="459">
        <f t="shared" si="387"/>
        <v>0</v>
      </c>
      <c r="M1197" s="28">
        <f t="shared" si="387"/>
        <v>0</v>
      </c>
      <c r="N1197" s="28">
        <f t="shared" si="387"/>
        <v>0</v>
      </c>
      <c r="O1197" s="28">
        <f t="shared" si="387"/>
        <v>0</v>
      </c>
      <c r="P1197" s="28">
        <f t="shared" si="387"/>
        <v>0</v>
      </c>
      <c r="Q1197" s="28">
        <f t="shared" si="387"/>
        <v>0</v>
      </c>
      <c r="R1197" s="28">
        <f t="shared" si="387"/>
        <v>0</v>
      </c>
      <c r="S1197" s="28">
        <f t="shared" si="387"/>
        <v>0</v>
      </c>
      <c r="T1197" s="28">
        <f t="shared" si="387"/>
        <v>0</v>
      </c>
      <c r="U1197" s="28">
        <f t="shared" si="387"/>
        <v>0</v>
      </c>
      <c r="V1197" s="28">
        <f t="shared" si="387"/>
        <v>0</v>
      </c>
    </row>
    <row r="1198" spans="2:22">
      <c r="B1198" s="407"/>
      <c r="G1198"/>
    </row>
    <row r="1199" spans="2:22">
      <c r="B1199" s="407" t="s">
        <v>642</v>
      </c>
      <c r="F1199" s="39">
        <f>1-27%</f>
        <v>0.73</v>
      </c>
      <c r="G1199"/>
      <c r="J1199">
        <f>-J1197*$F$1199</f>
        <v>0</v>
      </c>
      <c r="K1199">
        <f t="shared" ref="K1199:V1199" si="388">-K1197*$F$1199</f>
        <v>0</v>
      </c>
      <c r="L1199">
        <f t="shared" si="388"/>
        <v>0</v>
      </c>
      <c r="M1199">
        <f t="shared" si="388"/>
        <v>0</v>
      </c>
      <c r="N1199">
        <f t="shared" si="388"/>
        <v>0</v>
      </c>
      <c r="O1199">
        <f t="shared" si="388"/>
        <v>0</v>
      </c>
      <c r="P1199">
        <f t="shared" si="388"/>
        <v>0</v>
      </c>
      <c r="Q1199">
        <f t="shared" si="388"/>
        <v>0</v>
      </c>
      <c r="R1199">
        <f t="shared" si="388"/>
        <v>0</v>
      </c>
      <c r="S1199">
        <f t="shared" si="388"/>
        <v>0</v>
      </c>
      <c r="T1199">
        <f t="shared" si="388"/>
        <v>0</v>
      </c>
      <c r="U1199">
        <f t="shared" si="388"/>
        <v>0</v>
      </c>
      <c r="V1199">
        <f t="shared" si="388"/>
        <v>0</v>
      </c>
    </row>
    <row r="1200" spans="2:22">
      <c r="B1200" s="407"/>
      <c r="G1200"/>
    </row>
    <row r="1201" spans="2:22">
      <c r="B1201" s="28" t="s">
        <v>434</v>
      </c>
      <c r="C1201" s="28"/>
      <c r="D1201" s="28"/>
      <c r="E1201" s="28"/>
      <c r="F1201" s="28"/>
      <c r="G1201" s="28"/>
      <c r="H1201" s="28"/>
      <c r="I1201" s="28"/>
      <c r="J1201" s="28">
        <f>SUM(J1197,J1199)</f>
        <v>0</v>
      </c>
      <c r="K1201" s="43">
        <f t="shared" ref="K1201:V1201" si="389">SUM(K1197,K1199)</f>
        <v>0</v>
      </c>
      <c r="L1201" s="28">
        <f t="shared" si="389"/>
        <v>0</v>
      </c>
      <c r="M1201" s="28">
        <f t="shared" si="389"/>
        <v>0</v>
      </c>
      <c r="N1201" s="28">
        <f t="shared" si="389"/>
        <v>0</v>
      </c>
      <c r="O1201" s="28">
        <f t="shared" si="389"/>
        <v>0</v>
      </c>
      <c r="P1201" s="28">
        <f t="shared" si="389"/>
        <v>0</v>
      </c>
      <c r="Q1201" s="28">
        <f t="shared" si="389"/>
        <v>0</v>
      </c>
      <c r="R1201" s="28">
        <f t="shared" si="389"/>
        <v>0</v>
      </c>
      <c r="S1201" s="28">
        <f t="shared" si="389"/>
        <v>0</v>
      </c>
      <c r="T1201" s="28">
        <f t="shared" si="389"/>
        <v>0</v>
      </c>
      <c r="U1201" s="28">
        <f t="shared" si="389"/>
        <v>0</v>
      </c>
      <c r="V1201" s="28">
        <f t="shared" si="389"/>
        <v>0</v>
      </c>
    </row>
    <row r="1202" spans="2:22">
      <c r="B1202" s="407"/>
      <c r="G1202"/>
    </row>
    <row r="1203" spans="2:22">
      <c r="G1203"/>
    </row>
    <row r="1204" spans="2:22">
      <c r="G1204"/>
    </row>
    <row r="1205" spans="2:22">
      <c r="G1205"/>
    </row>
    <row r="1206" spans="2:22">
      <c r="G1206"/>
    </row>
    <row r="1207" spans="2:22" ht="24" thickBot="1">
      <c r="B1207" s="14" t="s">
        <v>663</v>
      </c>
      <c r="C1207" s="14"/>
      <c r="D1207" s="14"/>
      <c r="E1207" s="14"/>
      <c r="F1207" s="14"/>
      <c r="G1207" s="14"/>
      <c r="H1207" s="14"/>
      <c r="I1207" s="14"/>
      <c r="J1207" s="14"/>
      <c r="K1207" s="14"/>
      <c r="L1207" s="14"/>
      <c r="M1207" s="14"/>
      <c r="N1207" s="14"/>
      <c r="O1207" s="14"/>
      <c r="P1207" s="14"/>
      <c r="Q1207" s="14"/>
      <c r="R1207" s="14"/>
      <c r="S1207" s="14"/>
      <c r="T1207" s="14"/>
      <c r="U1207" s="14"/>
      <c r="V1207" s="14"/>
    </row>
    <row r="1208" spans="2:22">
      <c r="G1208"/>
    </row>
    <row r="1209" spans="2:22">
      <c r="B1209" t="s">
        <v>664</v>
      </c>
      <c r="G1209"/>
      <c r="J1209">
        <f>SUM(J1211,J1216)</f>
        <v>3666225.2759999996</v>
      </c>
      <c r="K1209">
        <f t="shared" ref="K1209:V1209" si="390">SUM(K1211,K1216)</f>
        <v>3776212.0342799998</v>
      </c>
      <c r="L1209">
        <f t="shared" si="390"/>
        <v>3889498.3953083996</v>
      </c>
      <c r="M1209">
        <f t="shared" si="390"/>
        <v>4006183.3471676521</v>
      </c>
      <c r="N1209">
        <f t="shared" si="390"/>
        <v>4126368.847582682</v>
      </c>
      <c r="O1209">
        <f t="shared" si="390"/>
        <v>5250159.9130101623</v>
      </c>
      <c r="P1209">
        <f t="shared" si="390"/>
        <v>5877664.7104004677</v>
      </c>
      <c r="Q1209">
        <f t="shared" si="390"/>
        <v>7208994.6517124809</v>
      </c>
      <c r="R1209">
        <f t="shared" si="390"/>
        <v>6644264.4912638562</v>
      </c>
      <c r="S1209">
        <f t="shared" si="390"/>
        <v>7783592.4260017723</v>
      </c>
      <c r="T1209">
        <f t="shared" si="390"/>
        <v>7927100.1987818237</v>
      </c>
      <c r="U1209">
        <f t="shared" si="390"/>
        <v>5074913.2047452796</v>
      </c>
      <c r="V1209">
        <f t="shared" si="390"/>
        <v>8227160.6008876376</v>
      </c>
    </row>
    <row r="1210" spans="2:22">
      <c r="B1210" s="407" t="s">
        <v>665</v>
      </c>
      <c r="G1210"/>
    </row>
    <row r="1211" spans="2:22">
      <c r="B1211" t="s">
        <v>407</v>
      </c>
      <c r="G1211"/>
      <c r="J1211">
        <f t="shared" ref="J1211:V1211" si="391">J1045</f>
        <v>1602574.2089999998</v>
      </c>
      <c r="K1211">
        <f t="shared" si="391"/>
        <v>1650651.4352699998</v>
      </c>
      <c r="L1211">
        <f t="shared" si="391"/>
        <v>1700170.9783280997</v>
      </c>
      <c r="M1211">
        <f t="shared" si="391"/>
        <v>1751176.1076779428</v>
      </c>
      <c r="N1211">
        <f t="shared" si="391"/>
        <v>1803711.3909082813</v>
      </c>
      <c r="O1211">
        <f t="shared" si="391"/>
        <v>2357822.7326355297</v>
      </c>
      <c r="P1211">
        <f t="shared" si="391"/>
        <v>2663557.4146145955</v>
      </c>
      <c r="Q1211">
        <f t="shared" si="391"/>
        <v>3320964.1370530333</v>
      </c>
      <c r="R1211">
        <f t="shared" si="391"/>
        <v>3030093.061164625</v>
      </c>
      <c r="S1211">
        <f t="shared" si="391"/>
        <v>3590995.8529995633</v>
      </c>
      <c r="T1211">
        <f t="shared" si="391"/>
        <v>3653725.7285895501</v>
      </c>
      <c r="U1211">
        <f t="shared" si="391"/>
        <v>2218337.5004472369</v>
      </c>
      <c r="V1211">
        <f t="shared" si="391"/>
        <v>3784887.625460654</v>
      </c>
    </row>
    <row r="1212" spans="2:22">
      <c r="B1212" s="407" t="s">
        <v>666</v>
      </c>
      <c r="F1212" s="20">
        <f>-E1054+F1054</f>
        <v>17219.465423859547</v>
      </c>
      <c r="G1212"/>
    </row>
    <row r="1213" spans="2:22">
      <c r="B1213" s="28" t="s">
        <v>665</v>
      </c>
      <c r="C1213" s="28"/>
      <c r="D1213" s="28"/>
      <c r="E1213" s="28"/>
      <c r="F1213" s="28"/>
      <c r="G1213" s="28"/>
      <c r="H1213" s="28"/>
      <c r="I1213" s="28"/>
      <c r="J1213" s="28">
        <f>J1211*$F$1212/Billion</f>
        <v>27.595471181044559</v>
      </c>
      <c r="K1213" s="28">
        <f t="shared" ref="K1213:V1213" si="392">K1211*$F$1212/Billion</f>
        <v>28.423335316475896</v>
      </c>
      <c r="L1213" s="28">
        <f t="shared" si="392"/>
        <v>29.276035375970174</v>
      </c>
      <c r="M1213" s="28">
        <f t="shared" si="392"/>
        <v>30.154316437249278</v>
      </c>
      <c r="N1213" s="28">
        <f t="shared" si="392"/>
        <v>31.058945930366761</v>
      </c>
      <c r="O1213" s="28">
        <f t="shared" si="392"/>
        <v>40.600447020207532</v>
      </c>
      <c r="P1213" s="28">
        <f t="shared" si="392"/>
        <v>45.865034805420756</v>
      </c>
      <c r="Q1213" s="28">
        <f t="shared" si="392"/>
        <v>57.18522713186227</v>
      </c>
      <c r="R1213" s="28">
        <f t="shared" si="392"/>
        <v>52.176582697800988</v>
      </c>
      <c r="S1213" s="28">
        <f t="shared" si="392"/>
        <v>61.835028927948997</v>
      </c>
      <c r="T1213" s="28">
        <f t="shared" si="392"/>
        <v>62.915203851713791</v>
      </c>
      <c r="U1213" s="28">
        <f t="shared" si="392"/>
        <v>38.19858588740221</v>
      </c>
      <c r="V1213" s="28">
        <f t="shared" si="392"/>
        <v>65.173741599813596</v>
      </c>
    </row>
    <row r="1214" spans="2:22">
      <c r="G1214"/>
    </row>
    <row r="1215" spans="2:22">
      <c r="B1215" s="407" t="s">
        <v>667</v>
      </c>
      <c r="G1215"/>
    </row>
    <row r="1216" spans="2:22">
      <c r="B1216" t="s">
        <v>407</v>
      </c>
      <c r="G1216"/>
      <c r="J1216">
        <f t="shared" ref="J1216:V1216" si="393">J1071</f>
        <v>2063651.067</v>
      </c>
      <c r="K1216">
        <f t="shared" si="393"/>
        <v>2125560.59901</v>
      </c>
      <c r="L1216">
        <f t="shared" si="393"/>
        <v>2189327.4169803001</v>
      </c>
      <c r="M1216">
        <f t="shared" si="393"/>
        <v>2255007.239489709</v>
      </c>
      <c r="N1216">
        <f t="shared" si="393"/>
        <v>2322657.4566744007</v>
      </c>
      <c r="O1216">
        <f t="shared" si="393"/>
        <v>2892337.1803746326</v>
      </c>
      <c r="P1216">
        <f t="shared" si="393"/>
        <v>3214107.2957858718</v>
      </c>
      <c r="Q1216">
        <f t="shared" si="393"/>
        <v>3888030.5146594481</v>
      </c>
      <c r="R1216">
        <f t="shared" si="393"/>
        <v>3614171.4300992312</v>
      </c>
      <c r="S1216">
        <f t="shared" si="393"/>
        <v>4192596.5730022085</v>
      </c>
      <c r="T1216">
        <f t="shared" si="393"/>
        <v>4273374.4701922741</v>
      </c>
      <c r="U1216">
        <f t="shared" si="393"/>
        <v>2856575.7042980432</v>
      </c>
      <c r="V1216">
        <f t="shared" si="393"/>
        <v>4442272.975426984</v>
      </c>
    </row>
    <row r="1217" spans="2:22">
      <c r="B1217" s="407" t="s">
        <v>666</v>
      </c>
      <c r="F1217" s="20">
        <f>-E1080+F1080</f>
        <v>13240.548627849945</v>
      </c>
      <c r="G1217"/>
    </row>
    <row r="1218" spans="2:22">
      <c r="B1218" s="28" t="s">
        <v>665</v>
      </c>
      <c r="C1218" s="28"/>
      <c r="D1218" s="28"/>
      <c r="E1218" s="28"/>
      <c r="F1218" s="28"/>
      <c r="G1218" s="28"/>
      <c r="H1218" s="28"/>
      <c r="I1218" s="28"/>
      <c r="J1218" s="28">
        <f>J1216*$F1217/Billion</f>
        <v>27.323872303527924</v>
      </c>
      <c r="K1218" s="28">
        <f t="shared" ref="K1218:V1218" si="394">K1216*$F1217/Billion</f>
        <v>28.143588472633763</v>
      </c>
      <c r="L1218" s="28">
        <f t="shared" si="394"/>
        <v>28.987896126812775</v>
      </c>
      <c r="M1218" s="28">
        <f t="shared" si="394"/>
        <v>29.857533010617157</v>
      </c>
      <c r="N1218" s="28">
        <f t="shared" si="394"/>
        <v>30.753259000935682</v>
      </c>
      <c r="O1218" s="28">
        <f t="shared" si="394"/>
        <v>38.296131084888721</v>
      </c>
      <c r="P1218" s="28">
        <f t="shared" si="394"/>
        <v>42.55654394498012</v>
      </c>
      <c r="Q1218" s="28">
        <f t="shared" si="394"/>
        <v>51.47965709591287</v>
      </c>
      <c r="R1218" s="28">
        <f t="shared" si="394"/>
        <v>47.853612569614846</v>
      </c>
      <c r="S1218" s="28">
        <f t="shared" si="394"/>
        <v>55.512278801792768</v>
      </c>
      <c r="T1218" s="28">
        <f t="shared" si="394"/>
        <v>56.581822477593299</v>
      </c>
      <c r="U1218" s="28">
        <f t="shared" si="394"/>
        <v>37.822629521892942</v>
      </c>
      <c r="V1218" s="28">
        <f t="shared" si="394"/>
        <v>58.818131349324645</v>
      </c>
    </row>
    <row r="1219" spans="2:22">
      <c r="G1219"/>
    </row>
    <row r="1220" spans="2:22">
      <c r="B1220" t="s">
        <v>578</v>
      </c>
      <c r="G1220"/>
      <c r="J1220">
        <f>SUM(J1218,J1213)</f>
        <v>54.919343484572479</v>
      </c>
      <c r="K1220">
        <f t="shared" ref="K1220:V1220" si="395">SUM(K1218,K1213)</f>
        <v>56.566923789109659</v>
      </c>
      <c r="L1220">
        <f t="shared" si="395"/>
        <v>58.263931502782953</v>
      </c>
      <c r="M1220">
        <f t="shared" si="395"/>
        <v>60.011849447866439</v>
      </c>
      <c r="N1220">
        <f t="shared" si="395"/>
        <v>61.812204931302446</v>
      </c>
      <c r="O1220">
        <f t="shared" si="395"/>
        <v>78.896578105096253</v>
      </c>
      <c r="P1220">
        <f t="shared" si="395"/>
        <v>88.421578750400869</v>
      </c>
      <c r="Q1220">
        <f t="shared" si="395"/>
        <v>108.66488422777513</v>
      </c>
      <c r="R1220">
        <f t="shared" si="395"/>
        <v>100.03019526741583</v>
      </c>
      <c r="S1220">
        <f t="shared" si="395"/>
        <v>117.34730772974177</v>
      </c>
      <c r="T1220">
        <f t="shared" si="395"/>
        <v>119.49702632930709</v>
      </c>
      <c r="U1220">
        <f t="shared" si="395"/>
        <v>76.021215409295152</v>
      </c>
      <c r="V1220">
        <f t="shared" si="395"/>
        <v>123.99187294913824</v>
      </c>
    </row>
    <row r="1221" spans="2:22">
      <c r="G1221"/>
    </row>
    <row r="1222" spans="2:22">
      <c r="B1222" t="s">
        <v>434</v>
      </c>
      <c r="F1222" s="39">
        <v>0.49</v>
      </c>
      <c r="G1222"/>
      <c r="J1222" s="462"/>
      <c r="L1222" s="462">
        <f t="shared" ref="L1222:V1222" si="396">L1220*$F$1222</f>
        <v>28.549326436363646</v>
      </c>
      <c r="M1222">
        <f t="shared" si="396"/>
        <v>29.405806229454555</v>
      </c>
      <c r="N1222">
        <f t="shared" si="396"/>
        <v>30.287980416338197</v>
      </c>
      <c r="O1222">
        <f t="shared" si="396"/>
        <v>38.659323271497165</v>
      </c>
      <c r="P1222">
        <f t="shared" si="396"/>
        <v>43.326573587696423</v>
      </c>
      <c r="Q1222">
        <f t="shared" si="396"/>
        <v>53.245793271609813</v>
      </c>
      <c r="R1222">
        <f t="shared" si="396"/>
        <v>49.01479568103376</v>
      </c>
      <c r="S1222">
        <f t="shared" si="396"/>
        <v>57.50018078757347</v>
      </c>
      <c r="T1222">
        <f t="shared" si="396"/>
        <v>58.553542901360473</v>
      </c>
      <c r="U1222">
        <f t="shared" si="396"/>
        <v>37.250395550554622</v>
      </c>
      <c r="V1222">
        <f t="shared" si="396"/>
        <v>60.756017745077735</v>
      </c>
    </row>
    <row r="1223" spans="2:22">
      <c r="G1223"/>
    </row>
    <row r="1224" spans="2:22">
      <c r="G1224"/>
    </row>
    <row r="1225" spans="2:22">
      <c r="B1225" s="407" t="s">
        <v>668</v>
      </c>
      <c r="G1225"/>
    </row>
    <row r="1226" spans="2:22">
      <c r="B1226" s="407" t="s">
        <v>9</v>
      </c>
      <c r="G1226"/>
    </row>
    <row r="1227" spans="2:22">
      <c r="B1227" t="s">
        <v>407</v>
      </c>
      <c r="G1227"/>
      <c r="J1227">
        <f t="shared" ref="J1227:V1227" si="397">J1138</f>
        <v>1990024.6600000001</v>
      </c>
      <c r="K1227">
        <f t="shared" si="397"/>
        <v>2049725.3998000002</v>
      </c>
      <c r="L1227">
        <f t="shared" si="397"/>
        <v>2111217.1617939998</v>
      </c>
      <c r="M1227">
        <f t="shared" si="397"/>
        <v>3664578.3366478197</v>
      </c>
      <c r="N1227">
        <f t="shared" si="397"/>
        <v>4074515.6867472548</v>
      </c>
      <c r="O1227">
        <f t="shared" si="397"/>
        <v>4235533.3796396721</v>
      </c>
      <c r="P1227">
        <f t="shared" si="397"/>
        <v>4407558.6058733994</v>
      </c>
      <c r="Q1227">
        <f t="shared" si="397"/>
        <v>4591905.4278124971</v>
      </c>
      <c r="R1227">
        <f t="shared" si="397"/>
        <v>4790084.0293180607</v>
      </c>
      <c r="S1227">
        <f t="shared" si="397"/>
        <v>5003831.5575810177</v>
      </c>
      <c r="T1227">
        <f t="shared" si="397"/>
        <v>5235147.8654021937</v>
      </c>
      <c r="U1227">
        <f t="shared" si="397"/>
        <v>4817202.1405355763</v>
      </c>
      <c r="V1227">
        <f t="shared" si="397"/>
        <v>4961718.2047516434</v>
      </c>
    </row>
    <row r="1228" spans="2:22">
      <c r="B1228" s="407" t="s">
        <v>666</v>
      </c>
      <c r="F1228" s="20">
        <f>-E1147+F1147</f>
        <v>15290.185780366781</v>
      </c>
      <c r="G1228"/>
    </row>
    <row r="1229" spans="2:22">
      <c r="B1229" s="28" t="s">
        <v>665</v>
      </c>
      <c r="C1229" s="28"/>
      <c r="D1229" s="28"/>
      <c r="E1229" s="28"/>
      <c r="F1229" s="28"/>
      <c r="G1229" s="28"/>
      <c r="H1229" s="28"/>
      <c r="I1229" s="28"/>
      <c r="J1229" s="28">
        <f t="shared" ref="J1229:V1229" si="398">J1227*$F1228/Billion</f>
        <v>30.42784675891124</v>
      </c>
      <c r="K1229" s="28">
        <f t="shared" si="398"/>
        <v>31.340682161678579</v>
      </c>
      <c r="L1229" s="28">
        <f t="shared" si="398"/>
        <v>32.280902626528928</v>
      </c>
      <c r="M1229" s="28">
        <f t="shared" si="398"/>
        <v>56.032083574052642</v>
      </c>
      <c r="N1229" s="28">
        <f t="shared" si="398"/>
        <v>62.300101815384259</v>
      </c>
      <c r="O1229" s="28">
        <f t="shared" si="398"/>
        <v>64.762092253635373</v>
      </c>
      <c r="P1229" s="28">
        <f t="shared" si="398"/>
        <v>67.39238992165869</v>
      </c>
      <c r="Q1229" s="28">
        <f t="shared" si="398"/>
        <v>70.211087077127686</v>
      </c>
      <c r="R1229" s="28">
        <f t="shared" si="398"/>
        <v>73.241274711841015</v>
      </c>
      <c r="S1229" s="28">
        <f t="shared" si="398"/>
        <v>76.509514129075839</v>
      </c>
      <c r="T1229" s="28">
        <f t="shared" si="398"/>
        <v>80.046383449690126</v>
      </c>
      <c r="U1229" s="28">
        <f t="shared" si="398"/>
        <v>73.655915670369495</v>
      </c>
      <c r="V1229" s="28">
        <f t="shared" si="398"/>
        <v>75.86559314048057</v>
      </c>
    </row>
    <row r="1230" spans="2:22">
      <c r="G1230"/>
    </row>
    <row r="1231" spans="2:22">
      <c r="G1231"/>
    </row>
    <row r="1232" spans="2:22">
      <c r="B1232" t="s">
        <v>434</v>
      </c>
      <c r="F1232" s="39">
        <v>0.43</v>
      </c>
      <c r="G1232"/>
      <c r="J1232">
        <f>J1229*$F$1232</f>
        <v>13.083974106331834</v>
      </c>
      <c r="K1232">
        <f t="shared" ref="K1232:V1232" si="399">K1229*$F$1232</f>
        <v>13.476493329521789</v>
      </c>
      <c r="L1232">
        <f t="shared" si="399"/>
        <v>13.880788129407438</v>
      </c>
      <c r="M1232">
        <f t="shared" si="399"/>
        <v>24.093795936842636</v>
      </c>
      <c r="N1232">
        <f t="shared" si="399"/>
        <v>26.789043780615231</v>
      </c>
      <c r="O1232">
        <f t="shared" si="399"/>
        <v>27.847699669063211</v>
      </c>
      <c r="P1232">
        <f t="shared" si="399"/>
        <v>28.978727666313237</v>
      </c>
      <c r="Q1232">
        <f t="shared" si="399"/>
        <v>30.190767443164905</v>
      </c>
      <c r="R1232">
        <f t="shared" si="399"/>
        <v>31.493748126091635</v>
      </c>
      <c r="S1232">
        <f t="shared" si="399"/>
        <v>32.899091075502611</v>
      </c>
      <c r="T1232">
        <f t="shared" si="399"/>
        <v>34.419944883366753</v>
      </c>
      <c r="U1232">
        <f t="shared" si="399"/>
        <v>31.672043738258882</v>
      </c>
      <c r="V1232">
        <f t="shared" si="399"/>
        <v>32.622205050406642</v>
      </c>
    </row>
    <row r="1233" spans="2:22">
      <c r="G1233"/>
    </row>
    <row r="1234" spans="2:22" ht="24" thickBot="1">
      <c r="B1234" s="14" t="s">
        <v>300</v>
      </c>
      <c r="C1234" s="14"/>
      <c r="D1234" s="14"/>
      <c r="E1234" s="14"/>
      <c r="F1234" s="14"/>
      <c r="G1234" s="14"/>
      <c r="H1234" s="14"/>
      <c r="I1234" s="14"/>
      <c r="J1234" s="14"/>
      <c r="K1234" s="14"/>
      <c r="L1234" s="14"/>
      <c r="M1234" s="14"/>
      <c r="N1234" s="14"/>
      <c r="O1234" s="14"/>
      <c r="P1234" s="14"/>
      <c r="Q1234" s="14"/>
      <c r="R1234" s="14"/>
      <c r="S1234" s="14"/>
      <c r="T1234" s="14"/>
      <c r="U1234" s="14"/>
      <c r="V1234" s="14"/>
    </row>
    <row r="1235" spans="2:22">
      <c r="G1235"/>
      <c r="J1235" s="21"/>
    </row>
    <row r="1236" spans="2:22" ht="15.75">
      <c r="B1236" s="15" t="s">
        <v>301</v>
      </c>
      <c r="G1236"/>
      <c r="J1236" s="21"/>
    </row>
    <row r="1237" spans="2:22">
      <c r="G1237"/>
      <c r="J1237" s="21"/>
    </row>
    <row r="1238" spans="2:22">
      <c r="G1238"/>
      <c r="J1238" s="21"/>
    </row>
    <row r="1239" spans="2:22">
      <c r="B1239" s="407" t="s">
        <v>302</v>
      </c>
      <c r="G1239"/>
      <c r="J1239" s="21"/>
    </row>
    <row r="1240" spans="2:22">
      <c r="B1240" s="407" t="s">
        <v>9</v>
      </c>
      <c r="G1240"/>
      <c r="J1240" s="50">
        <f>Output_FSL!J44</f>
        <v>305.28863657531383</v>
      </c>
      <c r="K1240" s="50">
        <f>Output_FSL!K44</f>
        <v>427.60286647031637</v>
      </c>
      <c r="L1240" s="50">
        <f>Output_FSL!L44</f>
        <v>622.06488628652892</v>
      </c>
      <c r="M1240" s="50">
        <f>Output_FSL!M44</f>
        <v>754.46283287559299</v>
      </c>
      <c r="N1240" s="50">
        <f>Output_FSL!N44</f>
        <v>841.30957702557623</v>
      </c>
      <c r="O1240" s="50">
        <f>Output_FSL!O44</f>
        <v>917.90703723101194</v>
      </c>
      <c r="P1240" s="50">
        <f>Output_FSL!P44</f>
        <v>957.01687917243328</v>
      </c>
      <c r="Q1240" s="50">
        <f>Output_FSL!Q44</f>
        <v>1021.4431095703574</v>
      </c>
      <c r="R1240" s="50">
        <f>Output_FSL!R44</f>
        <v>1068.3291172001439</v>
      </c>
      <c r="S1240" s="50">
        <f>Output_FSL!S44</f>
        <v>1137.2219371080032</v>
      </c>
      <c r="T1240" s="50">
        <f>Output_FSL!T44</f>
        <v>1162.5819669451769</v>
      </c>
      <c r="U1240" s="50">
        <f>Output_FSL!U44</f>
        <v>1171.2143622958556</v>
      </c>
      <c r="V1240" s="50">
        <f>Output_FSL!V44</f>
        <v>1212.2895163049375</v>
      </c>
    </row>
    <row r="1241" spans="2:22">
      <c r="B1241" s="407" t="s">
        <v>303</v>
      </c>
      <c r="F1241" s="19">
        <v>45</v>
      </c>
      <c r="G1241"/>
      <c r="I1241" s="19">
        <v>45</v>
      </c>
      <c r="J1241" s="19">
        <v>45</v>
      </c>
      <c r="K1241" s="19">
        <v>45</v>
      </c>
      <c r="L1241" s="19">
        <v>45</v>
      </c>
      <c r="M1241" s="19">
        <v>45</v>
      </c>
      <c r="N1241" s="19">
        <v>45</v>
      </c>
      <c r="O1241" s="19">
        <v>45</v>
      </c>
      <c r="P1241" s="19">
        <v>45</v>
      </c>
      <c r="Q1241" s="19">
        <v>45</v>
      </c>
      <c r="R1241" s="19">
        <v>45</v>
      </c>
      <c r="S1241" s="19">
        <v>45</v>
      </c>
      <c r="T1241" s="23"/>
      <c r="U1241" s="23"/>
      <c r="V1241" s="23"/>
    </row>
    <row r="1242" spans="2:22">
      <c r="B1242" s="28" t="s">
        <v>304</v>
      </c>
      <c r="C1242" s="28"/>
      <c r="D1242" s="28"/>
      <c r="E1242" s="28"/>
      <c r="F1242" s="28"/>
      <c r="G1242" s="28"/>
      <c r="H1242" s="28"/>
      <c r="I1242" s="93">
        <f>Output_FSL!I97</f>
        <v>45</v>
      </c>
      <c r="J1242" s="47">
        <f t="shared" ref="J1242:V1242" si="400">J1240*J1241/J9</f>
        <v>37.535488103522198</v>
      </c>
      <c r="K1242" s="47">
        <f t="shared" si="400"/>
        <v>52.718161619628049</v>
      </c>
      <c r="L1242" s="47">
        <f t="shared" si="400"/>
        <v>76.692931186010412</v>
      </c>
      <c r="M1242" s="47">
        <f t="shared" si="400"/>
        <v>93.015965696990918</v>
      </c>
      <c r="N1242" s="47">
        <f t="shared" si="400"/>
        <v>103.43970209330855</v>
      </c>
      <c r="O1242" s="47">
        <f t="shared" si="400"/>
        <v>113.16662102848092</v>
      </c>
      <c r="P1242" s="47">
        <f t="shared" si="400"/>
        <v>117.98838236372465</v>
      </c>
      <c r="Q1242" s="47">
        <f t="shared" si="400"/>
        <v>125.93134227579748</v>
      </c>
      <c r="R1242" s="47">
        <f t="shared" si="400"/>
        <v>131.35194063936194</v>
      </c>
      <c r="S1242" s="47">
        <f t="shared" si="400"/>
        <v>140.2054443009867</v>
      </c>
      <c r="T1242" s="47">
        <f t="shared" si="400"/>
        <v>0</v>
      </c>
      <c r="U1242" s="47">
        <f t="shared" si="400"/>
        <v>0</v>
      </c>
      <c r="V1242" s="47">
        <f t="shared" si="400"/>
        <v>0</v>
      </c>
    </row>
    <row r="1243" spans="2:22">
      <c r="G1243"/>
      <c r="J1243" s="21"/>
    </row>
    <row r="1244" spans="2:22">
      <c r="B1244" s="407" t="s">
        <v>306</v>
      </c>
      <c r="G1244"/>
      <c r="J1244" s="21"/>
    </row>
    <row r="1245" spans="2:22">
      <c r="B1245" s="407" t="s">
        <v>307</v>
      </c>
      <c r="G1245"/>
      <c r="J1245" s="33">
        <v>0</v>
      </c>
      <c r="K1245" s="33">
        <v>0</v>
      </c>
      <c r="L1245" s="33">
        <v>0</v>
      </c>
      <c r="M1245" s="33">
        <v>0</v>
      </c>
      <c r="N1245" s="33">
        <v>0</v>
      </c>
      <c r="O1245" s="33">
        <v>0</v>
      </c>
      <c r="P1245" s="33">
        <v>0</v>
      </c>
      <c r="Q1245" s="33">
        <v>0</v>
      </c>
      <c r="R1245" s="33">
        <v>0</v>
      </c>
      <c r="S1245" s="33">
        <v>0</v>
      </c>
      <c r="T1245" s="33">
        <v>0</v>
      </c>
      <c r="U1245" s="33">
        <v>0</v>
      </c>
      <c r="V1245" s="33">
        <v>0</v>
      </c>
    </row>
    <row r="1246" spans="2:22">
      <c r="B1246" s="407" t="s">
        <v>308</v>
      </c>
      <c r="F1246" s="19">
        <v>40</v>
      </c>
      <c r="G1246"/>
    </row>
    <row r="1247" spans="2:22">
      <c r="B1247" s="28" t="s">
        <v>204</v>
      </c>
      <c r="C1247" s="28"/>
      <c r="D1247" s="28"/>
      <c r="E1247" s="28"/>
      <c r="F1247" s="28"/>
      <c r="G1247" s="28"/>
      <c r="H1247" s="28"/>
      <c r="I1247" s="28">
        <f>Output_FSL!I96</f>
        <v>0.51981068748259995</v>
      </c>
      <c r="J1247" s="28">
        <f t="shared" ref="J1247:S1247" si="401">J1245*$F1246/J$9*0+$I$1247</f>
        <v>0.51981068748259995</v>
      </c>
      <c r="K1247" s="28">
        <f t="shared" si="401"/>
        <v>0.51981068748259995</v>
      </c>
      <c r="L1247" s="28">
        <f t="shared" si="401"/>
        <v>0.51981068748259995</v>
      </c>
      <c r="M1247" s="28">
        <f t="shared" si="401"/>
        <v>0.51981068748259995</v>
      </c>
      <c r="N1247" s="28">
        <f t="shared" si="401"/>
        <v>0.51981068748259995</v>
      </c>
      <c r="O1247" s="28">
        <f t="shared" si="401"/>
        <v>0.51981068748259995</v>
      </c>
      <c r="P1247" s="28">
        <f t="shared" si="401"/>
        <v>0.51981068748259995</v>
      </c>
      <c r="Q1247" s="28">
        <f t="shared" si="401"/>
        <v>0.51981068748259995</v>
      </c>
      <c r="R1247" s="28">
        <f t="shared" si="401"/>
        <v>0.51981068748259995</v>
      </c>
      <c r="S1247" s="28">
        <f t="shared" si="401"/>
        <v>0.51981068748259995</v>
      </c>
      <c r="T1247" s="28">
        <f>T1245*$F1246/T$9</f>
        <v>0</v>
      </c>
      <c r="U1247" s="28">
        <f>U1245*$F1246/U$9</f>
        <v>0</v>
      </c>
      <c r="V1247" s="28">
        <f>V1245*$F1246/V$9</f>
        <v>0</v>
      </c>
    </row>
    <row r="1248" spans="2:22">
      <c r="G1248"/>
      <c r="J1248" s="21"/>
    </row>
    <row r="1249" spans="2:22">
      <c r="B1249" s="407" t="s">
        <v>309</v>
      </c>
      <c r="G1249"/>
      <c r="J1249" s="21"/>
    </row>
    <row r="1250" spans="2:22">
      <c r="B1250" s="407" t="s">
        <v>307</v>
      </c>
      <c r="G1250"/>
      <c r="I1250" s="23"/>
      <c r="J1250" s="50">
        <f>-Output_FSL!J45</f>
        <v>122.54305842795947</v>
      </c>
      <c r="K1250" s="50">
        <f>-Output_FSL!K45</f>
        <v>114.65876282442215</v>
      </c>
      <c r="L1250" s="50">
        <f>-Output_FSL!L45</f>
        <v>112.22496672828652</v>
      </c>
      <c r="M1250" s="50">
        <f>-Output_FSL!M45</f>
        <v>124.58113550223143</v>
      </c>
      <c r="N1250" s="50">
        <f>-Output_FSL!N45</f>
        <v>146.73492706822378</v>
      </c>
      <c r="O1250" s="50">
        <f>-Output_FSL!O45</f>
        <v>157.56435050601607</v>
      </c>
      <c r="P1250" s="50">
        <f>-Output_FSL!P45</f>
        <v>167.62312796545598</v>
      </c>
      <c r="Q1250" s="50">
        <f>-Output_FSL!Q45</f>
        <v>179.27913237363651</v>
      </c>
      <c r="R1250" s="50">
        <f>-Output_FSL!R45</f>
        <v>190.1349958139092</v>
      </c>
      <c r="S1250" s="50">
        <f>-Output_FSL!S45</f>
        <v>201.60267788366619</v>
      </c>
      <c r="T1250" s="50">
        <f>-Output_FSL!T45</f>
        <v>197.45913659428521</v>
      </c>
      <c r="U1250" s="50">
        <f>-Output_FSL!U45</f>
        <v>206.4094677279102</v>
      </c>
      <c r="V1250" s="50">
        <f>-Output_FSL!V45</f>
        <v>216.93114250485289</v>
      </c>
    </row>
    <row r="1251" spans="2:22">
      <c r="B1251" s="407" t="s">
        <v>310</v>
      </c>
      <c r="F1251" s="19">
        <v>30</v>
      </c>
      <c r="G1251"/>
      <c r="I1251" s="19">
        <v>30</v>
      </c>
      <c r="J1251" s="19">
        <v>30</v>
      </c>
      <c r="K1251" s="19">
        <v>30</v>
      </c>
      <c r="L1251" s="19">
        <v>30</v>
      </c>
      <c r="M1251" s="19">
        <v>30</v>
      </c>
      <c r="N1251" s="19">
        <v>30</v>
      </c>
      <c r="O1251" s="19">
        <v>30</v>
      </c>
      <c r="P1251" s="19">
        <v>30</v>
      </c>
      <c r="Q1251" s="19">
        <v>30</v>
      </c>
      <c r="R1251" s="19">
        <v>30</v>
      </c>
      <c r="S1251" s="19">
        <v>30</v>
      </c>
      <c r="T1251" s="23"/>
      <c r="U1251" s="23"/>
      <c r="V1251" s="23"/>
    </row>
    <row r="1252" spans="2:22">
      <c r="B1252" s="28" t="s">
        <v>240</v>
      </c>
      <c r="C1252" s="28"/>
      <c r="D1252" s="28"/>
      <c r="E1252" s="28"/>
      <c r="F1252" s="28"/>
      <c r="G1252" s="28"/>
      <c r="H1252" s="28"/>
      <c r="I1252" s="93">
        <f>Output_FSL!I103</f>
        <v>14.671985982904882</v>
      </c>
      <c r="J1252" s="47">
        <f t="shared" ref="J1252:V1252" si="402">J1250*J1251/J$9</f>
        <v>10.044512985898317</v>
      </c>
      <c r="K1252" s="47">
        <f t="shared" si="402"/>
        <v>9.4240079033771629</v>
      </c>
      <c r="L1252" s="47">
        <f t="shared" si="402"/>
        <v>9.2239698680783437</v>
      </c>
      <c r="M1252" s="47">
        <f t="shared" si="402"/>
        <v>10.23954538374505</v>
      </c>
      <c r="N1252" s="47">
        <f t="shared" si="402"/>
        <v>12.027453038378997</v>
      </c>
      <c r="O1252" s="47">
        <f t="shared" si="402"/>
        <v>12.950494562138307</v>
      </c>
      <c r="P1252" s="47">
        <f t="shared" si="402"/>
        <v>13.77724339442104</v>
      </c>
      <c r="Q1252" s="47">
        <f t="shared" si="402"/>
        <v>14.735271153997521</v>
      </c>
      <c r="R1252" s="47">
        <f t="shared" si="402"/>
        <v>15.584835722451574</v>
      </c>
      <c r="S1252" s="47">
        <f t="shared" si="402"/>
        <v>16.570083113725989</v>
      </c>
      <c r="T1252" s="47">
        <f t="shared" si="402"/>
        <v>0</v>
      </c>
      <c r="U1252" s="47">
        <f t="shared" si="402"/>
        <v>0</v>
      </c>
      <c r="V1252" s="47">
        <f t="shared" si="402"/>
        <v>0</v>
      </c>
    </row>
    <row r="1253" spans="2:22">
      <c r="G1253"/>
    </row>
    <row r="1254" spans="2:22">
      <c r="B1254" t="s">
        <v>300</v>
      </c>
      <c r="G1254"/>
      <c r="I1254" s="23">
        <f>SUM(I1242,I1247,-I1252)</f>
        <v>30.847824704577715</v>
      </c>
      <c r="J1254" s="23">
        <f>SUM(J1242,J1247,-J1252)</f>
        <v>28.01078580510648</v>
      </c>
      <c r="K1254" s="23">
        <f t="shared" ref="K1254:V1254" si="403">SUM(K1242,K1247,-K1252)</f>
        <v>43.813964403733479</v>
      </c>
      <c r="L1254" s="23">
        <f t="shared" si="403"/>
        <v>67.988772005414674</v>
      </c>
      <c r="M1254" s="23">
        <f t="shared" si="403"/>
        <v>83.296231000728469</v>
      </c>
      <c r="N1254" s="23">
        <f t="shared" si="403"/>
        <v>91.932059742412164</v>
      </c>
      <c r="O1254" s="23">
        <f t="shared" si="403"/>
        <v>100.73593715382522</v>
      </c>
      <c r="P1254" s="23">
        <f t="shared" si="403"/>
        <v>104.73094965678622</v>
      </c>
      <c r="Q1254" s="23">
        <f t="shared" si="403"/>
        <v>111.71588180928256</v>
      </c>
      <c r="R1254" s="23">
        <f t="shared" si="403"/>
        <v>116.28691560439296</v>
      </c>
      <c r="S1254" s="23">
        <f t="shared" si="403"/>
        <v>124.1551718747433</v>
      </c>
      <c r="T1254" s="23">
        <f t="shared" si="403"/>
        <v>0</v>
      </c>
      <c r="U1254" s="23">
        <f t="shared" si="403"/>
        <v>0</v>
      </c>
      <c r="V1254" s="23">
        <f t="shared" si="403"/>
        <v>0</v>
      </c>
    </row>
    <row r="1255" spans="2:22">
      <c r="B1255" t="s">
        <v>311</v>
      </c>
      <c r="G1255"/>
      <c r="J1255" s="23">
        <f>I1254-J1254</f>
        <v>2.837038899471235</v>
      </c>
      <c r="K1255" s="23">
        <f t="shared" ref="K1255:V1255" si="404">J1254-K1254</f>
        <v>-15.803178598626999</v>
      </c>
      <c r="L1255" s="23">
        <f t="shared" si="404"/>
        <v>-24.174807601681195</v>
      </c>
      <c r="M1255" s="23">
        <f t="shared" si="404"/>
        <v>-15.307458995313795</v>
      </c>
      <c r="N1255" s="23">
        <f t="shared" si="404"/>
        <v>-8.6358287416836959</v>
      </c>
      <c r="O1255" s="23">
        <f t="shared" si="404"/>
        <v>-8.8038774114130547</v>
      </c>
      <c r="P1255" s="23">
        <f t="shared" si="404"/>
        <v>-3.9950125029610035</v>
      </c>
      <c r="Q1255" s="23">
        <f t="shared" si="404"/>
        <v>-6.9849321524963415</v>
      </c>
      <c r="R1255" s="23">
        <f t="shared" si="404"/>
        <v>-4.5710337951103952</v>
      </c>
      <c r="S1255" s="23">
        <f t="shared" si="404"/>
        <v>-7.8682562703503436</v>
      </c>
      <c r="T1255" s="23">
        <f t="shared" si="404"/>
        <v>124.1551718747433</v>
      </c>
      <c r="U1255" s="23">
        <f t="shared" si="404"/>
        <v>0</v>
      </c>
      <c r="V1255" s="23">
        <f t="shared" si="404"/>
        <v>0</v>
      </c>
    </row>
    <row r="1256" spans="2:22">
      <c r="G1256"/>
    </row>
    <row r="1257" spans="2:22">
      <c r="G1257"/>
    </row>
    <row r="1258" spans="2:22" ht="24" thickBot="1">
      <c r="B1258" s="14" t="s">
        <v>312</v>
      </c>
      <c r="C1258" s="14"/>
      <c r="D1258" s="14"/>
      <c r="E1258" s="14"/>
      <c r="F1258" s="14"/>
      <c r="G1258" s="14"/>
      <c r="H1258" s="14"/>
      <c r="I1258" s="14"/>
      <c r="J1258" s="14" t="s">
        <v>313</v>
      </c>
      <c r="K1258" s="14"/>
      <c r="L1258" s="14"/>
      <c r="M1258" s="14"/>
      <c r="N1258" s="14"/>
      <c r="O1258" s="14"/>
      <c r="P1258" s="14"/>
      <c r="Q1258" s="14"/>
      <c r="R1258" s="14"/>
      <c r="S1258" s="14"/>
      <c r="T1258" s="14"/>
      <c r="U1258" s="14"/>
      <c r="V1258" s="14"/>
    </row>
    <row r="1259" spans="2:22">
      <c r="G1259"/>
      <c r="J1259" s="21"/>
    </row>
    <row r="1260" spans="2:22">
      <c r="G1260"/>
      <c r="I1260" s="9">
        <f t="shared" ref="I1260:V1260" si="405">I8</f>
        <v>2023</v>
      </c>
      <c r="J1260" s="9">
        <f t="shared" si="405"/>
        <v>2024</v>
      </c>
      <c r="K1260" s="9">
        <f t="shared" si="405"/>
        <v>2025</v>
      </c>
      <c r="L1260" s="9">
        <f t="shared" si="405"/>
        <v>2026</v>
      </c>
      <c r="M1260" s="9">
        <f t="shared" si="405"/>
        <v>2027</v>
      </c>
      <c r="N1260" s="9">
        <f t="shared" si="405"/>
        <v>2028</v>
      </c>
      <c r="O1260" s="9">
        <f t="shared" si="405"/>
        <v>2029</v>
      </c>
      <c r="P1260" s="9">
        <f t="shared" si="405"/>
        <v>2030</v>
      </c>
      <c r="Q1260" s="9">
        <f t="shared" si="405"/>
        <v>2031</v>
      </c>
      <c r="R1260" s="9">
        <f t="shared" si="405"/>
        <v>2032</v>
      </c>
      <c r="S1260" s="9">
        <f t="shared" si="405"/>
        <v>2033</v>
      </c>
      <c r="T1260" s="9">
        <f t="shared" si="405"/>
        <v>2034</v>
      </c>
      <c r="U1260" s="9">
        <f t="shared" si="405"/>
        <v>2035</v>
      </c>
      <c r="V1260" s="9">
        <f t="shared" si="405"/>
        <v>2036</v>
      </c>
    </row>
    <row r="1261" spans="2:22">
      <c r="B1261" t="s">
        <v>669</v>
      </c>
      <c r="G1261" s="17" t="s">
        <v>176</v>
      </c>
      <c r="I1261" s="92"/>
      <c r="J1261" s="92">
        <f>Input!K1258*Output_FSL!$F$30</f>
        <v>0</v>
      </c>
      <c r="K1261" s="92">
        <f>Input!L1258*Output_FSL!$F$30</f>
        <v>0</v>
      </c>
      <c r="L1261" s="92">
        <f>Input!M1258*Output_FSL!$F$30</f>
        <v>6.8095238095238102</v>
      </c>
      <c r="M1261" s="92">
        <f>Input!N1258*Output_FSL!$F$30</f>
        <v>0</v>
      </c>
      <c r="N1261" s="92">
        <f>Input!O1258*Output_FSL!$F$30</f>
        <v>0</v>
      </c>
      <c r="O1261" s="92">
        <f>Input!P1258*Output_FSL!$F$30</f>
        <v>0</v>
      </c>
      <c r="P1261" s="92">
        <f>Input!Q1258*Output_FSL!$F$30</f>
        <v>0</v>
      </c>
      <c r="Q1261" s="92">
        <f>Input!R1258*Output_FSL!$F$30</f>
        <v>0</v>
      </c>
      <c r="R1261" s="92">
        <f>Input!S1258*Output_FSL!$F$30</f>
        <v>0</v>
      </c>
      <c r="S1261" s="92">
        <f>Input!T1258*Output_FSL!$F$30</f>
        <v>0</v>
      </c>
      <c r="T1261" s="92">
        <f>Input!U1258*Output_FSL!$F$30</f>
        <v>0</v>
      </c>
      <c r="U1261" s="92">
        <f>Input!V1258*Output_FSL!$F$30</f>
        <v>0</v>
      </c>
      <c r="V1261" s="92">
        <f>Input!W1258*Output_FSL!$F$30</f>
        <v>0</v>
      </c>
    </row>
    <row r="1262" spans="2:22">
      <c r="B1262" t="s">
        <v>670</v>
      </c>
      <c r="G1262" s="17" t="s">
        <v>176</v>
      </c>
      <c r="I1262" s="92">
        <f>Input!J420</f>
        <v>10</v>
      </c>
      <c r="J1262" s="92">
        <f>Input!K420</f>
        <v>2.2999999999999998</v>
      </c>
      <c r="K1262" s="92">
        <f>Input!L420</f>
        <v>0.5</v>
      </c>
      <c r="L1262" s="91">
        <f>Input!M420</f>
        <v>0</v>
      </c>
      <c r="M1262" s="91">
        <f>Input!N420</f>
        <v>0</v>
      </c>
      <c r="N1262" s="91">
        <f>Input!O420</f>
        <v>0</v>
      </c>
      <c r="O1262" s="91">
        <f>Input!P420</f>
        <v>0</v>
      </c>
      <c r="P1262" s="91">
        <f>Input!Q420</f>
        <v>0</v>
      </c>
      <c r="Q1262" s="91">
        <f>Input!R420</f>
        <v>0</v>
      </c>
      <c r="R1262" s="91">
        <f>Input!S420</f>
        <v>0</v>
      </c>
      <c r="S1262" s="91">
        <f>Input!T420</f>
        <v>0</v>
      </c>
      <c r="T1262" s="91">
        <f>Input!U420</f>
        <v>0</v>
      </c>
      <c r="U1262" s="91">
        <f>Input!V420</f>
        <v>0</v>
      </c>
      <c r="V1262" s="91">
        <f>Input!W420</f>
        <v>0</v>
      </c>
    </row>
    <row r="1263" spans="2:22">
      <c r="B1263" t="s">
        <v>539</v>
      </c>
      <c r="G1263" s="17" t="s">
        <v>176</v>
      </c>
      <c r="I1263" s="23">
        <f>Input!J452</f>
        <v>2.2000000000000002</v>
      </c>
      <c r="J1263" s="23">
        <f>Input!K452</f>
        <v>5.4</v>
      </c>
      <c r="K1263" s="23">
        <f>Input!L452</f>
        <v>0.4</v>
      </c>
      <c r="L1263" s="23">
        <f>Input!M452</f>
        <v>0</v>
      </c>
      <c r="M1263" s="23">
        <f>Input!N452</f>
        <v>0</v>
      </c>
      <c r="N1263" s="23">
        <f>Input!O452</f>
        <v>0</v>
      </c>
      <c r="O1263" s="23">
        <f>Input!P452</f>
        <v>0</v>
      </c>
      <c r="P1263" s="23">
        <f>Input!Q452</f>
        <v>0</v>
      </c>
      <c r="Q1263" s="23">
        <f>Input!R452</f>
        <v>0</v>
      </c>
      <c r="R1263" s="23">
        <f>Input!S452</f>
        <v>0</v>
      </c>
      <c r="S1263" s="23">
        <f>Input!T452</f>
        <v>0</v>
      </c>
      <c r="T1263" s="23">
        <f>Input!U452</f>
        <v>0</v>
      </c>
      <c r="U1263" s="23">
        <f>Input!V452</f>
        <v>0</v>
      </c>
      <c r="V1263" s="23">
        <f>Input!W452</f>
        <v>0</v>
      </c>
    </row>
    <row r="1264" spans="2:22">
      <c r="B1264" s="407" t="s">
        <v>671</v>
      </c>
      <c r="G1264" s="17" t="s">
        <v>176</v>
      </c>
      <c r="I1264" s="23"/>
      <c r="J1264" s="23">
        <f>Input!K1264</f>
        <v>0</v>
      </c>
      <c r="K1264" s="23">
        <f>Input!L1264</f>
        <v>0</v>
      </c>
      <c r="L1264" s="23">
        <f>Input!M1264</f>
        <v>3.7622963418383031</v>
      </c>
      <c r="M1264" s="23">
        <f>Input!N1264</f>
        <v>0</v>
      </c>
      <c r="N1264" s="23">
        <f>Input!O1264</f>
        <v>0</v>
      </c>
      <c r="O1264" s="23">
        <f>Input!P1264</f>
        <v>0</v>
      </c>
      <c r="P1264" s="23">
        <f>Input!Q1264</f>
        <v>0</v>
      </c>
      <c r="Q1264" s="23">
        <f>Input!R1264</f>
        <v>0</v>
      </c>
      <c r="R1264" s="23">
        <f>Input!S1264</f>
        <v>0</v>
      </c>
      <c r="S1264" s="23">
        <f>Input!T1264</f>
        <v>0</v>
      </c>
      <c r="T1264" s="23">
        <f>Input!U1264</f>
        <v>0</v>
      </c>
      <c r="U1264" s="23">
        <f>Input!V1264</f>
        <v>0</v>
      </c>
      <c r="V1264" s="23">
        <f>Input!W1264</f>
        <v>0</v>
      </c>
    </row>
    <row r="1265" spans="2:22">
      <c r="B1265" s="407" t="s">
        <v>548</v>
      </c>
      <c r="G1265" s="17" t="s">
        <v>176</v>
      </c>
      <c r="I1265">
        <f>Input!J499</f>
        <v>0</v>
      </c>
      <c r="J1265">
        <f>Input!K499*Output_FSL!$F$38</f>
        <v>0</v>
      </c>
      <c r="K1265">
        <f>Input!L499*Output_FSL!$F$38</f>
        <v>0</v>
      </c>
      <c r="L1265">
        <f>Input!M499*Output_FSL!$F$38</f>
        <v>2.5122963418383031</v>
      </c>
      <c r="M1265">
        <f>Input!N499*Output_FSL!$F$38</f>
        <v>2.5122963418383031</v>
      </c>
      <c r="N1265">
        <f>Input!O499*Output_FSL!$F$38</f>
        <v>0</v>
      </c>
      <c r="O1265">
        <f>Input!P499*Output_FSL!$F$38</f>
        <v>0</v>
      </c>
      <c r="P1265">
        <f>Input!Q499*Output_FSL!$F$38</f>
        <v>0</v>
      </c>
      <c r="Q1265">
        <f>Input!R499*Output_FSL!$F$38</f>
        <v>0</v>
      </c>
      <c r="R1265">
        <f>Input!S499*Output_FSL!$F$38</f>
        <v>0</v>
      </c>
      <c r="S1265">
        <f>Input!T499*Output_FSL!$F$38</f>
        <v>0</v>
      </c>
      <c r="T1265">
        <f>Input!U499*Output_FSL!$F$38</f>
        <v>0</v>
      </c>
      <c r="U1265">
        <f>Input!V499*Output_FSL!$F$38</f>
        <v>0</v>
      </c>
      <c r="V1265">
        <f>Input!W499*Output_FSL!$F$38</f>
        <v>0</v>
      </c>
    </row>
    <row r="1266" spans="2:22">
      <c r="B1266" s="407" t="s">
        <v>672</v>
      </c>
      <c r="G1266" s="17" t="s">
        <v>176</v>
      </c>
      <c r="I1266">
        <f>Input!J551</f>
        <v>0</v>
      </c>
      <c r="J1266">
        <f>Input!K551*Output_FSL!$F$37</f>
        <v>0</v>
      </c>
      <c r="K1266">
        <f>Input!L551*Output_FSL!$F$37</f>
        <v>0</v>
      </c>
      <c r="L1266">
        <f>Input!M551*Output_FSL!$F$37</f>
        <v>7.0245926836766062</v>
      </c>
      <c r="M1266">
        <f>Input!N551*Output_FSL!$F$37</f>
        <v>7</v>
      </c>
      <c r="N1266">
        <f>Input!O551*Output_FSL!$F$37</f>
        <v>0</v>
      </c>
      <c r="O1266">
        <f>Input!P551*Output_FSL!$F$37</f>
        <v>0</v>
      </c>
      <c r="P1266">
        <f>Input!Q551*Output_FSL!$F$37</f>
        <v>0</v>
      </c>
      <c r="Q1266">
        <f>Input!R551*Output_FSL!$F$37</f>
        <v>0</v>
      </c>
      <c r="R1266">
        <f>Input!S551*Output_FSL!$F$37</f>
        <v>0</v>
      </c>
      <c r="S1266">
        <f>Input!T551*Output_FSL!$F$37</f>
        <v>0</v>
      </c>
      <c r="T1266">
        <f>Input!U551*Output_FSL!$F$37</f>
        <v>0</v>
      </c>
      <c r="U1266">
        <f>Input!V551*Output_FSL!$F$37</f>
        <v>0</v>
      </c>
      <c r="V1266">
        <f>Input!W551*Output_FSL!$F$37</f>
        <v>0</v>
      </c>
    </row>
    <row r="1267" spans="2:22">
      <c r="B1267" s="407" t="s">
        <v>299</v>
      </c>
      <c r="G1267" s="17" t="s">
        <v>176</v>
      </c>
      <c r="I1267">
        <f>Input!J1190</f>
        <v>0</v>
      </c>
      <c r="J1267">
        <f>Input!K1190*Output_FSL!$F$40</f>
        <v>0</v>
      </c>
      <c r="K1267">
        <f>Input!L1190*Output_FSL!$F$40</f>
        <v>0</v>
      </c>
      <c r="L1267">
        <f>Input!M1190*Output_FSL!$F$40</f>
        <v>0</v>
      </c>
      <c r="M1267">
        <f>Input!N1190*Output_FSL!$F$40</f>
        <v>0</v>
      </c>
      <c r="N1267">
        <f>Input!O1190*Output_FSL!$F$40</f>
        <v>0</v>
      </c>
      <c r="O1267">
        <f>Input!P1190*Output_FSL!$F$40</f>
        <v>0</v>
      </c>
      <c r="P1267">
        <f>Input!Q1190*Output_FSL!$F$40</f>
        <v>0</v>
      </c>
      <c r="Q1267">
        <f>Input!R1190*Output_FSL!$F$40</f>
        <v>0</v>
      </c>
      <c r="R1267">
        <f>Input!S1190*Output_FSL!$F$40</f>
        <v>0</v>
      </c>
      <c r="S1267">
        <f>Input!T1190*Output_FSL!$F$40</f>
        <v>0</v>
      </c>
      <c r="T1267">
        <f>Input!U1190*Output_FSL!$F$40</f>
        <v>0</v>
      </c>
      <c r="U1267">
        <f>Input!V1190*Output_FSL!$F$40</f>
        <v>0</v>
      </c>
      <c r="V1267">
        <f>Input!W1190*Output_FSL!$F$40</f>
        <v>0</v>
      </c>
    </row>
    <row r="1268" spans="2:22">
      <c r="B1268" s="28" t="s">
        <v>316</v>
      </c>
      <c r="C1268" s="28"/>
      <c r="D1268" s="28"/>
      <c r="E1268" s="28"/>
      <c r="F1268" s="28"/>
      <c r="G1268" s="94" t="s">
        <v>176</v>
      </c>
      <c r="H1268" s="42">
        <f>SUM(I1268:V1268)</f>
        <v>50.421005518715319</v>
      </c>
      <c r="I1268" s="28">
        <f>SUM(I1262:I1267)</f>
        <v>12.2</v>
      </c>
      <c r="J1268" s="28">
        <f>SUM(J1261:J1267)</f>
        <v>7.7</v>
      </c>
      <c r="K1268" s="28">
        <f t="shared" ref="K1268:V1268" si="406">SUM(K1261:K1267)</f>
        <v>0.9</v>
      </c>
      <c r="L1268" s="28">
        <f t="shared" si="406"/>
        <v>20.108709176877021</v>
      </c>
      <c r="M1268" s="28">
        <f t="shared" si="406"/>
        <v>9.5122963418383026</v>
      </c>
      <c r="N1268" s="28">
        <f t="shared" si="406"/>
        <v>0</v>
      </c>
      <c r="O1268" s="28">
        <f t="shared" si="406"/>
        <v>0</v>
      </c>
      <c r="P1268" s="28">
        <f t="shared" si="406"/>
        <v>0</v>
      </c>
      <c r="Q1268" s="28">
        <f t="shared" si="406"/>
        <v>0</v>
      </c>
      <c r="R1268" s="28">
        <f t="shared" si="406"/>
        <v>0</v>
      </c>
      <c r="S1268" s="28">
        <f t="shared" si="406"/>
        <v>0</v>
      </c>
      <c r="T1268" s="28">
        <f t="shared" si="406"/>
        <v>0</v>
      </c>
      <c r="U1268" s="28">
        <f t="shared" si="406"/>
        <v>0</v>
      </c>
      <c r="V1268" s="28">
        <f t="shared" si="406"/>
        <v>0</v>
      </c>
    </row>
    <row r="1269" spans="2:22">
      <c r="G1269"/>
    </row>
    <row r="1270" spans="2:22">
      <c r="B1270" s="407" t="s">
        <v>316</v>
      </c>
      <c r="G1270" s="17" t="s">
        <v>315</v>
      </c>
      <c r="I1270">
        <f t="shared" ref="I1270:V1270" si="407">I1268*Million*USD_IDR/Billion</f>
        <v>198.43299999999999</v>
      </c>
      <c r="J1270">
        <f t="shared" si="407"/>
        <v>125.2405</v>
      </c>
      <c r="K1270">
        <f t="shared" si="407"/>
        <v>14.638500000000001</v>
      </c>
      <c r="L1270">
        <f t="shared" si="407"/>
        <v>327.06815476190479</v>
      </c>
      <c r="M1270">
        <f t="shared" si="407"/>
        <v>154.71749999999997</v>
      </c>
      <c r="N1270">
        <f t="shared" si="407"/>
        <v>0</v>
      </c>
      <c r="O1270">
        <f t="shared" si="407"/>
        <v>0</v>
      </c>
      <c r="P1270">
        <f t="shared" si="407"/>
        <v>0</v>
      </c>
      <c r="Q1270">
        <f t="shared" si="407"/>
        <v>0</v>
      </c>
      <c r="R1270">
        <f t="shared" si="407"/>
        <v>0</v>
      </c>
      <c r="S1270">
        <f t="shared" si="407"/>
        <v>0</v>
      </c>
      <c r="T1270">
        <f t="shared" si="407"/>
        <v>0</v>
      </c>
      <c r="U1270">
        <f t="shared" si="407"/>
        <v>0</v>
      </c>
      <c r="V1270">
        <f t="shared" si="407"/>
        <v>0</v>
      </c>
    </row>
    <row r="1271" spans="2:22">
      <c r="G1271"/>
    </row>
    <row r="1272" spans="2:22">
      <c r="B1272" t="s">
        <v>195</v>
      </c>
      <c r="G1272"/>
      <c r="J1272">
        <f>I1275</f>
        <v>826.02231893299631</v>
      </c>
      <c r="K1272">
        <f t="shared" ref="K1272:V1272" si="408">J1275</f>
        <v>862.889756524061</v>
      </c>
      <c r="L1272">
        <f t="shared" si="408"/>
        <v>763.92857134205951</v>
      </c>
      <c r="M1272">
        <f t="shared" si="408"/>
        <v>956.02892220085164</v>
      </c>
      <c r="N1272">
        <f t="shared" si="408"/>
        <v>973.80508051364302</v>
      </c>
      <c r="O1272">
        <f t="shared" si="408"/>
        <v>829.60665045030703</v>
      </c>
      <c r="P1272">
        <f t="shared" si="408"/>
        <v>683.39948829332116</v>
      </c>
      <c r="Q1272">
        <f t="shared" si="408"/>
        <v>537.18341940081245</v>
      </c>
      <c r="R1272">
        <f t="shared" si="408"/>
        <v>390.95826563807043</v>
      </c>
      <c r="S1272">
        <f t="shared" si="408"/>
        <v>242.72384530769042</v>
      </c>
      <c r="T1272">
        <f t="shared" si="408"/>
        <v>94.479973078319688</v>
      </c>
      <c r="U1272">
        <f t="shared" si="408"/>
        <v>-48.235694849926375</v>
      </c>
      <c r="V1272">
        <f t="shared" si="408"/>
        <v>-190.9611965338824</v>
      </c>
    </row>
    <row r="1273" spans="2:22">
      <c r="B1273" t="s">
        <v>58</v>
      </c>
      <c r="G1273"/>
      <c r="J1273">
        <f>J1270</f>
        <v>125.2405</v>
      </c>
      <c r="K1273">
        <f t="shared" ref="K1273:V1273" si="409">K1270</f>
        <v>14.638500000000001</v>
      </c>
      <c r="L1273">
        <f t="shared" si="409"/>
        <v>327.06815476190479</v>
      </c>
      <c r="M1273">
        <f t="shared" si="409"/>
        <v>154.71749999999997</v>
      </c>
      <c r="N1273">
        <f t="shared" si="409"/>
        <v>0</v>
      </c>
      <c r="O1273">
        <f t="shared" si="409"/>
        <v>0</v>
      </c>
      <c r="P1273">
        <f t="shared" si="409"/>
        <v>0</v>
      </c>
      <c r="Q1273">
        <f t="shared" si="409"/>
        <v>0</v>
      </c>
      <c r="R1273">
        <f t="shared" si="409"/>
        <v>0</v>
      </c>
      <c r="S1273">
        <f t="shared" si="409"/>
        <v>0</v>
      </c>
      <c r="T1273">
        <f t="shared" si="409"/>
        <v>0</v>
      </c>
      <c r="U1273">
        <f t="shared" si="409"/>
        <v>0</v>
      </c>
      <c r="V1273">
        <f t="shared" si="409"/>
        <v>0</v>
      </c>
    </row>
    <row r="1274" spans="2:22">
      <c r="B1274" t="s">
        <v>317</v>
      </c>
      <c r="G1274"/>
      <c r="J1274">
        <f>Output_FSL!J51</f>
        <v>-88.373062408935311</v>
      </c>
      <c r="K1274">
        <f>Output_FSL!K51</f>
        <v>-113.59968518200156</v>
      </c>
      <c r="L1274">
        <f>Output_FSL!L51</f>
        <v>-134.96780390311255</v>
      </c>
      <c r="M1274">
        <f>Output_FSL!M51</f>
        <v>-136.94134168720862</v>
      </c>
      <c r="N1274">
        <f>Output_FSL!N51</f>
        <v>-144.19843006333596</v>
      </c>
      <c r="O1274">
        <f>Output_FSL!O51</f>
        <v>-146.20716215698582</v>
      </c>
      <c r="P1274">
        <f>Output_FSL!P51</f>
        <v>-146.2160688925087</v>
      </c>
      <c r="Q1274">
        <f>Output_FSL!Q51</f>
        <v>-146.225153762742</v>
      </c>
      <c r="R1274">
        <f>Output_FSL!R51</f>
        <v>-148.23442033038</v>
      </c>
      <c r="S1274">
        <f>Output_FSL!S51</f>
        <v>-148.24387222937074</v>
      </c>
      <c r="T1274">
        <f>Output_FSL!T51</f>
        <v>-142.71566792824606</v>
      </c>
      <c r="U1274">
        <f>Output_FSL!U51</f>
        <v>-142.72550168395603</v>
      </c>
      <c r="V1274">
        <f>Output_FSL!V51</f>
        <v>-142.7355321147802</v>
      </c>
    </row>
    <row r="1275" spans="2:22">
      <c r="B1275" s="28" t="s">
        <v>60</v>
      </c>
      <c r="C1275" s="28"/>
      <c r="D1275" s="28"/>
      <c r="E1275" s="28"/>
      <c r="F1275" s="28"/>
      <c r="G1275" s="28"/>
      <c r="H1275" s="28"/>
      <c r="I1275" s="28">
        <f>Output_FSL!I98</f>
        <v>826.02231893299631</v>
      </c>
      <c r="J1275" s="28">
        <f>SUM(J1272:J1274)</f>
        <v>862.889756524061</v>
      </c>
      <c r="K1275" s="28">
        <f t="shared" ref="K1275:V1275" si="410">SUM(K1272:K1274)</f>
        <v>763.92857134205951</v>
      </c>
      <c r="L1275" s="28">
        <f t="shared" si="410"/>
        <v>956.02892220085164</v>
      </c>
      <c r="M1275" s="28">
        <f t="shared" si="410"/>
        <v>973.80508051364302</v>
      </c>
      <c r="N1275" s="28">
        <f t="shared" si="410"/>
        <v>829.60665045030703</v>
      </c>
      <c r="O1275" s="28">
        <f t="shared" si="410"/>
        <v>683.39948829332116</v>
      </c>
      <c r="P1275" s="28">
        <f t="shared" si="410"/>
        <v>537.18341940081245</v>
      </c>
      <c r="Q1275" s="28">
        <f t="shared" si="410"/>
        <v>390.95826563807043</v>
      </c>
      <c r="R1275" s="28">
        <f t="shared" si="410"/>
        <v>242.72384530769042</v>
      </c>
      <c r="S1275" s="28">
        <f t="shared" si="410"/>
        <v>94.479973078319688</v>
      </c>
      <c r="T1275" s="28">
        <f t="shared" si="410"/>
        <v>-48.235694849926375</v>
      </c>
      <c r="U1275" s="28">
        <f t="shared" si="410"/>
        <v>-190.9611965338824</v>
      </c>
      <c r="V1275" s="28">
        <f t="shared" si="410"/>
        <v>-333.6967286486626</v>
      </c>
    </row>
    <row r="1276" spans="2:22">
      <c r="G1276"/>
    </row>
    <row r="1277" spans="2:22" ht="24" thickBot="1">
      <c r="B1277" s="14" t="s">
        <v>319</v>
      </c>
      <c r="C1277" s="14"/>
      <c r="D1277" s="14"/>
      <c r="E1277" s="14"/>
      <c r="F1277" s="14"/>
      <c r="G1277" s="14"/>
      <c r="H1277" s="14"/>
      <c r="I1277" s="14"/>
      <c r="J1277" s="14" t="s">
        <v>313</v>
      </c>
      <c r="K1277" s="14"/>
      <c r="L1277" s="14"/>
      <c r="M1277" s="14"/>
      <c r="N1277" s="14"/>
      <c r="O1277" s="14"/>
      <c r="P1277" s="14"/>
      <c r="Q1277" s="14"/>
      <c r="R1277" s="14"/>
      <c r="S1277" s="14"/>
      <c r="T1277" s="14"/>
      <c r="U1277" s="14"/>
      <c r="V1277" s="14"/>
    </row>
    <row r="1278" spans="2:22">
      <c r="G1278"/>
    </row>
    <row r="1279" spans="2:22">
      <c r="B1279" s="407" t="s">
        <v>320</v>
      </c>
      <c r="G1279" s="17" t="s">
        <v>176</v>
      </c>
      <c r="J1279" s="57"/>
      <c r="K1279" s="57">
        <v>55</v>
      </c>
      <c r="L1279" s="57">
        <v>55</v>
      </c>
      <c r="M1279" s="57"/>
      <c r="N1279" s="57"/>
      <c r="O1279" s="57"/>
      <c r="P1279" s="57"/>
      <c r="Q1279" s="57"/>
      <c r="R1279" s="57"/>
      <c r="S1279" s="57"/>
      <c r="T1279" s="57"/>
      <c r="U1279" s="57"/>
      <c r="V1279" s="57"/>
    </row>
    <row r="1280" spans="2:22">
      <c r="B1280" s="407" t="s">
        <v>673</v>
      </c>
      <c r="F1280" s="231">
        <f>'Call Rights'!E59</f>
        <v>4</v>
      </c>
      <c r="G1280" s="17" t="s">
        <v>176</v>
      </c>
      <c r="J1280" s="98" t="e">
        <f>INDEX(J1281:J1283,$F$1280,0)</f>
        <v>#REF!</v>
      </c>
      <c r="K1280" s="98" t="e">
        <f t="shared" ref="K1280:V1280" si="411">INDEX(K1281:K1283,$F$1280,0)</f>
        <v>#REF!</v>
      </c>
      <c r="L1280" s="98" t="e">
        <f t="shared" si="411"/>
        <v>#REF!</v>
      </c>
      <c r="M1280" s="98" t="e">
        <f t="shared" si="411"/>
        <v>#REF!</v>
      </c>
      <c r="N1280" s="98" t="e">
        <f t="shared" si="411"/>
        <v>#REF!</v>
      </c>
      <c r="O1280" s="98" t="e">
        <f t="shared" si="411"/>
        <v>#REF!</v>
      </c>
      <c r="P1280" s="98" t="e">
        <f t="shared" si="411"/>
        <v>#REF!</v>
      </c>
      <c r="Q1280" s="98" t="e">
        <f t="shared" si="411"/>
        <v>#REF!</v>
      </c>
      <c r="R1280" s="98" t="e">
        <f t="shared" si="411"/>
        <v>#REF!</v>
      </c>
      <c r="S1280" s="98" t="e">
        <f t="shared" si="411"/>
        <v>#REF!</v>
      </c>
      <c r="T1280" s="98" t="e">
        <f t="shared" si="411"/>
        <v>#REF!</v>
      </c>
      <c r="U1280" s="98" t="e">
        <f t="shared" si="411"/>
        <v>#REF!</v>
      </c>
      <c r="V1280" s="98" t="e">
        <f t="shared" si="411"/>
        <v>#REF!</v>
      </c>
    </row>
    <row r="1281" spans="2:22">
      <c r="B1281" s="407" t="s">
        <v>172</v>
      </c>
      <c r="J1281" s="57"/>
      <c r="K1281" s="57">
        <v>25</v>
      </c>
      <c r="L1281" s="57"/>
      <c r="M1281" s="57"/>
      <c r="N1281" s="57"/>
      <c r="O1281" s="57"/>
      <c r="P1281" s="57"/>
      <c r="Q1281" s="57"/>
      <c r="R1281" s="57"/>
      <c r="S1281" s="57"/>
      <c r="T1281" s="57"/>
      <c r="U1281" s="57"/>
      <c r="V1281" s="57"/>
    </row>
    <row r="1282" spans="2:22">
      <c r="B1282" s="407" t="s">
        <v>88</v>
      </c>
      <c r="H1282" s="407" t="s">
        <v>674</v>
      </c>
      <c r="J1282" s="57"/>
      <c r="K1282" s="57">
        <v>25</v>
      </c>
      <c r="L1282" s="57"/>
      <c r="M1282" s="57"/>
      <c r="N1282" s="57">
        <f>85*(1+5.75%)</f>
        <v>89.887500000000003</v>
      </c>
      <c r="O1282" s="57"/>
      <c r="P1282" s="57"/>
      <c r="Q1282" s="57"/>
      <c r="R1282" s="57"/>
      <c r="S1282" s="57"/>
      <c r="T1282" s="57"/>
      <c r="U1282" s="57"/>
      <c r="V1282" s="57"/>
    </row>
    <row r="1283" spans="2:22">
      <c r="B1283" s="407" t="s">
        <v>89</v>
      </c>
      <c r="H1283" s="407"/>
      <c r="J1283" s="57"/>
      <c r="K1283" s="57">
        <v>55</v>
      </c>
      <c r="L1283" s="57">
        <v>55</v>
      </c>
      <c r="M1283" s="57"/>
      <c r="N1283" s="57"/>
      <c r="O1283" s="57"/>
      <c r="P1283" s="57"/>
      <c r="Q1283" s="57"/>
      <c r="R1283" s="57"/>
      <c r="S1283" s="57"/>
      <c r="T1283" s="57"/>
      <c r="U1283" s="57"/>
      <c r="V1283" s="57"/>
    </row>
    <row r="1284" spans="2:22">
      <c r="B1284" s="407"/>
      <c r="H1284" s="407"/>
    </row>
    <row r="1285" spans="2:22">
      <c r="B1285" s="407" t="s">
        <v>320</v>
      </c>
      <c r="G1285" s="17" t="s">
        <v>315</v>
      </c>
      <c r="J1285">
        <f>'Call Rights'!J48*Million*USD_IDR/Billion</f>
        <v>0</v>
      </c>
      <c r="K1285">
        <f>'Call Rights'!K48*Million*USD_IDR/Billion</f>
        <v>0</v>
      </c>
      <c r="L1285">
        <f>'Call Rights'!L48*Million*USD_IDR/Billion</f>
        <v>419.77202976190478</v>
      </c>
      <c r="M1285">
        <f>'Call Rights'!M48*Million*USD_IDR/Billion</f>
        <v>160.003625</v>
      </c>
      <c r="N1285">
        <f>'Call Rights'!N48*Million*USD_IDR/Billion</f>
        <v>0</v>
      </c>
      <c r="O1285">
        <f>'Call Rights'!O48*Million*USD_IDR/Billion</f>
        <v>0</v>
      </c>
      <c r="P1285">
        <f>'Call Rights'!P48*Million*USD_IDR/Billion</f>
        <v>0</v>
      </c>
      <c r="Q1285">
        <f>'Call Rights'!Q48*Million*USD_IDR/Billion</f>
        <v>0</v>
      </c>
      <c r="R1285">
        <f>'Call Rights'!R48*Million*USD_IDR/Billion</f>
        <v>0</v>
      </c>
      <c r="S1285">
        <f>'Call Rights'!S48*Million*USD_IDR/Billion</f>
        <v>0</v>
      </c>
      <c r="T1285">
        <f>'Call Rights'!T48*Million*USD_IDR/Billion</f>
        <v>0</v>
      </c>
      <c r="U1285">
        <f>'Call Rights'!U48*Million*USD_IDR/Billion</f>
        <v>0</v>
      </c>
      <c r="V1285">
        <f>'Call Rights'!V48*Million*USD_IDR/Billion</f>
        <v>0</v>
      </c>
    </row>
    <row r="1286" spans="2:22">
      <c r="G1286"/>
    </row>
    <row r="1287" spans="2:22">
      <c r="B1287" s="407" t="s">
        <v>321</v>
      </c>
      <c r="G1287" s="17" t="s">
        <v>176</v>
      </c>
      <c r="J1287" s="57"/>
      <c r="K1287" s="57"/>
      <c r="L1287" s="57"/>
      <c r="M1287" s="57"/>
      <c r="N1287" s="57"/>
      <c r="O1287" s="57">
        <v>20</v>
      </c>
      <c r="P1287" s="57"/>
      <c r="Q1287" s="57">
        <v>20</v>
      </c>
      <c r="R1287" s="57"/>
      <c r="S1287" s="57"/>
      <c r="T1287" s="57"/>
      <c r="U1287" s="57"/>
      <c r="V1287" s="57"/>
    </row>
    <row r="1288" spans="2:22">
      <c r="G1288"/>
    </row>
    <row r="1289" spans="2:22">
      <c r="B1289" s="2" t="s">
        <v>322</v>
      </c>
      <c r="G1289"/>
    </row>
    <row r="1290" spans="2:22">
      <c r="B1290" s="407" t="s">
        <v>57</v>
      </c>
      <c r="G1290"/>
      <c r="J1290">
        <f>I1292</f>
        <v>677.73059999999998</v>
      </c>
      <c r="K1290">
        <f t="shared" ref="K1290:V1290" si="412">J1292</f>
        <v>677.73059999999998</v>
      </c>
      <c r="L1290">
        <f t="shared" si="412"/>
        <v>677.73059999999998</v>
      </c>
      <c r="M1290">
        <f t="shared" si="412"/>
        <v>1097.5026297619047</v>
      </c>
      <c r="N1290">
        <f t="shared" si="412"/>
        <v>1257.5062547619048</v>
      </c>
      <c r="O1290">
        <f t="shared" si="412"/>
        <v>1257.5062547619048</v>
      </c>
      <c r="P1290">
        <f t="shared" si="412"/>
        <v>1257.5062547619048</v>
      </c>
      <c r="Q1290">
        <f t="shared" si="412"/>
        <v>1257.5062547619048</v>
      </c>
      <c r="R1290">
        <f t="shared" si="412"/>
        <v>1257.5062547619048</v>
      </c>
      <c r="S1290">
        <f t="shared" si="412"/>
        <v>1257.5062547619048</v>
      </c>
      <c r="T1290">
        <f t="shared" si="412"/>
        <v>1257.5062547619048</v>
      </c>
      <c r="U1290">
        <f t="shared" si="412"/>
        <v>1257.5062547619048</v>
      </c>
      <c r="V1290">
        <f t="shared" si="412"/>
        <v>1257.5062547619048</v>
      </c>
    </row>
    <row r="1291" spans="2:22">
      <c r="B1291" s="407" t="s">
        <v>58</v>
      </c>
      <c r="G1291"/>
      <c r="J1291">
        <f>J1285</f>
        <v>0</v>
      </c>
      <c r="K1291">
        <f t="shared" ref="K1291:V1291" si="413">K1285</f>
        <v>0</v>
      </c>
      <c r="L1291">
        <f t="shared" si="413"/>
        <v>419.77202976190478</v>
      </c>
      <c r="M1291">
        <f t="shared" si="413"/>
        <v>160.003625</v>
      </c>
      <c r="N1291">
        <f t="shared" si="413"/>
        <v>0</v>
      </c>
      <c r="O1291">
        <f t="shared" si="413"/>
        <v>0</v>
      </c>
      <c r="P1291">
        <f t="shared" si="413"/>
        <v>0</v>
      </c>
      <c r="Q1291">
        <f t="shared" si="413"/>
        <v>0</v>
      </c>
      <c r="R1291">
        <f t="shared" si="413"/>
        <v>0</v>
      </c>
      <c r="S1291">
        <f t="shared" si="413"/>
        <v>0</v>
      </c>
      <c r="T1291">
        <f t="shared" si="413"/>
        <v>0</v>
      </c>
      <c r="U1291">
        <f t="shared" si="413"/>
        <v>0</v>
      </c>
      <c r="V1291">
        <f t="shared" si="413"/>
        <v>0</v>
      </c>
    </row>
    <row r="1292" spans="2:22">
      <c r="B1292" s="407" t="s">
        <v>60</v>
      </c>
      <c r="G1292"/>
      <c r="I1292">
        <f>Output_FSL!I109</f>
        <v>677.73059999999998</v>
      </c>
      <c r="J1292">
        <f>SUM(J1290:J1291)</f>
        <v>677.73059999999998</v>
      </c>
      <c r="K1292">
        <f t="shared" ref="K1292:V1292" si="414">SUM(K1290:K1291)</f>
        <v>677.73059999999998</v>
      </c>
      <c r="L1292">
        <f t="shared" si="414"/>
        <v>1097.5026297619047</v>
      </c>
      <c r="M1292">
        <f t="shared" si="414"/>
        <v>1257.5062547619048</v>
      </c>
      <c r="N1292">
        <f t="shared" si="414"/>
        <v>1257.5062547619048</v>
      </c>
      <c r="O1292">
        <f t="shared" si="414"/>
        <v>1257.5062547619048</v>
      </c>
      <c r="P1292">
        <f t="shared" si="414"/>
        <v>1257.5062547619048</v>
      </c>
      <c r="Q1292">
        <f t="shared" si="414"/>
        <v>1257.5062547619048</v>
      </c>
      <c r="R1292">
        <f t="shared" si="414"/>
        <v>1257.5062547619048</v>
      </c>
      <c r="S1292">
        <f t="shared" si="414"/>
        <v>1257.5062547619048</v>
      </c>
      <c r="T1292">
        <f t="shared" si="414"/>
        <v>1257.5062547619048</v>
      </c>
      <c r="U1292">
        <f t="shared" si="414"/>
        <v>1257.5062547619048</v>
      </c>
      <c r="V1292">
        <f t="shared" si="414"/>
        <v>1257.5062547619048</v>
      </c>
    </row>
    <row r="1293" spans="2:22">
      <c r="G1293"/>
    </row>
    <row r="1294" spans="2:22" ht="24" thickBot="1">
      <c r="B1294" s="14" t="s">
        <v>323</v>
      </c>
      <c r="C1294" s="14"/>
      <c r="D1294" s="14"/>
      <c r="E1294" s="14"/>
      <c r="F1294" s="14"/>
      <c r="G1294" s="14"/>
      <c r="H1294" s="14"/>
      <c r="I1294" s="14"/>
      <c r="J1294" s="14" t="s">
        <v>313</v>
      </c>
      <c r="K1294" s="14"/>
      <c r="L1294" s="14"/>
      <c r="M1294" s="14"/>
      <c r="N1294" s="14"/>
      <c r="O1294" s="14"/>
      <c r="P1294" s="14"/>
      <c r="Q1294" s="14"/>
      <c r="R1294" s="14"/>
      <c r="S1294" s="14"/>
      <c r="T1294" s="14"/>
      <c r="U1294" s="14"/>
      <c r="V1294" s="14"/>
    </row>
    <row r="1295" spans="2:22">
      <c r="G1295"/>
    </row>
    <row r="1296" spans="2:22">
      <c r="B1296" s="407" t="s">
        <v>320</v>
      </c>
      <c r="G1296" s="17" t="s">
        <v>176</v>
      </c>
      <c r="J1296" s="57"/>
      <c r="K1296" s="57">
        <v>12</v>
      </c>
      <c r="L1296" s="57"/>
      <c r="M1296" s="57"/>
      <c r="N1296" s="57"/>
      <c r="O1296" s="57"/>
      <c r="P1296" s="57"/>
      <c r="Q1296" s="57"/>
      <c r="R1296" s="57"/>
      <c r="S1296" s="57"/>
      <c r="T1296" s="57"/>
      <c r="U1296" s="57"/>
      <c r="V1296" s="57"/>
    </row>
    <row r="1297" spans="2:22">
      <c r="G1297"/>
    </row>
    <row r="1298" spans="2:22">
      <c r="B1298" s="407" t="s">
        <v>320</v>
      </c>
      <c r="G1298" s="17" t="s">
        <v>315</v>
      </c>
      <c r="J1298">
        <f t="shared" ref="J1298:V1298" si="415">J1296*Million*USD_IDR/Billion</f>
        <v>0</v>
      </c>
      <c r="K1298">
        <f t="shared" si="415"/>
        <v>195.18</v>
      </c>
      <c r="L1298">
        <f t="shared" si="415"/>
        <v>0</v>
      </c>
      <c r="M1298">
        <f t="shared" si="415"/>
        <v>0</v>
      </c>
      <c r="N1298">
        <f t="shared" si="415"/>
        <v>0</v>
      </c>
      <c r="O1298">
        <f t="shared" si="415"/>
        <v>0</v>
      </c>
      <c r="P1298">
        <f t="shared" si="415"/>
        <v>0</v>
      </c>
      <c r="Q1298">
        <f t="shared" si="415"/>
        <v>0</v>
      </c>
      <c r="R1298">
        <f t="shared" si="415"/>
        <v>0</v>
      </c>
      <c r="S1298">
        <f t="shared" si="415"/>
        <v>0</v>
      </c>
      <c r="T1298">
        <f t="shared" si="415"/>
        <v>0</v>
      </c>
      <c r="U1298">
        <f t="shared" si="415"/>
        <v>0</v>
      </c>
      <c r="V1298">
        <f t="shared" si="415"/>
        <v>0</v>
      </c>
    </row>
    <row r="1299" spans="2:22">
      <c r="G1299"/>
    </row>
    <row r="1300" spans="2:22">
      <c r="B1300" s="407" t="s">
        <v>57</v>
      </c>
      <c r="G1300"/>
      <c r="J1300">
        <f>I1302</f>
        <v>224.51846524876009</v>
      </c>
      <c r="K1300">
        <f>J1302</f>
        <v>195.18</v>
      </c>
      <c r="L1300">
        <f t="shared" ref="L1300:V1300" si="416">K1302</f>
        <v>0</v>
      </c>
      <c r="M1300">
        <f t="shared" si="416"/>
        <v>0</v>
      </c>
      <c r="N1300">
        <f t="shared" si="416"/>
        <v>0</v>
      </c>
      <c r="O1300">
        <f t="shared" si="416"/>
        <v>0</v>
      </c>
      <c r="P1300">
        <f t="shared" si="416"/>
        <v>0</v>
      </c>
      <c r="Q1300">
        <f t="shared" si="416"/>
        <v>0</v>
      </c>
      <c r="R1300">
        <f t="shared" si="416"/>
        <v>0</v>
      </c>
      <c r="S1300">
        <f t="shared" si="416"/>
        <v>0</v>
      </c>
      <c r="T1300">
        <f t="shared" si="416"/>
        <v>0</v>
      </c>
      <c r="U1300">
        <f t="shared" si="416"/>
        <v>0</v>
      </c>
      <c r="V1300">
        <f t="shared" si="416"/>
        <v>0</v>
      </c>
    </row>
    <row r="1301" spans="2:22">
      <c r="B1301" s="407" t="s">
        <v>67</v>
      </c>
      <c r="G1301"/>
      <c r="J1301" s="57">
        <f>-(J1300-K1298)</f>
        <v>-29.338465248760087</v>
      </c>
      <c r="K1301">
        <f>-K1298</f>
        <v>-195.18</v>
      </c>
      <c r="L1301">
        <f t="shared" ref="L1301:V1301" si="417">-L1298</f>
        <v>0</v>
      </c>
      <c r="M1301">
        <f t="shared" si="417"/>
        <v>0</v>
      </c>
      <c r="N1301">
        <f t="shared" si="417"/>
        <v>0</v>
      </c>
      <c r="O1301">
        <f t="shared" si="417"/>
        <v>0</v>
      </c>
      <c r="P1301">
        <f t="shared" si="417"/>
        <v>0</v>
      </c>
      <c r="Q1301">
        <f t="shared" si="417"/>
        <v>0</v>
      </c>
      <c r="R1301">
        <f t="shared" si="417"/>
        <v>0</v>
      </c>
      <c r="S1301">
        <f t="shared" si="417"/>
        <v>0</v>
      </c>
      <c r="T1301">
        <f t="shared" si="417"/>
        <v>0</v>
      </c>
      <c r="U1301">
        <f t="shared" si="417"/>
        <v>0</v>
      </c>
      <c r="V1301">
        <f t="shared" si="417"/>
        <v>0</v>
      </c>
    </row>
    <row r="1302" spans="2:22">
      <c r="B1302" s="407" t="s">
        <v>60</v>
      </c>
      <c r="G1302"/>
      <c r="I1302">
        <f>Output_FSL!I104</f>
        <v>224.51846524876009</v>
      </c>
      <c r="J1302">
        <f>SUM(J1300:J1301)</f>
        <v>195.18</v>
      </c>
      <c r="K1302">
        <f>SUM(K1300:K1301)</f>
        <v>0</v>
      </c>
      <c r="L1302">
        <f t="shared" ref="L1302:V1302" si="418">SUM(L1300:L1301)</f>
        <v>0</v>
      </c>
      <c r="M1302">
        <f t="shared" si="418"/>
        <v>0</v>
      </c>
      <c r="N1302">
        <f t="shared" si="418"/>
        <v>0</v>
      </c>
      <c r="O1302">
        <f t="shared" si="418"/>
        <v>0</v>
      </c>
      <c r="P1302">
        <f t="shared" si="418"/>
        <v>0</v>
      </c>
      <c r="Q1302">
        <f t="shared" si="418"/>
        <v>0</v>
      </c>
      <c r="R1302">
        <f t="shared" si="418"/>
        <v>0</v>
      </c>
      <c r="S1302">
        <f t="shared" si="418"/>
        <v>0</v>
      </c>
      <c r="T1302">
        <f t="shared" si="418"/>
        <v>0</v>
      </c>
      <c r="U1302">
        <f t="shared" si="418"/>
        <v>0</v>
      </c>
      <c r="V1302">
        <f t="shared" si="418"/>
        <v>0</v>
      </c>
    </row>
    <row r="1303" spans="2:22">
      <c r="G1303"/>
    </row>
    <row r="1304" spans="2:22" ht="24" thickBot="1">
      <c r="B1304" s="14" t="s">
        <v>39</v>
      </c>
      <c r="C1304" s="14"/>
      <c r="D1304" s="14"/>
      <c r="E1304" s="14"/>
      <c r="F1304" s="14"/>
      <c r="G1304" s="14"/>
      <c r="H1304" s="14"/>
      <c r="I1304" s="14"/>
      <c r="J1304" s="14" t="s">
        <v>313</v>
      </c>
      <c r="K1304" s="14"/>
      <c r="L1304" s="14"/>
      <c r="M1304" s="14"/>
      <c r="N1304" s="14"/>
      <c r="O1304" s="14"/>
      <c r="P1304" s="14"/>
      <c r="Q1304" s="14"/>
      <c r="R1304" s="14"/>
      <c r="S1304" s="14"/>
      <c r="T1304" s="14"/>
      <c r="U1304" s="14"/>
      <c r="V1304" s="14"/>
    </row>
    <row r="1305" spans="2:22">
      <c r="G1305"/>
    </row>
    <row r="1306" spans="2:22">
      <c r="B1306" s="407" t="s">
        <v>324</v>
      </c>
      <c r="G1306" s="17" t="s">
        <v>315</v>
      </c>
      <c r="J1306">
        <f>J1270</f>
        <v>125.2405</v>
      </c>
      <c r="K1306">
        <f t="shared" ref="K1306:V1306" si="419">K1270</f>
        <v>14.638500000000001</v>
      </c>
      <c r="L1306">
        <f t="shared" si="419"/>
        <v>327.06815476190479</v>
      </c>
      <c r="M1306">
        <f t="shared" si="419"/>
        <v>154.71749999999997</v>
      </c>
      <c r="N1306">
        <f t="shared" si="419"/>
        <v>0</v>
      </c>
      <c r="O1306">
        <f t="shared" si="419"/>
        <v>0</v>
      </c>
      <c r="P1306">
        <f t="shared" si="419"/>
        <v>0</v>
      </c>
      <c r="Q1306">
        <f t="shared" si="419"/>
        <v>0</v>
      </c>
      <c r="R1306">
        <f t="shared" si="419"/>
        <v>0</v>
      </c>
      <c r="S1306">
        <f t="shared" si="419"/>
        <v>0</v>
      </c>
      <c r="T1306">
        <f t="shared" si="419"/>
        <v>0</v>
      </c>
      <c r="U1306">
        <f t="shared" si="419"/>
        <v>0</v>
      </c>
      <c r="V1306">
        <f t="shared" si="419"/>
        <v>0</v>
      </c>
    </row>
    <row r="1308" spans="2:22">
      <c r="B1308" s="407" t="s">
        <v>48</v>
      </c>
      <c r="F1308" s="39">
        <v>1</v>
      </c>
      <c r="G1308" s="17" t="s">
        <v>325</v>
      </c>
      <c r="J1308">
        <f>J1306*$F$1308</f>
        <v>125.2405</v>
      </c>
      <c r="K1308">
        <f t="shared" ref="K1308:V1308" si="420">K1306*$F$1308</f>
        <v>14.638500000000001</v>
      </c>
      <c r="L1308">
        <f t="shared" si="420"/>
        <v>327.06815476190479</v>
      </c>
      <c r="M1308">
        <f t="shared" si="420"/>
        <v>154.71749999999997</v>
      </c>
      <c r="N1308">
        <f t="shared" si="420"/>
        <v>0</v>
      </c>
      <c r="O1308">
        <f t="shared" si="420"/>
        <v>0</v>
      </c>
      <c r="P1308">
        <f t="shared" si="420"/>
        <v>0</v>
      </c>
      <c r="Q1308">
        <f t="shared" si="420"/>
        <v>0</v>
      </c>
      <c r="R1308">
        <f t="shared" si="420"/>
        <v>0</v>
      </c>
      <c r="S1308">
        <f t="shared" si="420"/>
        <v>0</v>
      </c>
      <c r="T1308">
        <f t="shared" si="420"/>
        <v>0</v>
      </c>
      <c r="U1308">
        <f t="shared" si="420"/>
        <v>0</v>
      </c>
      <c r="V1308">
        <f t="shared" si="420"/>
        <v>0</v>
      </c>
    </row>
    <row r="1309" spans="2:22">
      <c r="B1309" s="407" t="s">
        <v>47</v>
      </c>
      <c r="F1309">
        <f>100%-F1308</f>
        <v>0</v>
      </c>
      <c r="G1309" s="17" t="s">
        <v>325</v>
      </c>
      <c r="J1309">
        <f>J1306*$F$1309</f>
        <v>0</v>
      </c>
      <c r="K1309">
        <f t="shared" ref="K1309:V1309" si="421">K1306*$F$1309</f>
        <v>0</v>
      </c>
      <c r="L1309">
        <f t="shared" si="421"/>
        <v>0</v>
      </c>
      <c r="M1309">
        <f t="shared" si="421"/>
        <v>0</v>
      </c>
      <c r="N1309">
        <f t="shared" si="421"/>
        <v>0</v>
      </c>
      <c r="O1309">
        <f t="shared" si="421"/>
        <v>0</v>
      </c>
      <c r="P1309">
        <f t="shared" si="421"/>
        <v>0</v>
      </c>
      <c r="Q1309">
        <f t="shared" si="421"/>
        <v>0</v>
      </c>
      <c r="R1309">
        <f t="shared" si="421"/>
        <v>0</v>
      </c>
      <c r="S1309">
        <f t="shared" si="421"/>
        <v>0</v>
      </c>
      <c r="T1309">
        <f t="shared" si="421"/>
        <v>0</v>
      </c>
      <c r="U1309">
        <f t="shared" si="421"/>
        <v>0</v>
      </c>
      <c r="V1309">
        <f t="shared" si="421"/>
        <v>0</v>
      </c>
    </row>
    <row r="1310" spans="2:22">
      <c r="B1310" s="28" t="s">
        <v>326</v>
      </c>
      <c r="C1310" s="28"/>
      <c r="D1310" s="28"/>
      <c r="E1310" s="28"/>
      <c r="F1310" s="28"/>
      <c r="G1310" s="28"/>
      <c r="H1310" s="28"/>
      <c r="I1310" s="28"/>
      <c r="J1310" s="28">
        <f>SUM(J1308:J1309)</f>
        <v>125.2405</v>
      </c>
      <c r="K1310" s="28">
        <f t="shared" ref="K1310:V1310" si="422">SUM(K1308:K1309)</f>
        <v>14.638500000000001</v>
      </c>
      <c r="L1310" s="28">
        <f t="shared" si="422"/>
        <v>327.06815476190479</v>
      </c>
      <c r="M1310" s="28">
        <f t="shared" si="422"/>
        <v>154.71749999999997</v>
      </c>
      <c r="N1310" s="28">
        <f t="shared" si="422"/>
        <v>0</v>
      </c>
      <c r="O1310" s="28">
        <f t="shared" si="422"/>
        <v>0</v>
      </c>
      <c r="P1310" s="28">
        <f t="shared" si="422"/>
        <v>0</v>
      </c>
      <c r="Q1310" s="28">
        <f t="shared" si="422"/>
        <v>0</v>
      </c>
      <c r="R1310" s="28">
        <f t="shared" si="422"/>
        <v>0</v>
      </c>
      <c r="S1310" s="28">
        <f t="shared" si="422"/>
        <v>0</v>
      </c>
      <c r="T1310" s="28">
        <f t="shared" si="422"/>
        <v>0</v>
      </c>
      <c r="U1310" s="28">
        <f t="shared" si="422"/>
        <v>0</v>
      </c>
      <c r="V1310" s="28">
        <f t="shared" si="422"/>
        <v>0</v>
      </c>
    </row>
    <row r="1312" spans="2:22" ht="15.75">
      <c r="B1312" s="15" t="s">
        <v>327</v>
      </c>
      <c r="G1312"/>
    </row>
    <row r="1313" spans="2:22">
      <c r="G1313"/>
    </row>
    <row r="1314" spans="2:22">
      <c r="B1314" t="s">
        <v>328</v>
      </c>
      <c r="G1314"/>
      <c r="J1314">
        <f>Output_FSL!J87</f>
        <v>60.638905050279995</v>
      </c>
      <c r="K1314">
        <f>Output_FSL!K87</f>
        <v>31.366562544943093</v>
      </c>
      <c r="L1314">
        <f>Output_FSL!L87</f>
        <v>3</v>
      </c>
      <c r="M1314">
        <f>Output_FSL!M87</f>
        <v>244.09774259633423</v>
      </c>
      <c r="N1314">
        <f>Output_FSL!N87</f>
        <v>542.02794862989776</v>
      </c>
      <c r="O1314">
        <f>Output_FSL!O87</f>
        <v>877.01778754869122</v>
      </c>
      <c r="P1314">
        <f>Output_FSL!P87</f>
        <v>1244.2405121657516</v>
      </c>
      <c r="Q1314">
        <f>Output_FSL!Q87</f>
        <v>1628.385465591248</v>
      </c>
      <c r="R1314">
        <f>Output_FSL!R87</f>
        <v>2033.3280319894423</v>
      </c>
      <c r="S1314">
        <f>Output_FSL!S87</f>
        <v>2457.9696194316007</v>
      </c>
      <c r="T1314">
        <f>Output_FSL!T87</f>
        <v>2905.4086267547709</v>
      </c>
      <c r="U1314">
        <f>Output_FSL!U87</f>
        <v>3367.3742002924587</v>
      </c>
      <c r="V1314">
        <f>Output_FSL!V87</f>
        <v>3829.7885442290199</v>
      </c>
    </row>
    <row r="1315" spans="2:22">
      <c r="B1315" t="s">
        <v>329</v>
      </c>
      <c r="G1315"/>
      <c r="J1315">
        <f>SUM(Output_FSL!J73,Output_FSL!J78,Output_FSL!J81:J82)</f>
        <v>-22.939639976514684</v>
      </c>
      <c r="K1315">
        <f>SUM(Output_FSL!K73,Output_FSL!K78,Output_FSL!K81:K82)</f>
        <v>-11.348337336582574</v>
      </c>
      <c r="L1315">
        <f>SUM(Output_FSL!L73,Output_FSL!L78,Output_FSL!L81:L82)</f>
        <v>288.09603083799487</v>
      </c>
      <c r="M1315">
        <f>SUM(Output_FSL!M73,Output_FSL!M78,Output_FSL!M81:M82)</f>
        <v>364.23180474175592</v>
      </c>
      <c r="N1315">
        <f>SUM(Output_FSL!N73,Output_FSL!N78,Output_FSL!N81:N82)</f>
        <v>410.84243126471392</v>
      </c>
      <c r="O1315">
        <f>SUM(Output_FSL!O73,Output_FSL!O78,Output_FSL!O81:O82)</f>
        <v>455.21438751920954</v>
      </c>
      <c r="P1315">
        <f>SUM(Output_FSL!P73,Output_FSL!P78,Output_FSL!P81:P82)</f>
        <v>476.92924567224429</v>
      </c>
      <c r="Q1315">
        <f>SUM(Output_FSL!Q73,Output_FSL!Q78,Output_FSL!Q81:Q82)</f>
        <v>507.51530223378001</v>
      </c>
      <c r="R1315">
        <f>SUM(Output_FSL!R73,Output_FSL!R78,Output_FSL!R81:R82)</f>
        <v>532.75456870461926</v>
      </c>
      <c r="S1315">
        <f>SUM(Output_FSL!S73,Output_FSL!S78,Output_FSL!S81:S82)</f>
        <v>566.29306678443561</v>
      </c>
      <c r="T1315">
        <f>SUM(Output_FSL!T73,Output_FSL!T78,Output_FSL!T81:T82)</f>
        <v>586.8595200429063</v>
      </c>
      <c r="U1315">
        <f>SUM(Output_FSL!U73,Output_FSL!U78,Output_FSL!U81:U82)</f>
        <v>585.92038735596964</v>
      </c>
      <c r="V1315">
        <f>SUM(Output_FSL!V73,Output_FSL!V78,Output_FSL!V81:V82)</f>
        <v>600.29516996690575</v>
      </c>
    </row>
    <row r="1316" spans="2:22">
      <c r="B1316" t="s">
        <v>330</v>
      </c>
      <c r="F1316" s="95"/>
      <c r="G1316"/>
      <c r="J1316">
        <v>-3</v>
      </c>
      <c r="K1316">
        <v>-3</v>
      </c>
      <c r="L1316">
        <v>-3</v>
      </c>
      <c r="M1316">
        <v>-3</v>
      </c>
      <c r="N1316">
        <v>-3</v>
      </c>
      <c r="O1316">
        <v>-3</v>
      </c>
      <c r="P1316">
        <v>-3</v>
      </c>
      <c r="Q1316">
        <v>-3</v>
      </c>
      <c r="R1316">
        <v>-3</v>
      </c>
      <c r="S1316">
        <v>-3</v>
      </c>
      <c r="T1316">
        <v>-3</v>
      </c>
      <c r="U1316">
        <v>-3</v>
      </c>
      <c r="V1316">
        <v>-3</v>
      </c>
    </row>
    <row r="1317" spans="2:22">
      <c r="B1317" s="28" t="s">
        <v>331</v>
      </c>
      <c r="C1317" s="28"/>
      <c r="D1317" s="28"/>
      <c r="E1317" s="28"/>
      <c r="F1317" s="28"/>
      <c r="G1317" s="28"/>
      <c r="H1317" s="28"/>
      <c r="I1317" s="28"/>
      <c r="J1317" s="28">
        <f>MAX(SUM(J1314:J1316),0)</f>
        <v>34.699265073765311</v>
      </c>
      <c r="K1317" s="28">
        <f t="shared" ref="K1317:V1317" si="423">MAX(SUM(K1314:K1316),0)</f>
        <v>17.018225208360519</v>
      </c>
      <c r="L1317" s="28">
        <f t="shared" si="423"/>
        <v>288.09603083799487</v>
      </c>
      <c r="M1317" s="28">
        <f t="shared" si="423"/>
        <v>605.32954733809015</v>
      </c>
      <c r="N1317" s="28">
        <f t="shared" si="423"/>
        <v>949.87037989461169</v>
      </c>
      <c r="O1317" s="28">
        <f t="shared" si="423"/>
        <v>1329.2321750679007</v>
      </c>
      <c r="P1317" s="28">
        <f t="shared" si="423"/>
        <v>1718.1697578379958</v>
      </c>
      <c r="Q1317" s="28">
        <f t="shared" si="423"/>
        <v>2132.9007678250282</v>
      </c>
      <c r="R1317" s="28">
        <f t="shared" si="423"/>
        <v>2563.0826006940615</v>
      </c>
      <c r="S1317" s="28">
        <f t="shared" si="423"/>
        <v>3021.2626862160364</v>
      </c>
      <c r="T1317" s="28">
        <f t="shared" si="423"/>
        <v>3489.2681467976772</v>
      </c>
      <c r="U1317" s="28">
        <f t="shared" si="423"/>
        <v>3950.2945876484282</v>
      </c>
      <c r="V1317" s="28">
        <f t="shared" si="423"/>
        <v>4427.0837141959255</v>
      </c>
    </row>
    <row r="1318" spans="2:22">
      <c r="G1318"/>
      <c r="K1318" s="203">
        <f>K1317/USD_IDR*Thousands</f>
        <v>1.0463095732161403</v>
      </c>
    </row>
    <row r="1319" spans="2:22">
      <c r="G1319"/>
    </row>
    <row r="1320" spans="2:22" ht="15.75">
      <c r="B1320" s="15" t="s">
        <v>332</v>
      </c>
      <c r="G1320"/>
    </row>
    <row r="1321" spans="2:22">
      <c r="F1321" s="9">
        <v>2023</v>
      </c>
      <c r="G1321"/>
    </row>
    <row r="1322" spans="2:22">
      <c r="B1322" t="s">
        <v>322</v>
      </c>
      <c r="F1322" s="29">
        <f>18*Million*USD_IDR/Billion</f>
        <v>292.77</v>
      </c>
      <c r="G1322" s="96">
        <v>1</v>
      </c>
    </row>
    <row r="1323" spans="2:22">
      <c r="B1323" t="s">
        <v>333</v>
      </c>
      <c r="F1323" s="35">
        <v>0.2</v>
      </c>
      <c r="G1323"/>
      <c r="J1323">
        <f t="shared" ref="J1323:V1323" si="424">$F$1322*$F$1323*J12</f>
        <v>58.554000000000002</v>
      </c>
      <c r="K1323">
        <f t="shared" si="424"/>
        <v>58.554000000000002</v>
      </c>
      <c r="L1323">
        <f t="shared" si="424"/>
        <v>58.554000000000002</v>
      </c>
      <c r="M1323">
        <f t="shared" si="424"/>
        <v>58.554000000000002</v>
      </c>
      <c r="N1323">
        <f t="shared" si="424"/>
        <v>58.554000000000002</v>
      </c>
      <c r="O1323">
        <f t="shared" si="424"/>
        <v>58.554000000000002</v>
      </c>
      <c r="P1323">
        <f t="shared" si="424"/>
        <v>58.554000000000002</v>
      </c>
      <c r="Q1323">
        <f t="shared" si="424"/>
        <v>58.554000000000002</v>
      </c>
      <c r="R1323">
        <f t="shared" si="424"/>
        <v>58.554000000000002</v>
      </c>
      <c r="S1323">
        <f t="shared" si="424"/>
        <v>58.554000000000002</v>
      </c>
      <c r="T1323">
        <f t="shared" si="424"/>
        <v>58.554000000000002</v>
      </c>
      <c r="U1323">
        <f t="shared" si="424"/>
        <v>58.554000000000002</v>
      </c>
      <c r="V1323">
        <f t="shared" si="424"/>
        <v>58.554000000000002</v>
      </c>
    </row>
    <row r="1324" spans="2:22">
      <c r="G1324"/>
    </row>
    <row r="1325" spans="2:22">
      <c r="B1325" t="s">
        <v>334</v>
      </c>
      <c r="G1325"/>
      <c r="J1325">
        <f>Output_FSL!J58</f>
        <v>40.429223963838851</v>
      </c>
      <c r="K1325">
        <f>Output_FSL!K58</f>
        <v>100.67365608004286</v>
      </c>
      <c r="L1325">
        <f>Output_FSL!L58</f>
        <v>177.30303453656353</v>
      </c>
      <c r="M1325">
        <f>Output_FSL!M58</f>
        <v>242.59792204986115</v>
      </c>
      <c r="N1325">
        <f>Output_FSL!N58</f>
        <v>275.27982994306166</v>
      </c>
      <c r="O1325">
        <f>Output_FSL!O58</f>
        <v>317.81110277363678</v>
      </c>
      <c r="P1325">
        <f>Output_FSL!P58</f>
        <v>334.70818928269659</v>
      </c>
      <c r="Q1325">
        <f>Output_FSL!Q58</f>
        <v>368.27508062353434</v>
      </c>
      <c r="R1325">
        <f>Output_FSL!R58</f>
        <v>389.09118216934974</v>
      </c>
      <c r="S1325">
        <f>Output_FSL!S58</f>
        <v>425.91745082541524</v>
      </c>
      <c r="T1325">
        <f>Output_FSL!T58</f>
        <v>447.09118548568244</v>
      </c>
      <c r="U1325">
        <f>Output_FSL!U58</f>
        <v>443.5235099371418</v>
      </c>
      <c r="V1325">
        <f>Output_FSL!V58</f>
        <v>461.39925686193294</v>
      </c>
    </row>
    <row r="1326" spans="2:22">
      <c r="B1326" t="s">
        <v>335</v>
      </c>
      <c r="G1326"/>
      <c r="J1326">
        <f>Output_FSL!I60</f>
        <v>290.59201234880987</v>
      </c>
      <c r="K1326">
        <f>Output_FSL!J60</f>
        <v>331.02123631264874</v>
      </c>
      <c r="L1326">
        <f>Output_FSL!K60</f>
        <v>431.6948923926916</v>
      </c>
      <c r="M1326">
        <f>Output_FSL!L60</f>
        <v>608.99792692925507</v>
      </c>
      <c r="N1326">
        <f>Output_FSL!M60</f>
        <v>851.59584897911623</v>
      </c>
      <c r="O1326">
        <f>Output_FSL!N60</f>
        <v>1126.8756789221779</v>
      </c>
      <c r="P1326">
        <f>Output_FSL!O60</f>
        <v>1444.6867816958147</v>
      </c>
      <c r="Q1326">
        <f>Output_FSL!P60</f>
        <v>1779.3949709785113</v>
      </c>
      <c r="R1326">
        <f>Output_FSL!Q60</f>
        <v>2147.6700516020455</v>
      </c>
      <c r="S1326">
        <f>Output_FSL!R60</f>
        <v>2536.7612337713954</v>
      </c>
      <c r="T1326">
        <f>Output_FSL!S60</f>
        <v>2962.6786845968104</v>
      </c>
      <c r="U1326">
        <f>Output_FSL!T60</f>
        <v>3409.7698700824926</v>
      </c>
      <c r="V1326">
        <f>Output_FSL!U60</f>
        <v>3853.2933800196342</v>
      </c>
    </row>
    <row r="1327" spans="2:22">
      <c r="B1327" t="s">
        <v>336</v>
      </c>
      <c r="G1327"/>
      <c r="J1327">
        <f>-J1323</f>
        <v>-58.554000000000002</v>
      </c>
      <c r="K1327">
        <f t="shared" ref="K1327:V1327" si="425">-K1323</f>
        <v>-58.554000000000002</v>
      </c>
      <c r="L1327">
        <f t="shared" si="425"/>
        <v>-58.554000000000002</v>
      </c>
      <c r="M1327">
        <f t="shared" si="425"/>
        <v>-58.554000000000002</v>
      </c>
      <c r="N1327">
        <f t="shared" si="425"/>
        <v>-58.554000000000002</v>
      </c>
      <c r="O1327">
        <f t="shared" si="425"/>
        <v>-58.554000000000002</v>
      </c>
      <c r="P1327">
        <f t="shared" si="425"/>
        <v>-58.554000000000002</v>
      </c>
      <c r="Q1327">
        <f t="shared" si="425"/>
        <v>-58.554000000000002</v>
      </c>
      <c r="R1327">
        <f t="shared" si="425"/>
        <v>-58.554000000000002</v>
      </c>
      <c r="S1327">
        <f t="shared" si="425"/>
        <v>-58.554000000000002</v>
      </c>
      <c r="T1327">
        <f t="shared" si="425"/>
        <v>-58.554000000000002</v>
      </c>
      <c r="U1327">
        <f t="shared" si="425"/>
        <v>-58.554000000000002</v>
      </c>
      <c r="V1327">
        <f t="shared" si="425"/>
        <v>-58.554000000000002</v>
      </c>
    </row>
    <row r="1328" spans="2:22">
      <c r="B1328" s="28" t="s">
        <v>337</v>
      </c>
      <c r="C1328" s="28"/>
      <c r="D1328" s="28"/>
      <c r="E1328" s="28"/>
      <c r="F1328" s="28"/>
      <c r="G1328" s="28"/>
      <c r="H1328" s="28"/>
      <c r="I1328" s="28"/>
      <c r="J1328" s="28">
        <f>MAX(SUM(J1325:J1327),0)</f>
        <v>272.46723631264877</v>
      </c>
      <c r="K1328" s="28">
        <f t="shared" ref="K1328:V1328" si="426">MAX(SUM(K1325:K1327),0)</f>
        <v>373.14089239269163</v>
      </c>
      <c r="L1328" s="28">
        <f t="shared" si="426"/>
        <v>550.4439269292551</v>
      </c>
      <c r="M1328" s="28">
        <f t="shared" si="426"/>
        <v>793.04184897911625</v>
      </c>
      <c r="N1328" s="28">
        <f t="shared" si="426"/>
        <v>1068.3216789221779</v>
      </c>
      <c r="O1328" s="28">
        <f t="shared" si="426"/>
        <v>1386.1327816958146</v>
      </c>
      <c r="P1328" s="28">
        <f t="shared" si="426"/>
        <v>1720.8409709785112</v>
      </c>
      <c r="Q1328" s="28">
        <f t="shared" si="426"/>
        <v>2089.1160516020454</v>
      </c>
      <c r="R1328" s="28">
        <f t="shared" si="426"/>
        <v>2478.2072337713953</v>
      </c>
      <c r="S1328" s="28">
        <f t="shared" si="426"/>
        <v>2904.1246845968108</v>
      </c>
      <c r="T1328" s="28">
        <f t="shared" si="426"/>
        <v>3351.215870082493</v>
      </c>
      <c r="U1328" s="28">
        <f t="shared" si="426"/>
        <v>3794.7393800196342</v>
      </c>
      <c r="V1328" s="28">
        <f t="shared" si="426"/>
        <v>4256.1386368815674</v>
      </c>
    </row>
    <row r="1329" spans="2:22">
      <c r="G1329"/>
    </row>
    <row r="1330" spans="2:22">
      <c r="B1330" s="407" t="s">
        <v>334</v>
      </c>
      <c r="G1330"/>
      <c r="J1330">
        <f>Output_FSL!J58</f>
        <v>40.429223963838851</v>
      </c>
      <c r="K1330">
        <f>Output_FSL!K58</f>
        <v>100.67365608004286</v>
      </c>
      <c r="L1330">
        <f>Output_FSL!L58</f>
        <v>177.30303453656353</v>
      </c>
      <c r="M1330">
        <f>Output_FSL!M58</f>
        <v>242.59792204986115</v>
      </c>
      <c r="N1330">
        <f>Output_FSL!N58</f>
        <v>275.27982994306166</v>
      </c>
      <c r="O1330">
        <f>Output_FSL!O58</f>
        <v>317.81110277363678</v>
      </c>
      <c r="P1330">
        <f>Output_FSL!P58</f>
        <v>334.70818928269659</v>
      </c>
      <c r="Q1330">
        <f>Output_FSL!Q58</f>
        <v>368.27508062353434</v>
      </c>
      <c r="R1330">
        <f>Output_FSL!R58</f>
        <v>389.09118216934974</v>
      </c>
      <c r="S1330">
        <f>Output_FSL!S58</f>
        <v>425.91745082541524</v>
      </c>
      <c r="T1330">
        <f>Output_FSL!T58</f>
        <v>447.09118548568244</v>
      </c>
      <c r="U1330">
        <f>Output_FSL!U58</f>
        <v>443.5235099371418</v>
      </c>
      <c r="V1330">
        <f>Output_FSL!V58</f>
        <v>461.39925686193294</v>
      </c>
    </row>
    <row r="1331" spans="2:22">
      <c r="B1331" t="s">
        <v>332</v>
      </c>
      <c r="F1331" s="35">
        <v>0.3</v>
      </c>
      <c r="G1331"/>
      <c r="I1331">
        <f>SUM(J1331:V1331)</f>
        <v>1207.2301873598274</v>
      </c>
      <c r="J1331">
        <f>$F$1331*J1330</f>
        <v>12.128767189151654</v>
      </c>
      <c r="K1331">
        <f t="shared" ref="K1331:V1331" si="427">$F$1331*K1330</f>
        <v>30.202096824012855</v>
      </c>
      <c r="L1331">
        <f t="shared" si="427"/>
        <v>53.190910360969056</v>
      </c>
      <c r="M1331">
        <f t="shared" si="427"/>
        <v>72.779376614958338</v>
      </c>
      <c r="N1331">
        <f t="shared" si="427"/>
        <v>82.5839489829185</v>
      </c>
      <c r="O1331">
        <f t="shared" si="427"/>
        <v>95.343330832091027</v>
      </c>
      <c r="P1331">
        <f t="shared" si="427"/>
        <v>100.41245678480898</v>
      </c>
      <c r="Q1331">
        <f t="shared" si="427"/>
        <v>110.48252418706029</v>
      </c>
      <c r="R1331">
        <f t="shared" si="427"/>
        <v>116.72735465080491</v>
      </c>
      <c r="S1331">
        <f t="shared" si="427"/>
        <v>127.77523524762456</v>
      </c>
      <c r="T1331">
        <f t="shared" si="427"/>
        <v>134.12735564570474</v>
      </c>
      <c r="U1331">
        <f t="shared" si="427"/>
        <v>133.05705298114253</v>
      </c>
      <c r="V1331">
        <f t="shared" si="427"/>
        <v>138.41977705857988</v>
      </c>
    </row>
    <row r="1332" spans="2:22">
      <c r="G1332"/>
    </row>
    <row r="1333" spans="2:22" ht="15.75">
      <c r="B1333" s="15" t="s">
        <v>338</v>
      </c>
      <c r="G1333"/>
    </row>
    <row r="1334" spans="2:22">
      <c r="G1334"/>
    </row>
    <row r="1335" spans="2:22">
      <c r="B1335" t="s">
        <v>57</v>
      </c>
      <c r="G1335"/>
      <c r="J1335">
        <f>Output_FSL!I60</f>
        <v>290.59201234880987</v>
      </c>
      <c r="K1335">
        <f>Output_FSL!J60</f>
        <v>331.02123631264874</v>
      </c>
      <c r="L1335">
        <f>Output_FSL!K60</f>
        <v>431.6948923926916</v>
      </c>
      <c r="M1335">
        <f>Output_FSL!L60</f>
        <v>608.99792692925507</v>
      </c>
      <c r="N1335">
        <f>Output_FSL!M60</f>
        <v>851.59584897911623</v>
      </c>
      <c r="O1335">
        <f>Output_FSL!N60</f>
        <v>1126.8756789221779</v>
      </c>
      <c r="P1335">
        <f>Output_FSL!O60</f>
        <v>1444.6867816958147</v>
      </c>
      <c r="Q1335">
        <f>Output_FSL!P60</f>
        <v>1779.3949709785113</v>
      </c>
      <c r="R1335">
        <f>Output_FSL!Q60</f>
        <v>2147.6700516020455</v>
      </c>
      <c r="S1335">
        <f>Output_FSL!R60</f>
        <v>2536.7612337713954</v>
      </c>
      <c r="T1335">
        <f>Output_FSL!S60</f>
        <v>2962.6786845968104</v>
      </c>
      <c r="U1335">
        <f>Output_FSL!T60</f>
        <v>3409.7698700824926</v>
      </c>
      <c r="V1335">
        <f>Output_FSL!U60</f>
        <v>3853.2933800196342</v>
      </c>
    </row>
    <row r="1336" spans="2:22">
      <c r="B1336" s="407" t="s">
        <v>334</v>
      </c>
      <c r="G1336"/>
      <c r="J1336">
        <f>Output_FSL!J58</f>
        <v>40.429223963838851</v>
      </c>
      <c r="K1336">
        <f>Output_FSL!K58</f>
        <v>100.67365608004286</v>
      </c>
      <c r="L1336">
        <f>Output_FSL!L58</f>
        <v>177.30303453656353</v>
      </c>
      <c r="M1336">
        <f>Output_FSL!M58</f>
        <v>242.59792204986115</v>
      </c>
      <c r="N1336">
        <f>Output_FSL!N58</f>
        <v>275.27982994306166</v>
      </c>
      <c r="O1336">
        <f>Output_FSL!O58</f>
        <v>317.81110277363678</v>
      </c>
      <c r="P1336">
        <f>Output_FSL!P58</f>
        <v>334.70818928269659</v>
      </c>
      <c r="Q1336">
        <f>Output_FSL!Q58</f>
        <v>368.27508062353434</v>
      </c>
      <c r="R1336">
        <f>Output_FSL!R58</f>
        <v>389.09118216934974</v>
      </c>
      <c r="S1336">
        <f>Output_FSL!S58</f>
        <v>425.91745082541524</v>
      </c>
      <c r="T1336">
        <f>Output_FSL!T58</f>
        <v>447.09118548568244</v>
      </c>
      <c r="U1336">
        <f>Output_FSL!U58</f>
        <v>443.5235099371418</v>
      </c>
      <c r="V1336">
        <f>Output_FSL!V58</f>
        <v>461.39925686193294</v>
      </c>
    </row>
    <row r="1337" spans="2:22">
      <c r="B1337" t="s">
        <v>332</v>
      </c>
      <c r="F1337" s="35">
        <v>0.3</v>
      </c>
      <c r="G1337"/>
      <c r="I1337">
        <f>SUM(J1337:V1337)</f>
        <v>-1194.046315744175</v>
      </c>
      <c r="J1337">
        <f>-MIN(J1331,J1328,J1317)</f>
        <v>-12.128767189151654</v>
      </c>
      <c r="K1337">
        <f t="shared" ref="K1337:V1337" si="428">-MIN(K1331,K1328,K1317)</f>
        <v>-17.018225208360519</v>
      </c>
      <c r="L1337">
        <f t="shared" si="428"/>
        <v>-53.190910360969056</v>
      </c>
      <c r="M1337">
        <f t="shared" si="428"/>
        <v>-72.779376614958338</v>
      </c>
      <c r="N1337">
        <f t="shared" si="428"/>
        <v>-82.5839489829185</v>
      </c>
      <c r="O1337">
        <f t="shared" si="428"/>
        <v>-95.343330832091027</v>
      </c>
      <c r="P1337">
        <f t="shared" si="428"/>
        <v>-100.41245678480898</v>
      </c>
      <c r="Q1337">
        <f t="shared" si="428"/>
        <v>-110.48252418706029</v>
      </c>
      <c r="R1337">
        <f t="shared" si="428"/>
        <v>-116.72735465080491</v>
      </c>
      <c r="S1337">
        <f t="shared" si="428"/>
        <v>-127.77523524762456</v>
      </c>
      <c r="T1337">
        <f t="shared" si="428"/>
        <v>-134.12735564570474</v>
      </c>
      <c r="U1337">
        <f t="shared" si="428"/>
        <v>-133.05705298114253</v>
      </c>
      <c r="V1337">
        <f t="shared" si="428"/>
        <v>-138.41977705857988</v>
      </c>
    </row>
    <row r="1338" spans="2:22">
      <c r="B1338" s="28" t="s">
        <v>60</v>
      </c>
      <c r="C1338" s="28"/>
      <c r="D1338" s="28"/>
      <c r="E1338" s="28"/>
      <c r="F1338" s="28"/>
      <c r="G1338" s="28"/>
      <c r="H1338" s="28"/>
      <c r="I1338" s="28">
        <f>J1335</f>
        <v>290.59201234880987</v>
      </c>
      <c r="J1338" s="28">
        <f>SUM(J1335:J1337)</f>
        <v>318.89246912349711</v>
      </c>
      <c r="K1338" s="28">
        <f t="shared" ref="K1338:V1338" si="429">SUM(K1335:K1337)</f>
        <v>414.67666718433111</v>
      </c>
      <c r="L1338" s="28">
        <f t="shared" si="429"/>
        <v>555.80701656828603</v>
      </c>
      <c r="M1338" s="28">
        <f t="shared" si="429"/>
        <v>778.8164723641579</v>
      </c>
      <c r="N1338" s="28">
        <f t="shared" si="429"/>
        <v>1044.2917299392595</v>
      </c>
      <c r="O1338" s="28">
        <f t="shared" si="429"/>
        <v>1349.3434508637238</v>
      </c>
      <c r="P1338" s="28">
        <f t="shared" si="429"/>
        <v>1678.9825141937024</v>
      </c>
      <c r="Q1338" s="28">
        <f t="shared" si="429"/>
        <v>2037.1875274149852</v>
      </c>
      <c r="R1338" s="28">
        <f t="shared" si="429"/>
        <v>2420.0338791205904</v>
      </c>
      <c r="S1338" s="28">
        <f t="shared" si="429"/>
        <v>2834.9034493491863</v>
      </c>
      <c r="T1338" s="28">
        <f t="shared" si="429"/>
        <v>3275.6425144367881</v>
      </c>
      <c r="U1338" s="28">
        <f t="shared" si="429"/>
        <v>3720.2363270384917</v>
      </c>
      <c r="V1338" s="28">
        <f t="shared" si="429"/>
        <v>4176.2728598229878</v>
      </c>
    </row>
    <row r="1339" spans="2:22">
      <c r="G1339"/>
      <c r="K1339" s="203"/>
    </row>
    <row r="1340" spans="2:22">
      <c r="B1340" s="407" t="s">
        <v>339</v>
      </c>
      <c r="G1340"/>
    </row>
    <row r="1341" spans="2:22">
      <c r="B1341" s="407" t="s">
        <v>259</v>
      </c>
      <c r="G1341"/>
      <c r="J1341">
        <f>$I$1338+SUM($J$1336:J1336)+SUM($J$1337:J1337)</f>
        <v>318.89246912349711</v>
      </c>
      <c r="K1341">
        <f>$I$1338+SUM($J$1336:K1336)+SUM($J$1337:K1337)</f>
        <v>402.54789999517942</v>
      </c>
      <c r="L1341">
        <f>$I$1338+SUM($J$1336:L1336)+SUM($J$1337:L1337)</f>
        <v>526.6600241707738</v>
      </c>
      <c r="M1341">
        <f>$I$1338+SUM($J$1336:M1336)+SUM($J$1337:M1337)</f>
        <v>696.47856960567674</v>
      </c>
      <c r="N1341">
        <f>$I$1338+SUM($J$1336:N1336)+SUM($J$1337:N1337)</f>
        <v>889.17445056581982</v>
      </c>
      <c r="O1341">
        <f>$I$1338+SUM($J$1336:O1336)+SUM($J$1337:O1337)</f>
        <v>1111.6422225073657</v>
      </c>
      <c r="P1341">
        <f>$I$1338+SUM($J$1336:P1336)+SUM($J$1337:P1337)</f>
        <v>1345.9379550052533</v>
      </c>
      <c r="Q1341">
        <f>$I$1338+SUM($J$1336:Q1336)+SUM($J$1337:Q1337)</f>
        <v>1603.7305114417272</v>
      </c>
      <c r="R1341">
        <f>$I$1338+SUM($J$1336:R1336)+SUM($J$1337:R1337)</f>
        <v>1876.0943389602721</v>
      </c>
      <c r="S1341">
        <f>$I$1338+SUM($J$1336:S1336)+SUM($J$1337:S1337)</f>
        <v>2174.2365545380626</v>
      </c>
      <c r="T1341">
        <f>$I$1338+SUM($J$1336:T1336)+SUM($J$1337:T1337)</f>
        <v>2487.2003843780403</v>
      </c>
      <c r="U1341">
        <f>$I$1338+SUM($J$1336:U1336)+SUM($J$1337:U1337)</f>
        <v>2797.6668413340394</v>
      </c>
      <c r="V1341">
        <f>$I$1338+SUM($J$1336:V1336)+SUM($J$1337:V1337)</f>
        <v>3120.6463211373916</v>
      </c>
    </row>
  </sheetData>
  <conditionalFormatting sqref="J11:V11">
    <cfRule type="cellIs" dxfId="39" priority="3" operator="equal">
      <formula>1</formula>
    </cfRule>
  </conditionalFormatting>
  <conditionalFormatting sqref="K12:V12">
    <cfRule type="cellIs" dxfId="38" priority="2" operator="equal">
      <formula>1</formula>
    </cfRule>
  </conditionalFormatting>
  <conditionalFormatting sqref="J12">
    <cfRule type="cellIs" dxfId="37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108CD-F199-45B1-9093-678B3FA536C9}">
  <sheetPr>
    <tabColor theme="1" tint="4.9989318521683403E-2"/>
  </sheetPr>
  <dimension ref="B1:T27"/>
  <sheetViews>
    <sheetView showGridLines="0" topLeftCell="E2" workbookViewId="0">
      <selection activeCell="P19" sqref="P19"/>
    </sheetView>
  </sheetViews>
  <sheetFormatPr defaultColWidth="9.140625" defaultRowHeight="11.25"/>
  <cols>
    <col min="1" max="2" width="9.140625" style="380"/>
    <col min="3" max="3" width="3.5703125" style="381" customWidth="1"/>
    <col min="4" max="4" width="35.140625" style="381" customWidth="1"/>
    <col min="5" max="5" width="35.28515625" style="382" customWidth="1"/>
    <col min="6" max="9" width="10.85546875" style="383" customWidth="1"/>
    <col min="10" max="10" width="3.7109375" style="383" customWidth="1"/>
    <col min="11" max="14" width="10.85546875" style="380" customWidth="1"/>
    <col min="15" max="15" width="3.28515625" style="380" customWidth="1"/>
    <col min="16" max="17" width="10.85546875" style="380" customWidth="1"/>
    <col min="18" max="18" width="12.140625" style="380" customWidth="1"/>
    <col min="19" max="19" width="9.140625" style="380"/>
    <col min="20" max="20" width="49.140625" style="380" customWidth="1"/>
    <col min="21" max="16384" width="9.140625" style="380"/>
  </cols>
  <sheetData>
    <row r="1" spans="2:20">
      <c r="O1" s="383"/>
    </row>
    <row r="2" spans="2:20" ht="12">
      <c r="C2" s="524" t="s">
        <v>675</v>
      </c>
      <c r="D2" s="524" t="s">
        <v>676</v>
      </c>
      <c r="E2" s="526" t="s">
        <v>677</v>
      </c>
      <c r="F2" s="523" t="s">
        <v>678</v>
      </c>
      <c r="G2" s="523"/>
      <c r="H2" s="523"/>
      <c r="I2" s="523"/>
      <c r="J2" s="376"/>
      <c r="K2" s="518" t="s">
        <v>679</v>
      </c>
      <c r="L2" s="518"/>
      <c r="M2" s="518"/>
      <c r="N2" s="518"/>
      <c r="O2" s="518"/>
      <c r="P2" s="518"/>
      <c r="Q2" s="518"/>
    </row>
    <row r="3" spans="2:20" ht="12">
      <c r="C3" s="525"/>
      <c r="D3" s="525"/>
      <c r="E3" s="527"/>
      <c r="F3" s="370" t="s">
        <v>680</v>
      </c>
      <c r="G3" s="370" t="s">
        <v>681</v>
      </c>
      <c r="H3" s="370" t="s">
        <v>682</v>
      </c>
      <c r="I3" s="370" t="s">
        <v>683</v>
      </c>
      <c r="J3" s="376"/>
      <c r="K3" s="371" t="s">
        <v>680</v>
      </c>
      <c r="L3" s="371" t="s">
        <v>681</v>
      </c>
      <c r="M3" s="371" t="s">
        <v>682</v>
      </c>
      <c r="N3" s="371" t="s">
        <v>683</v>
      </c>
      <c r="O3" s="376"/>
      <c r="P3" s="371" t="s">
        <v>684</v>
      </c>
      <c r="Q3" s="371" t="s">
        <v>685</v>
      </c>
    </row>
    <row r="4" spans="2:20" ht="54.75" customHeight="1">
      <c r="B4" s="385"/>
      <c r="C4" s="372">
        <v>1</v>
      </c>
      <c r="D4" s="373" t="s">
        <v>686</v>
      </c>
      <c r="E4" s="374" t="s">
        <v>687</v>
      </c>
      <c r="F4" s="386" t="s">
        <v>421</v>
      </c>
      <c r="G4" s="387" t="s">
        <v>431</v>
      </c>
      <c r="H4" s="387" t="s">
        <v>431</v>
      </c>
      <c r="I4" s="387" t="s">
        <v>431</v>
      </c>
      <c r="J4" s="384"/>
      <c r="K4" s="386" t="s">
        <v>421</v>
      </c>
      <c r="L4" s="387" t="s">
        <v>431</v>
      </c>
      <c r="M4" s="387" t="s">
        <v>431</v>
      </c>
      <c r="N4" s="387" t="s">
        <v>431</v>
      </c>
      <c r="O4" s="384"/>
      <c r="P4" s="515" t="s">
        <v>688</v>
      </c>
      <c r="Q4" s="400" t="s">
        <v>689</v>
      </c>
    </row>
    <row r="5" spans="2:20" ht="18" customHeight="1">
      <c r="B5" s="385"/>
      <c r="C5" s="521">
        <v>2</v>
      </c>
      <c r="D5" s="528" t="s">
        <v>690</v>
      </c>
      <c r="E5" s="374" t="s">
        <v>691</v>
      </c>
      <c r="F5" s="386" t="s">
        <v>421</v>
      </c>
      <c r="G5" s="387" t="s">
        <v>431</v>
      </c>
      <c r="H5" s="387" t="s">
        <v>431</v>
      </c>
      <c r="I5" s="387" t="s">
        <v>431</v>
      </c>
      <c r="J5" s="384"/>
      <c r="K5" s="386" t="s">
        <v>421</v>
      </c>
      <c r="L5" s="387" t="s">
        <v>431</v>
      </c>
      <c r="M5" s="387" t="s">
        <v>431</v>
      </c>
      <c r="N5" s="387" t="s">
        <v>431</v>
      </c>
      <c r="O5" s="384"/>
      <c r="P5" s="516"/>
      <c r="Q5" s="390" t="s">
        <v>299</v>
      </c>
    </row>
    <row r="6" spans="2:20" ht="18" customHeight="1">
      <c r="B6" s="385"/>
      <c r="C6" s="530"/>
      <c r="D6" s="526"/>
      <c r="E6" s="374" t="s">
        <v>692</v>
      </c>
      <c r="F6" s="386" t="s">
        <v>421</v>
      </c>
      <c r="G6" s="387" t="s">
        <v>431</v>
      </c>
      <c r="H6" s="387" t="s">
        <v>431</v>
      </c>
      <c r="I6" s="387" t="s">
        <v>431</v>
      </c>
      <c r="J6" s="384"/>
      <c r="K6" s="388" t="s">
        <v>693</v>
      </c>
      <c r="L6" s="389" t="s">
        <v>694</v>
      </c>
      <c r="M6" s="388" t="s">
        <v>693</v>
      </c>
      <c r="N6" s="388" t="s">
        <v>693</v>
      </c>
      <c r="O6" s="384"/>
      <c r="P6" s="516"/>
      <c r="Q6" s="390" t="s">
        <v>299</v>
      </c>
    </row>
    <row r="7" spans="2:20" ht="18" customHeight="1">
      <c r="B7" s="385"/>
      <c r="C7" s="522"/>
      <c r="D7" s="526"/>
      <c r="E7" s="374" t="s">
        <v>695</v>
      </c>
      <c r="F7" s="386" t="s">
        <v>421</v>
      </c>
      <c r="G7" s="387" t="s">
        <v>431</v>
      </c>
      <c r="H7" s="387" t="s">
        <v>431</v>
      </c>
      <c r="I7" s="387" t="s">
        <v>431</v>
      </c>
      <c r="J7" s="384"/>
      <c r="K7" s="388" t="s">
        <v>693</v>
      </c>
      <c r="L7" s="389" t="s">
        <v>694</v>
      </c>
      <c r="M7" s="388" t="s">
        <v>693</v>
      </c>
      <c r="N7" s="388" t="s">
        <v>693</v>
      </c>
      <c r="O7" s="384"/>
      <c r="P7" s="516"/>
      <c r="Q7" s="390" t="s">
        <v>299</v>
      </c>
      <c r="S7" s="380" t="s">
        <v>313</v>
      </c>
    </row>
    <row r="8" spans="2:20" ht="18" customHeight="1">
      <c r="B8" s="385"/>
      <c r="C8" s="521">
        <v>3</v>
      </c>
      <c r="D8" s="528" t="s">
        <v>696</v>
      </c>
      <c r="E8" s="374" t="s">
        <v>697</v>
      </c>
      <c r="F8" s="388" t="s">
        <v>693</v>
      </c>
      <c r="G8" s="389" t="s">
        <v>694</v>
      </c>
      <c r="H8" s="388" t="s">
        <v>693</v>
      </c>
      <c r="I8" s="387" t="s">
        <v>431</v>
      </c>
      <c r="J8" s="384"/>
      <c r="K8" s="388" t="s">
        <v>693</v>
      </c>
      <c r="L8" s="389" t="s">
        <v>694</v>
      </c>
      <c r="M8" s="388" t="s">
        <v>693</v>
      </c>
      <c r="N8" s="388" t="s">
        <v>693</v>
      </c>
      <c r="O8" s="384"/>
      <c r="P8" s="516"/>
      <c r="Q8" s="390" t="s">
        <v>299</v>
      </c>
      <c r="S8" s="391" t="s">
        <v>698</v>
      </c>
      <c r="T8" s="391" t="s">
        <v>699</v>
      </c>
    </row>
    <row r="9" spans="2:20" ht="18" customHeight="1">
      <c r="B9" s="385"/>
      <c r="C9" s="522"/>
      <c r="D9" s="529"/>
      <c r="E9" s="374" t="s">
        <v>700</v>
      </c>
      <c r="F9" s="388" t="s">
        <v>693</v>
      </c>
      <c r="G9" s="389" t="s">
        <v>694</v>
      </c>
      <c r="H9" s="388" t="s">
        <v>693</v>
      </c>
      <c r="I9" s="387" t="s">
        <v>431</v>
      </c>
      <c r="J9" s="384"/>
      <c r="K9" s="388" t="s">
        <v>693</v>
      </c>
      <c r="L9" s="389" t="s">
        <v>694</v>
      </c>
      <c r="M9" s="388" t="s">
        <v>693</v>
      </c>
      <c r="N9" s="388" t="s">
        <v>693</v>
      </c>
      <c r="O9" s="384"/>
      <c r="P9" s="516"/>
      <c r="Q9" s="390" t="s">
        <v>299</v>
      </c>
      <c r="S9" s="392"/>
      <c r="T9" s="391" t="s">
        <v>701</v>
      </c>
    </row>
    <row r="10" spans="2:20" ht="18" customHeight="1">
      <c r="B10" s="385"/>
      <c r="C10" s="521">
        <v>4</v>
      </c>
      <c r="D10" s="528" t="s">
        <v>702</v>
      </c>
      <c r="E10" s="374" t="s">
        <v>703</v>
      </c>
      <c r="F10" s="388" t="s">
        <v>693</v>
      </c>
      <c r="G10" s="389" t="s">
        <v>694</v>
      </c>
      <c r="H10" s="388" t="s">
        <v>693</v>
      </c>
      <c r="I10" s="387" t="s">
        <v>431</v>
      </c>
      <c r="J10" s="384"/>
      <c r="K10" s="388" t="s">
        <v>693</v>
      </c>
      <c r="L10" s="389" t="s">
        <v>694</v>
      </c>
      <c r="M10" s="388" t="s">
        <v>693</v>
      </c>
      <c r="N10" s="388" t="s">
        <v>693</v>
      </c>
      <c r="O10" s="384"/>
      <c r="P10" s="516"/>
      <c r="Q10" s="390" t="s">
        <v>299</v>
      </c>
      <c r="S10" s="392"/>
      <c r="T10" s="391" t="s">
        <v>704</v>
      </c>
    </row>
    <row r="11" spans="2:20" ht="18" customHeight="1">
      <c r="B11" s="385"/>
      <c r="C11" s="530"/>
      <c r="D11" s="526"/>
      <c r="E11" s="374" t="s">
        <v>705</v>
      </c>
      <c r="F11" s="388" t="s">
        <v>693</v>
      </c>
      <c r="G11" s="389" t="s">
        <v>694</v>
      </c>
      <c r="H11" s="388" t="s">
        <v>693</v>
      </c>
      <c r="I11" s="387" t="s">
        <v>431</v>
      </c>
      <c r="J11" s="384"/>
      <c r="K11" s="388" t="s">
        <v>693</v>
      </c>
      <c r="L11" s="389" t="s">
        <v>694</v>
      </c>
      <c r="M11" s="388" t="s">
        <v>693</v>
      </c>
      <c r="N11" s="388" t="s">
        <v>693</v>
      </c>
      <c r="O11" s="384"/>
      <c r="P11" s="516"/>
      <c r="Q11" s="390" t="s">
        <v>299</v>
      </c>
      <c r="S11" s="392"/>
      <c r="T11" s="393" t="s">
        <v>706</v>
      </c>
    </row>
    <row r="12" spans="2:20" ht="18" customHeight="1">
      <c r="B12" s="385"/>
      <c r="C12" s="522"/>
      <c r="D12" s="529"/>
      <c r="E12" s="374" t="s">
        <v>707</v>
      </c>
      <c r="F12" s="394" t="s">
        <v>708</v>
      </c>
      <c r="G12" s="394" t="s">
        <v>708</v>
      </c>
      <c r="H12" s="395" t="s">
        <v>709</v>
      </c>
      <c r="I12" s="395" t="s">
        <v>709</v>
      </c>
      <c r="J12" s="384"/>
      <c r="K12" s="394" t="s">
        <v>708</v>
      </c>
      <c r="L12" s="394" t="s">
        <v>708</v>
      </c>
      <c r="M12" s="394" t="s">
        <v>708</v>
      </c>
      <c r="N12" s="394" t="s">
        <v>708</v>
      </c>
      <c r="O12" s="384"/>
      <c r="P12" s="516"/>
      <c r="Q12" s="394" t="s">
        <v>708</v>
      </c>
      <c r="S12" s="392"/>
      <c r="T12" s="393" t="s">
        <v>710</v>
      </c>
    </row>
    <row r="13" spans="2:20" ht="18" customHeight="1">
      <c r="B13" s="385"/>
      <c r="C13" s="521">
        <v>5</v>
      </c>
      <c r="D13" s="528" t="s">
        <v>711</v>
      </c>
      <c r="E13" s="374" t="s">
        <v>712</v>
      </c>
      <c r="F13" s="395" t="s">
        <v>709</v>
      </c>
      <c r="G13" s="395" t="s">
        <v>709</v>
      </c>
      <c r="H13" s="395" t="s">
        <v>709</v>
      </c>
      <c r="I13" s="395" t="s">
        <v>709</v>
      </c>
      <c r="J13" s="384"/>
      <c r="K13" s="395" t="s">
        <v>709</v>
      </c>
      <c r="L13" s="395" t="s">
        <v>709</v>
      </c>
      <c r="M13" s="395" t="s">
        <v>709</v>
      </c>
      <c r="N13" s="395" t="s">
        <v>709</v>
      </c>
      <c r="O13" s="384"/>
      <c r="P13" s="516"/>
      <c r="Q13" s="395" t="s">
        <v>709</v>
      </c>
    </row>
    <row r="14" spans="2:20" ht="18" customHeight="1">
      <c r="B14" s="385"/>
      <c r="C14" s="530"/>
      <c r="D14" s="526"/>
      <c r="E14" s="374" t="s">
        <v>713</v>
      </c>
      <c r="F14" s="395" t="s">
        <v>709</v>
      </c>
      <c r="G14" s="395" t="s">
        <v>709</v>
      </c>
      <c r="H14" s="395" t="s">
        <v>709</v>
      </c>
      <c r="I14" s="395" t="s">
        <v>709</v>
      </c>
      <c r="J14" s="384"/>
      <c r="K14" s="395" t="s">
        <v>709</v>
      </c>
      <c r="L14" s="395" t="s">
        <v>709</v>
      </c>
      <c r="M14" s="395" t="s">
        <v>709</v>
      </c>
      <c r="N14" s="395" t="s">
        <v>709</v>
      </c>
      <c r="O14" s="384"/>
      <c r="P14" s="516"/>
      <c r="Q14" s="395" t="s">
        <v>709</v>
      </c>
    </row>
    <row r="15" spans="2:20" ht="18" customHeight="1">
      <c r="B15" s="385"/>
      <c r="C15" s="530"/>
      <c r="D15" s="526"/>
      <c r="E15" s="374" t="s">
        <v>714</v>
      </c>
      <c r="F15" s="386" t="s">
        <v>421</v>
      </c>
      <c r="G15" s="387" t="s">
        <v>431</v>
      </c>
      <c r="H15" s="387" t="s">
        <v>431</v>
      </c>
      <c r="I15" s="387" t="s">
        <v>431</v>
      </c>
      <c r="J15" s="384"/>
      <c r="K15" s="386" t="s">
        <v>421</v>
      </c>
      <c r="L15" s="387" t="s">
        <v>431</v>
      </c>
      <c r="M15" s="387" t="s">
        <v>431</v>
      </c>
      <c r="N15" s="387" t="s">
        <v>431</v>
      </c>
      <c r="O15" s="384"/>
      <c r="P15" s="516"/>
      <c r="Q15" s="390" t="s">
        <v>299</v>
      </c>
    </row>
    <row r="16" spans="2:20" ht="18" customHeight="1">
      <c r="B16" s="385"/>
      <c r="C16" s="530"/>
      <c r="D16" s="526"/>
      <c r="E16" s="374" t="s">
        <v>715</v>
      </c>
      <c r="F16" s="386" t="s">
        <v>421</v>
      </c>
      <c r="G16" s="387" t="s">
        <v>431</v>
      </c>
      <c r="H16" s="387" t="s">
        <v>431</v>
      </c>
      <c r="I16" s="387" t="s">
        <v>431</v>
      </c>
      <c r="J16" s="384"/>
      <c r="K16" s="386" t="s">
        <v>421</v>
      </c>
      <c r="L16" s="387" t="s">
        <v>431</v>
      </c>
      <c r="M16" s="387" t="s">
        <v>431</v>
      </c>
      <c r="N16" s="387" t="s">
        <v>431</v>
      </c>
      <c r="O16" s="384"/>
      <c r="P16" s="516"/>
      <c r="Q16" s="390" t="s">
        <v>299</v>
      </c>
    </row>
    <row r="17" spans="2:17" ht="18" customHeight="1">
      <c r="B17" s="385"/>
      <c r="C17" s="522"/>
      <c r="D17" s="529"/>
      <c r="E17" s="374" t="s">
        <v>716</v>
      </c>
      <c r="F17" s="386" t="s">
        <v>421</v>
      </c>
      <c r="G17" s="387" t="s">
        <v>431</v>
      </c>
      <c r="H17" s="387" t="s">
        <v>431</v>
      </c>
      <c r="I17" s="387" t="s">
        <v>431</v>
      </c>
      <c r="J17" s="384"/>
      <c r="K17" s="396" t="s">
        <v>717</v>
      </c>
      <c r="L17" s="396" t="s">
        <v>717</v>
      </c>
      <c r="M17" s="396" t="s">
        <v>717</v>
      </c>
      <c r="N17" s="396" t="s">
        <v>717</v>
      </c>
      <c r="O17" s="384"/>
      <c r="P17" s="517"/>
      <c r="Q17" s="396" t="s">
        <v>717</v>
      </c>
    </row>
    <row r="18" spans="2:17" ht="18" customHeight="1">
      <c r="B18" s="385"/>
      <c r="C18" s="521">
        <v>6</v>
      </c>
      <c r="D18" s="519" t="s">
        <v>718</v>
      </c>
      <c r="E18" s="374" t="s">
        <v>719</v>
      </c>
      <c r="F18" s="397" t="s">
        <v>720</v>
      </c>
      <c r="G18" s="397" t="s">
        <v>720</v>
      </c>
      <c r="H18" s="398" t="s">
        <v>721</v>
      </c>
      <c r="I18" s="398" t="s">
        <v>721</v>
      </c>
      <c r="J18" s="384"/>
      <c r="K18" s="397" t="s">
        <v>720</v>
      </c>
      <c r="L18" s="397" t="s">
        <v>720</v>
      </c>
      <c r="M18" s="398" t="s">
        <v>721</v>
      </c>
      <c r="N18" s="398" t="s">
        <v>721</v>
      </c>
      <c r="O18" s="384"/>
      <c r="P18" s="390" t="s">
        <v>299</v>
      </c>
      <c r="Q18" s="390" t="s">
        <v>299</v>
      </c>
    </row>
    <row r="19" spans="2:17" ht="18" customHeight="1">
      <c r="B19" s="385"/>
      <c r="C19" s="522"/>
      <c r="D19" s="520"/>
      <c r="E19" s="374" t="s">
        <v>722</v>
      </c>
      <c r="F19" s="397" t="s">
        <v>720</v>
      </c>
      <c r="G19" s="397" t="s">
        <v>720</v>
      </c>
      <c r="H19" s="398" t="s">
        <v>721</v>
      </c>
      <c r="I19" s="398" t="s">
        <v>721</v>
      </c>
      <c r="J19" s="384"/>
      <c r="K19" s="397" t="s">
        <v>720</v>
      </c>
      <c r="L19" s="397" t="s">
        <v>720</v>
      </c>
      <c r="M19" s="398" t="s">
        <v>721</v>
      </c>
      <c r="N19" s="398" t="s">
        <v>721</v>
      </c>
      <c r="O19" s="384"/>
      <c r="P19" s="390" t="s">
        <v>299</v>
      </c>
      <c r="Q19" s="390" t="s">
        <v>299</v>
      </c>
    </row>
    <row r="20" spans="2:17" ht="54" customHeight="1">
      <c r="C20" s="372">
        <v>7</v>
      </c>
      <c r="D20" s="375" t="s">
        <v>723</v>
      </c>
      <c r="E20" s="374" t="s">
        <v>724</v>
      </c>
      <c r="F20" s="386" t="s">
        <v>421</v>
      </c>
      <c r="G20" s="387" t="s">
        <v>431</v>
      </c>
      <c r="H20" s="387" t="s">
        <v>431</v>
      </c>
      <c r="I20" s="387" t="s">
        <v>431</v>
      </c>
      <c r="J20" s="399"/>
      <c r="K20" s="386" t="s">
        <v>421</v>
      </c>
      <c r="L20" s="387" t="s">
        <v>431</v>
      </c>
      <c r="M20" s="387" t="s">
        <v>431</v>
      </c>
      <c r="N20" s="387" t="s">
        <v>431</v>
      </c>
      <c r="O20" s="399"/>
      <c r="P20" s="387" t="s">
        <v>431</v>
      </c>
      <c r="Q20" s="390" t="s">
        <v>299</v>
      </c>
    </row>
    <row r="21" spans="2:17">
      <c r="O21" s="383"/>
    </row>
    <row r="22" spans="2:17">
      <c r="O22" s="383"/>
    </row>
    <row r="23" spans="2:17">
      <c r="C23" s="381">
        <v>1</v>
      </c>
      <c r="D23" s="381" t="s">
        <v>725</v>
      </c>
      <c r="O23" s="383"/>
    </row>
    <row r="24" spans="2:17">
      <c r="C24" s="381">
        <v>2</v>
      </c>
      <c r="D24" s="382" t="s">
        <v>726</v>
      </c>
      <c r="O24" s="383"/>
    </row>
    <row r="25" spans="2:17">
      <c r="C25" s="381">
        <v>3</v>
      </c>
      <c r="D25" s="381" t="s">
        <v>727</v>
      </c>
      <c r="O25" s="383"/>
    </row>
    <row r="26" spans="2:17">
      <c r="C26" s="381">
        <v>4</v>
      </c>
      <c r="D26" s="381" t="s">
        <v>728</v>
      </c>
      <c r="O26" s="383"/>
    </row>
    <row r="27" spans="2:17">
      <c r="C27" s="381">
        <v>5</v>
      </c>
      <c r="D27" s="381" t="s">
        <v>729</v>
      </c>
      <c r="O27" s="383"/>
    </row>
  </sheetData>
  <mergeCells count="16">
    <mergeCell ref="P4:P17"/>
    <mergeCell ref="K2:Q2"/>
    <mergeCell ref="D18:D19"/>
    <mergeCell ref="C18:C19"/>
    <mergeCell ref="F2:I2"/>
    <mergeCell ref="C2:C3"/>
    <mergeCell ref="D2:D3"/>
    <mergeCell ref="E2:E3"/>
    <mergeCell ref="D8:D9"/>
    <mergeCell ref="C5:C7"/>
    <mergeCell ref="D10:D12"/>
    <mergeCell ref="C10:C12"/>
    <mergeCell ref="D13:D17"/>
    <mergeCell ref="C13:C17"/>
    <mergeCell ref="D5:D7"/>
    <mergeCell ref="C8:C9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79FC3-B119-488F-B0EC-A04548101526}">
  <dimension ref="B3:L35"/>
  <sheetViews>
    <sheetView workbookViewId="0">
      <selection activeCell="C5" sqref="C5"/>
    </sheetView>
  </sheetViews>
  <sheetFormatPr defaultColWidth="9.140625" defaultRowHeight="15"/>
  <cols>
    <col min="1" max="1" width="9.140625" style="315"/>
    <col min="2" max="2" width="36.5703125" style="315" bestFit="1" customWidth="1"/>
    <col min="3" max="3" width="31.140625" style="369" bestFit="1" customWidth="1"/>
    <col min="4" max="4" width="20.42578125" style="315" customWidth="1"/>
    <col min="5" max="8" width="9.140625" style="315"/>
    <col min="9" max="9" width="16.42578125" style="315" bestFit="1" customWidth="1"/>
    <col min="10" max="11" width="9.140625" style="315"/>
    <col min="12" max="12" width="19.140625" style="315" bestFit="1" customWidth="1"/>
    <col min="13" max="16384" width="9.140625" style="315"/>
  </cols>
  <sheetData>
    <row r="3" spans="2:12">
      <c r="B3" s="433" t="s">
        <v>730</v>
      </c>
    </row>
    <row r="5" spans="2:12">
      <c r="B5" s="315" t="s">
        <v>482</v>
      </c>
      <c r="C5" s="369" t="s">
        <v>731</v>
      </c>
      <c r="D5" s="315" t="s">
        <v>732</v>
      </c>
    </row>
    <row r="6" spans="2:12">
      <c r="B6" s="315" t="s">
        <v>733</v>
      </c>
      <c r="C6" s="369" t="s">
        <v>734</v>
      </c>
    </row>
    <row r="8" spans="2:12">
      <c r="B8" s="433" t="s">
        <v>735</v>
      </c>
    </row>
    <row r="9" spans="2:12">
      <c r="B9" s="315" t="s">
        <v>395</v>
      </c>
      <c r="C9" s="401">
        <v>1</v>
      </c>
      <c r="D9" s="315" t="s">
        <v>681</v>
      </c>
    </row>
    <row r="10" spans="2:12">
      <c r="B10" s="315" t="s">
        <v>401</v>
      </c>
      <c r="C10" s="401">
        <v>0.5</v>
      </c>
      <c r="D10" s="315" t="s">
        <v>736</v>
      </c>
    </row>
    <row r="11" spans="2:12">
      <c r="B11" s="315" t="s">
        <v>737</v>
      </c>
      <c r="C11" s="401">
        <v>1</v>
      </c>
      <c r="D11" s="315" t="s">
        <v>694</v>
      </c>
      <c r="L11" s="339"/>
    </row>
    <row r="13" spans="2:12">
      <c r="B13" s="433" t="s">
        <v>738</v>
      </c>
    </row>
    <row r="14" spans="2:12">
      <c r="B14" s="532" t="s">
        <v>739</v>
      </c>
      <c r="C14" s="369" t="s">
        <v>740</v>
      </c>
      <c r="D14" s="531" t="s">
        <v>741</v>
      </c>
    </row>
    <row r="15" spans="2:12">
      <c r="B15" s="532"/>
      <c r="C15" s="369" t="s">
        <v>742</v>
      </c>
      <c r="D15" s="531"/>
    </row>
    <row r="16" spans="2:12">
      <c r="B16" s="532"/>
      <c r="C16" s="369" t="s">
        <v>743</v>
      </c>
      <c r="D16" s="402" t="s">
        <v>744</v>
      </c>
    </row>
    <row r="18" spans="2:9">
      <c r="B18" s="315" t="s">
        <v>641</v>
      </c>
      <c r="C18" s="369" t="s">
        <v>745</v>
      </c>
      <c r="D18" s="315" t="s">
        <v>746</v>
      </c>
    </row>
    <row r="20" spans="2:9" ht="90">
      <c r="B20" s="315" t="s">
        <v>747</v>
      </c>
      <c r="C20" s="401">
        <v>0.15</v>
      </c>
      <c r="D20" s="336" t="s">
        <v>748</v>
      </c>
    </row>
    <row r="21" spans="2:9">
      <c r="B21" s="315" t="s">
        <v>741</v>
      </c>
      <c r="C21" s="401">
        <v>0.85</v>
      </c>
      <c r="I21" s="315">
        <f>128070*1000000</f>
        <v>128070000000</v>
      </c>
    </row>
    <row r="22" spans="2:9">
      <c r="I22" s="315">
        <f>I21/16500</f>
        <v>7761818.1818181816</v>
      </c>
    </row>
    <row r="23" spans="2:9">
      <c r="B23" s="315" t="s">
        <v>739</v>
      </c>
      <c r="C23" s="401">
        <v>0.4</v>
      </c>
      <c r="D23" s="339">
        <f>0.4*4</f>
        <v>1.6</v>
      </c>
      <c r="E23" s="315" t="s">
        <v>749</v>
      </c>
    </row>
    <row r="24" spans="2:9">
      <c r="B24" s="315" t="s">
        <v>641</v>
      </c>
      <c r="C24" s="401">
        <v>0.6</v>
      </c>
      <c r="D24" s="339">
        <f>0.6*4</f>
        <v>2.4</v>
      </c>
      <c r="E24" s="315" t="s">
        <v>749</v>
      </c>
      <c r="I24" s="315">
        <f>198584*1000000</f>
        <v>198584000000</v>
      </c>
    </row>
    <row r="25" spans="2:9">
      <c r="I25" s="315">
        <f>I24/16500</f>
        <v>12035393.939393939</v>
      </c>
    </row>
    <row r="26" spans="2:9">
      <c r="B26" s="315" t="s">
        <v>750</v>
      </c>
      <c r="C26" s="369" t="s">
        <v>751</v>
      </c>
    </row>
    <row r="28" spans="2:9">
      <c r="B28" s="315" t="s">
        <v>752</v>
      </c>
      <c r="C28" s="435" t="s">
        <v>753</v>
      </c>
    </row>
    <row r="29" spans="2:9">
      <c r="B29" s="436" t="s">
        <v>754</v>
      </c>
    </row>
    <row r="31" spans="2:9">
      <c r="B31" s="315" t="s">
        <v>755</v>
      </c>
    </row>
    <row r="33" spans="2:2">
      <c r="B33" s="315" t="s">
        <v>756</v>
      </c>
    </row>
    <row r="35" spans="2:2">
      <c r="B35" s="315" t="s">
        <v>757</v>
      </c>
    </row>
  </sheetData>
  <mergeCells count="2">
    <mergeCell ref="D14:D15"/>
    <mergeCell ref="B14:B16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80A4B-61BA-4A0A-80DD-92173DDE3BEA}">
  <sheetPr codeName="Sheet6">
    <tabColor theme="7" tint="0.79998168889431442"/>
  </sheetPr>
  <dimension ref="B1:W1276"/>
  <sheetViews>
    <sheetView showGridLines="0" zoomScale="91" zoomScaleNormal="91" zoomScaleSheetLayoutView="40" workbookViewId="0">
      <pane xSplit="10" ySplit="14" topLeftCell="K47" activePane="bottomRight" state="frozen"/>
      <selection pane="topRight" activeCell="U100" sqref="U100"/>
      <selection pane="bottomLeft" activeCell="U100" sqref="U100"/>
      <selection pane="bottomRight" activeCell="K55" sqref="K55"/>
    </sheetView>
  </sheetViews>
  <sheetFormatPr defaultColWidth="0" defaultRowHeight="15" outlineLevelRow="3"/>
  <cols>
    <col min="1" max="2" width="3" customWidth="1"/>
    <col min="3" max="5" width="9.140625" customWidth="1"/>
    <col min="6" max="6" width="12" customWidth="1"/>
    <col min="7" max="7" width="11.28515625" bestFit="1" customWidth="1"/>
    <col min="8" max="8" width="15.28515625" customWidth="1"/>
    <col min="9" max="9" width="35.42578125" customWidth="1"/>
    <col min="10" max="10" width="15.28515625" bestFit="1" customWidth="1"/>
    <col min="11" max="15" width="19.140625" bestFit="1" customWidth="1"/>
    <col min="16" max="23" width="13.5703125" bestFit="1" customWidth="1"/>
    <col min="24" max="24" width="10.5703125" customWidth="1"/>
  </cols>
  <sheetData>
    <row r="1" spans="2:23" s="3" customFormat="1" ht="23.25">
      <c r="B1" s="4" t="s">
        <v>832</v>
      </c>
    </row>
    <row r="2" spans="2:23" ht="15.75">
      <c r="B2" s="5"/>
    </row>
    <row r="4" spans="2:23">
      <c r="B4" t="s">
        <v>29</v>
      </c>
      <c r="D4" s="6">
        <v>1</v>
      </c>
    </row>
    <row r="6" spans="2:23">
      <c r="B6" t="s">
        <v>30</v>
      </c>
      <c r="K6" s="7">
        <f>J7+1</f>
        <v>45292</v>
      </c>
      <c r="L6" s="7">
        <f t="shared" ref="L6:U6" si="0">K7+1</f>
        <v>45658</v>
      </c>
      <c r="M6" s="7">
        <f t="shared" si="0"/>
        <v>46023</v>
      </c>
      <c r="N6" s="7">
        <f t="shared" si="0"/>
        <v>46388</v>
      </c>
      <c r="O6" s="7">
        <f t="shared" si="0"/>
        <v>46753</v>
      </c>
      <c r="P6" s="7">
        <f t="shared" si="0"/>
        <v>47119</v>
      </c>
      <c r="Q6" s="7">
        <f t="shared" si="0"/>
        <v>47484</v>
      </c>
      <c r="R6" s="7">
        <f t="shared" si="0"/>
        <v>47849</v>
      </c>
      <c r="S6" s="7">
        <f t="shared" si="0"/>
        <v>48214</v>
      </c>
      <c r="T6" s="7">
        <f t="shared" si="0"/>
        <v>48580</v>
      </c>
      <c r="U6" s="7">
        <f t="shared" si="0"/>
        <v>48945</v>
      </c>
      <c r="V6" s="7">
        <f>U7+1</f>
        <v>49310</v>
      </c>
      <c r="W6" s="7">
        <f>V7+1</f>
        <v>49675</v>
      </c>
    </row>
    <row r="7" spans="2:23">
      <c r="B7" t="s">
        <v>31</v>
      </c>
      <c r="J7" s="8">
        <v>45291</v>
      </c>
      <c r="K7" s="7">
        <f>EOMONTH(K6,12-1)</f>
        <v>45657</v>
      </c>
      <c r="L7" s="7">
        <f t="shared" ref="L7:U7" si="1">EOMONTH(L6,12-1)</f>
        <v>46022</v>
      </c>
      <c r="M7" s="7">
        <f t="shared" si="1"/>
        <v>46387</v>
      </c>
      <c r="N7" s="7">
        <f t="shared" si="1"/>
        <v>46752</v>
      </c>
      <c r="O7" s="7">
        <f t="shared" si="1"/>
        <v>47118</v>
      </c>
      <c r="P7" s="7">
        <f t="shared" si="1"/>
        <v>47483</v>
      </c>
      <c r="Q7" s="7">
        <f t="shared" si="1"/>
        <v>47848</v>
      </c>
      <c r="R7" s="7">
        <f t="shared" si="1"/>
        <v>48213</v>
      </c>
      <c r="S7" s="7">
        <f t="shared" si="1"/>
        <v>48579</v>
      </c>
      <c r="T7" s="7">
        <f t="shared" si="1"/>
        <v>48944</v>
      </c>
      <c r="U7" s="7">
        <f t="shared" si="1"/>
        <v>49309</v>
      </c>
      <c r="V7" s="7">
        <f>EOMONTH(V6,12-1)</f>
        <v>49674</v>
      </c>
      <c r="W7" s="7">
        <f>EOMONTH(W6,12-1)</f>
        <v>50040</v>
      </c>
    </row>
    <row r="8" spans="2:23">
      <c r="B8" t="s">
        <v>32</v>
      </c>
      <c r="K8" s="9">
        <f>YEAR(K7)</f>
        <v>2024</v>
      </c>
      <c r="L8" s="9">
        <f t="shared" ref="L8:U8" si="2">YEAR(L7)</f>
        <v>2025</v>
      </c>
      <c r="M8" s="9">
        <f t="shared" si="2"/>
        <v>2026</v>
      </c>
      <c r="N8" s="9">
        <f t="shared" si="2"/>
        <v>2027</v>
      </c>
      <c r="O8" s="9">
        <f t="shared" si="2"/>
        <v>2028</v>
      </c>
      <c r="P8" s="9">
        <f t="shared" si="2"/>
        <v>2029</v>
      </c>
      <c r="Q8" s="9">
        <f t="shared" si="2"/>
        <v>2030</v>
      </c>
      <c r="R8" s="9">
        <f t="shared" si="2"/>
        <v>2031</v>
      </c>
      <c r="S8" s="9">
        <f t="shared" si="2"/>
        <v>2032</v>
      </c>
      <c r="T8" s="9">
        <f t="shared" si="2"/>
        <v>2033</v>
      </c>
      <c r="U8" s="9">
        <f t="shared" si="2"/>
        <v>2034</v>
      </c>
      <c r="V8" s="9">
        <f>YEAR(V7)</f>
        <v>2035</v>
      </c>
      <c r="W8" s="9">
        <f>YEAR(W7)</f>
        <v>2036</v>
      </c>
    </row>
    <row r="9" spans="2:23">
      <c r="B9" t="s">
        <v>33</v>
      </c>
      <c r="K9" s="10">
        <f>K7-K6+1</f>
        <v>366</v>
      </c>
      <c r="L9" s="10">
        <f t="shared" ref="L9:U9" si="3">L7-L6+1</f>
        <v>365</v>
      </c>
      <c r="M9" s="10">
        <f t="shared" si="3"/>
        <v>365</v>
      </c>
      <c r="N9" s="10">
        <f t="shared" si="3"/>
        <v>365</v>
      </c>
      <c r="O9" s="10">
        <f t="shared" si="3"/>
        <v>366</v>
      </c>
      <c r="P9" s="10">
        <f t="shared" si="3"/>
        <v>365</v>
      </c>
      <c r="Q9" s="10">
        <f t="shared" si="3"/>
        <v>365</v>
      </c>
      <c r="R9" s="10">
        <f t="shared" si="3"/>
        <v>365</v>
      </c>
      <c r="S9" s="10">
        <f t="shared" si="3"/>
        <v>366</v>
      </c>
      <c r="T9" s="10">
        <f t="shared" si="3"/>
        <v>365</v>
      </c>
      <c r="U9" s="10">
        <f t="shared" si="3"/>
        <v>365</v>
      </c>
      <c r="V9" s="10">
        <f>V7-V6+1</f>
        <v>365</v>
      </c>
      <c r="W9" s="10">
        <f>W7-W6+1</f>
        <v>366</v>
      </c>
    </row>
    <row r="10" spans="2:23">
      <c r="E10" s="11" t="s">
        <v>34</v>
      </c>
      <c r="F10" s="11" t="s">
        <v>35</v>
      </c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2:23">
      <c r="B11" t="s">
        <v>833</v>
      </c>
      <c r="E11" s="12">
        <f>J7</f>
        <v>45291</v>
      </c>
      <c r="F11" s="12">
        <f>K7</f>
        <v>45657</v>
      </c>
      <c r="K11" s="13">
        <f t="shared" ref="K11:U11" si="4">IF(K7=$F$11,1,0)</f>
        <v>1</v>
      </c>
      <c r="L11" s="13">
        <f t="shared" si="4"/>
        <v>0</v>
      </c>
      <c r="M11" s="13">
        <f t="shared" si="4"/>
        <v>0</v>
      </c>
      <c r="N11" s="13">
        <f t="shared" si="4"/>
        <v>0</v>
      </c>
      <c r="O11" s="13">
        <f t="shared" si="4"/>
        <v>0</v>
      </c>
      <c r="P11" s="13">
        <f t="shared" si="4"/>
        <v>0</v>
      </c>
      <c r="Q11" s="13">
        <f t="shared" si="4"/>
        <v>0</v>
      </c>
      <c r="R11" s="13">
        <f t="shared" si="4"/>
        <v>0</v>
      </c>
      <c r="S11" s="13">
        <f t="shared" si="4"/>
        <v>0</v>
      </c>
      <c r="T11" s="13">
        <f t="shared" si="4"/>
        <v>0</v>
      </c>
      <c r="U11" s="13">
        <f t="shared" si="4"/>
        <v>0</v>
      </c>
      <c r="V11" s="13">
        <f>IF(V7=$F$11,1,0)</f>
        <v>0</v>
      </c>
      <c r="W11" s="13">
        <f>IF(W7=$F$11,1,0)</f>
        <v>0</v>
      </c>
    </row>
    <row r="12" spans="2:23">
      <c r="B12" t="s">
        <v>37</v>
      </c>
      <c r="E12" s="12">
        <f>F11</f>
        <v>45657</v>
      </c>
      <c r="F12" s="12">
        <f>EOMONTH(E12,12*9-1)</f>
        <v>48913</v>
      </c>
      <c r="K12" s="13">
        <f>Calculation_FSL!J12</f>
        <v>1</v>
      </c>
      <c r="L12" s="13">
        <f>Calculation_FSL!K12</f>
        <v>1</v>
      </c>
      <c r="M12" s="13">
        <f>Calculation_FSL!L12</f>
        <v>1</v>
      </c>
      <c r="N12" s="13">
        <f>Calculation_FSL!M12</f>
        <v>1</v>
      </c>
      <c r="O12" s="13">
        <f>Calculation_FSL!N12</f>
        <v>1</v>
      </c>
      <c r="P12" s="13">
        <f>Calculation_FSL!O12</f>
        <v>1</v>
      </c>
      <c r="Q12" s="13">
        <f>Calculation_FSL!P12</f>
        <v>1</v>
      </c>
      <c r="R12" s="13">
        <f>Calculation_FSL!Q12</f>
        <v>1</v>
      </c>
      <c r="S12" s="13">
        <f>Calculation_FSL!R12</f>
        <v>1</v>
      </c>
      <c r="T12" s="13">
        <f>Calculation_FSL!S12</f>
        <v>1</v>
      </c>
      <c r="U12" s="13">
        <f>Calculation_FSL!T12</f>
        <v>1</v>
      </c>
      <c r="V12" s="13">
        <f>Calculation_FSL!U12</f>
        <v>1</v>
      </c>
      <c r="W12" s="13">
        <f>Calculation_FSL!V12</f>
        <v>1</v>
      </c>
    </row>
    <row r="13" spans="2:23">
      <c r="F13" s="7"/>
    </row>
    <row r="14" spans="2:23">
      <c r="B14" t="s">
        <v>38</v>
      </c>
      <c r="K14">
        <f>SUM($K$12:K12)</f>
        <v>1</v>
      </c>
      <c r="L14">
        <f>SUM($K$12:L12)</f>
        <v>2</v>
      </c>
      <c r="M14">
        <f>SUM($K$12:M12)</f>
        <v>3</v>
      </c>
      <c r="N14">
        <f>SUM($K$12:N12)</f>
        <v>4</v>
      </c>
      <c r="O14">
        <f>SUM($K$12:O12)</f>
        <v>5</v>
      </c>
      <c r="P14">
        <f>SUM($K$12:P12)</f>
        <v>6</v>
      </c>
      <c r="Q14">
        <f>SUM($K$12:Q12)</f>
        <v>7</v>
      </c>
      <c r="R14">
        <f>SUM($K$12:R12)</f>
        <v>8</v>
      </c>
      <c r="S14">
        <f>SUM($K$12:S12)</f>
        <v>9</v>
      </c>
      <c r="T14">
        <f>SUM($K$12:T12)</f>
        <v>10</v>
      </c>
      <c r="U14">
        <f>SUM($K$12:U12)</f>
        <v>11</v>
      </c>
      <c r="V14">
        <f>SUM($K$12:V12)</f>
        <v>12</v>
      </c>
      <c r="W14">
        <f>SUM($K$12:W12)</f>
        <v>13</v>
      </c>
    </row>
    <row r="17" spans="2:23" ht="24" thickBot="1">
      <c r="B17" s="14" t="s">
        <v>834</v>
      </c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</row>
    <row r="19" spans="2:23" ht="15.75" outlineLevel="1">
      <c r="C19" s="15" t="s">
        <v>835</v>
      </c>
      <c r="G19" s="16">
        <v>1</v>
      </c>
      <c r="H19" s="17" t="s">
        <v>325</v>
      </c>
      <c r="I19" s="17"/>
      <c r="K19" s="18">
        <f>INDEX(K20:K22,$G19,0)</f>
        <v>0</v>
      </c>
      <c r="L19" s="18">
        <f t="shared" ref="L19:U19" si="5">INDEX(L20:L22,$G19,0)</f>
        <v>0</v>
      </c>
      <c r="M19" s="18">
        <f t="shared" si="5"/>
        <v>0</v>
      </c>
      <c r="N19" s="18">
        <f t="shared" si="5"/>
        <v>0</v>
      </c>
      <c r="O19" s="18">
        <f t="shared" si="5"/>
        <v>0</v>
      </c>
      <c r="P19" s="18">
        <f t="shared" si="5"/>
        <v>0</v>
      </c>
      <c r="Q19" s="18">
        <f t="shared" si="5"/>
        <v>0</v>
      </c>
      <c r="R19" s="18">
        <f t="shared" si="5"/>
        <v>0</v>
      </c>
      <c r="S19" s="18">
        <f t="shared" si="5"/>
        <v>0</v>
      </c>
      <c r="T19" s="18">
        <f t="shared" si="5"/>
        <v>0</v>
      </c>
      <c r="U19" s="18">
        <f t="shared" si="5"/>
        <v>0</v>
      </c>
      <c r="V19" s="18">
        <f>INDEX(V20:V22,$G19,0)</f>
        <v>0</v>
      </c>
      <c r="W19" s="18">
        <f>INDEX(W20:W22,$G19,0)</f>
        <v>0</v>
      </c>
    </row>
    <row r="20" spans="2:23" outlineLevel="1">
      <c r="C20" t="s">
        <v>836</v>
      </c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</row>
    <row r="21" spans="2:23" outlineLevel="1"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</row>
    <row r="22" spans="2:23" outlineLevel="1"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</row>
    <row r="23" spans="2:23" outlineLevel="1"/>
    <row r="24" spans="2:23" ht="15.75" outlineLevel="1">
      <c r="C24" s="15" t="s">
        <v>837</v>
      </c>
      <c r="G24" s="16">
        <v>1</v>
      </c>
      <c r="H24" s="17" t="s">
        <v>325</v>
      </c>
      <c r="I24" s="17"/>
      <c r="K24" s="18">
        <f>INDEX(K25:K27,$G24,0)</f>
        <v>0</v>
      </c>
      <c r="L24" s="18">
        <f t="shared" ref="L24:U24" si="6">INDEX(L25:L27,$G24,0)</f>
        <v>0</v>
      </c>
      <c r="M24" s="18">
        <f t="shared" si="6"/>
        <v>0</v>
      </c>
      <c r="N24" s="18">
        <f t="shared" si="6"/>
        <v>0</v>
      </c>
      <c r="O24" s="18">
        <f t="shared" si="6"/>
        <v>0</v>
      </c>
      <c r="P24" s="18">
        <f t="shared" si="6"/>
        <v>0</v>
      </c>
      <c r="Q24" s="18">
        <f t="shared" si="6"/>
        <v>0</v>
      </c>
      <c r="R24" s="18">
        <f t="shared" si="6"/>
        <v>0</v>
      </c>
      <c r="S24" s="18">
        <f t="shared" si="6"/>
        <v>0</v>
      </c>
      <c r="T24" s="18">
        <f t="shared" si="6"/>
        <v>0</v>
      </c>
      <c r="U24" s="18">
        <f t="shared" si="6"/>
        <v>0</v>
      </c>
      <c r="V24" s="18">
        <f>INDEX(V25:V27,$G24,0)</f>
        <v>0</v>
      </c>
      <c r="W24" s="18">
        <f>INDEX(W25:W27,$G24,0)</f>
        <v>0</v>
      </c>
    </row>
    <row r="25" spans="2:23" outlineLevel="1">
      <c r="C25" t="s">
        <v>836</v>
      </c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</row>
    <row r="26" spans="2:23" outlineLevel="1"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</row>
    <row r="27" spans="2:23" outlineLevel="1"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</row>
    <row r="28" spans="2:23" outlineLevel="1"/>
    <row r="29" spans="2:23" ht="24" thickBot="1">
      <c r="B29" s="14" t="s">
        <v>186</v>
      </c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</row>
    <row r="31" spans="2:23" ht="23.25" outlineLevel="1">
      <c r="C31" s="61" t="s">
        <v>9</v>
      </c>
    </row>
    <row r="32" spans="2:23" outlineLevel="1">
      <c r="C32" t="s">
        <v>29</v>
      </c>
      <c r="G32" s="6">
        <v>1</v>
      </c>
    </row>
    <row r="33" spans="3:23" outlineLevel="1"/>
    <row r="34" spans="3:23" outlineLevel="1"/>
    <row r="35" spans="3:23" outlineLevel="1">
      <c r="C35" s="2" t="s">
        <v>838</v>
      </c>
      <c r="K35" s="9">
        <f>K8</f>
        <v>2024</v>
      </c>
      <c r="L35" s="9">
        <f>K35+1</f>
        <v>2025</v>
      </c>
      <c r="M35" s="9">
        <f t="shared" ref="M35:U35" si="7">L35+1</f>
        <v>2026</v>
      </c>
      <c r="N35" s="9">
        <f t="shared" si="7"/>
        <v>2027</v>
      </c>
      <c r="O35" s="9">
        <f t="shared" si="7"/>
        <v>2028</v>
      </c>
      <c r="P35" s="9">
        <f t="shared" si="7"/>
        <v>2029</v>
      </c>
      <c r="Q35" s="9">
        <f t="shared" si="7"/>
        <v>2030</v>
      </c>
      <c r="R35" s="9">
        <f t="shared" si="7"/>
        <v>2031</v>
      </c>
      <c r="S35" s="9">
        <f t="shared" si="7"/>
        <v>2032</v>
      </c>
      <c r="T35" s="9">
        <f t="shared" si="7"/>
        <v>2033</v>
      </c>
      <c r="U35" s="9">
        <f t="shared" si="7"/>
        <v>2034</v>
      </c>
      <c r="V35" s="9">
        <f>U35+1</f>
        <v>2035</v>
      </c>
      <c r="W35" s="9">
        <f>V35+1</f>
        <v>2036</v>
      </c>
    </row>
    <row r="36" spans="3:23" outlineLevel="1">
      <c r="C36" s="407" t="s">
        <v>839</v>
      </c>
      <c r="G36" s="6">
        <f>$G$32</f>
        <v>1</v>
      </c>
      <c r="H36" s="17" t="s">
        <v>325</v>
      </c>
      <c r="I36" s="17"/>
      <c r="K36" s="36">
        <f>INDEX(K37:K39,$G36,0)</f>
        <v>0</v>
      </c>
      <c r="L36" s="36">
        <f t="shared" ref="L36:U36" si="8">INDEX(L37:L39,$G36,0)</f>
        <v>0.03</v>
      </c>
      <c r="M36" s="36">
        <f t="shared" si="8"/>
        <v>0.03</v>
      </c>
      <c r="N36" s="36">
        <f t="shared" si="8"/>
        <v>0.03</v>
      </c>
      <c r="O36" s="36">
        <f t="shared" si="8"/>
        <v>0.03</v>
      </c>
      <c r="P36" s="36">
        <f t="shared" si="8"/>
        <v>0.03</v>
      </c>
      <c r="Q36" s="36">
        <f t="shared" si="8"/>
        <v>0.03</v>
      </c>
      <c r="R36" s="36">
        <f t="shared" si="8"/>
        <v>0.03</v>
      </c>
      <c r="S36" s="36">
        <f t="shared" si="8"/>
        <v>0.03</v>
      </c>
      <c r="T36" s="36">
        <f t="shared" si="8"/>
        <v>0.03</v>
      </c>
      <c r="U36" s="36">
        <f t="shared" si="8"/>
        <v>0.03</v>
      </c>
      <c r="V36" s="36">
        <f>INDEX(V37:V39,$G36,0)</f>
        <v>0.03</v>
      </c>
      <c r="W36" s="36">
        <f>INDEX(W37:W39,$G36,0)</f>
        <v>0.03</v>
      </c>
    </row>
    <row r="37" spans="3:23" outlineLevel="1">
      <c r="C37" s="407" t="s">
        <v>840</v>
      </c>
      <c r="K37" s="24">
        <v>0</v>
      </c>
      <c r="L37" s="24">
        <v>0.03</v>
      </c>
      <c r="M37" s="24">
        <v>0.03</v>
      </c>
      <c r="N37" s="24">
        <v>0.03</v>
      </c>
      <c r="O37" s="24">
        <v>0.03</v>
      </c>
      <c r="P37" s="24">
        <v>0.03</v>
      </c>
      <c r="Q37" s="24">
        <v>0.03</v>
      </c>
      <c r="R37" s="24">
        <v>0.03</v>
      </c>
      <c r="S37" s="24">
        <v>0.03</v>
      </c>
      <c r="T37" s="24">
        <v>0.03</v>
      </c>
      <c r="U37" s="24">
        <v>0.03</v>
      </c>
      <c r="V37" s="24">
        <v>0.03</v>
      </c>
      <c r="W37" s="24">
        <v>0.03</v>
      </c>
    </row>
    <row r="38" spans="3:23" outlineLevel="1"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</row>
    <row r="39" spans="3:23" outlineLevel="1"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</row>
    <row r="40" spans="3:23" outlineLevel="1"/>
    <row r="41" spans="3:23" outlineLevel="1">
      <c r="C41" s="407" t="s">
        <v>841</v>
      </c>
      <c r="G41" s="6">
        <f>$G$32</f>
        <v>1</v>
      </c>
      <c r="J41" s="20">
        <f>INDEX(K41:P41,,$G41)</f>
        <v>2063651.067</v>
      </c>
      <c r="K41" s="19">
        <f>2292945.63*90%</f>
        <v>2063651.067</v>
      </c>
      <c r="L41" s="19"/>
      <c r="M41" s="19"/>
      <c r="N41" s="19"/>
      <c r="O41" s="19"/>
      <c r="P41" s="19"/>
    </row>
    <row r="42" spans="3:23" outlineLevel="1"/>
    <row r="43" spans="3:23" outlineLevel="1">
      <c r="C43" s="407" t="s">
        <v>842</v>
      </c>
      <c r="G43" s="6">
        <f>$G$32</f>
        <v>1</v>
      </c>
      <c r="H43" s="17" t="s">
        <v>325</v>
      </c>
      <c r="I43" s="17"/>
      <c r="K43" s="456">
        <f>INDEX(K44:K46,$G43,0)</f>
        <v>42880</v>
      </c>
      <c r="L43" s="456">
        <f t="shared" ref="L43:T43" si="9">INDEX(L44:L46,$G43,0)</f>
        <v>42880</v>
      </c>
      <c r="M43" s="36">
        <f t="shared" si="9"/>
        <v>42880</v>
      </c>
      <c r="N43" s="36">
        <f t="shared" si="9"/>
        <v>42880</v>
      </c>
      <c r="O43" s="36">
        <f t="shared" si="9"/>
        <v>42880</v>
      </c>
      <c r="P43" s="36">
        <f t="shared" si="9"/>
        <v>44166.400000000001</v>
      </c>
      <c r="Q43" s="36">
        <f t="shared" si="9"/>
        <v>44166.400000000001</v>
      </c>
      <c r="R43" s="36">
        <f t="shared" si="9"/>
        <v>44166.400000000001</v>
      </c>
      <c r="S43" s="36">
        <f t="shared" si="9"/>
        <v>45491.392</v>
      </c>
      <c r="T43" s="36">
        <f t="shared" si="9"/>
        <v>45491.392</v>
      </c>
      <c r="U43" s="36">
        <f>INDEX(U44:U46,$G43,0)</f>
        <v>45491.392</v>
      </c>
      <c r="V43" s="36">
        <f>INDEX(V44:V46,$G43,0)</f>
        <v>45491.392</v>
      </c>
      <c r="W43" s="36">
        <f>INDEX(W44:W46,$G43,0)</f>
        <v>45491.392</v>
      </c>
    </row>
    <row r="44" spans="3:23" outlineLevel="1">
      <c r="C44" s="407" t="s">
        <v>840</v>
      </c>
      <c r="K44" s="26">
        <v>42880</v>
      </c>
      <c r="L44" s="26">
        <f>K44</f>
        <v>42880</v>
      </c>
      <c r="M44" s="26">
        <f t="shared" ref="M44:U44" si="10">L44</f>
        <v>42880</v>
      </c>
      <c r="N44" s="26">
        <f t="shared" si="10"/>
        <v>42880</v>
      </c>
      <c r="O44" s="26">
        <f t="shared" si="10"/>
        <v>42880</v>
      </c>
      <c r="P44" s="26">
        <f>O44*(1+3%)</f>
        <v>44166.400000000001</v>
      </c>
      <c r="Q44" s="26">
        <f t="shared" si="10"/>
        <v>44166.400000000001</v>
      </c>
      <c r="R44" s="26">
        <f t="shared" si="10"/>
        <v>44166.400000000001</v>
      </c>
      <c r="S44" s="26">
        <f>R44*(1+3%)</f>
        <v>45491.392</v>
      </c>
      <c r="T44" s="26">
        <f t="shared" si="10"/>
        <v>45491.392</v>
      </c>
      <c r="U44" s="26">
        <f t="shared" si="10"/>
        <v>45491.392</v>
      </c>
      <c r="V44" s="26">
        <f>U44</f>
        <v>45491.392</v>
      </c>
      <c r="W44" s="26">
        <f>V44</f>
        <v>45491.392</v>
      </c>
    </row>
    <row r="45" spans="3:23" outlineLevel="1"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</row>
    <row r="46" spans="3:23" outlineLevel="1"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</row>
    <row r="47" spans="3:23" outlineLevel="1"/>
    <row r="48" spans="3:23" outlineLevel="1"/>
    <row r="49" spans="3:23" outlineLevel="1">
      <c r="C49" s="2" t="s">
        <v>843</v>
      </c>
    </row>
    <row r="50" spans="3:23" outlineLevel="1">
      <c r="C50" s="407" t="s">
        <v>839</v>
      </c>
      <c r="G50" s="6">
        <f>$G$32</f>
        <v>1</v>
      </c>
      <c r="H50" s="17" t="s">
        <v>325</v>
      </c>
      <c r="I50" s="17"/>
      <c r="K50" s="36">
        <f>INDEX(K51:K53,$G50,0)</f>
        <v>0</v>
      </c>
      <c r="L50" s="36">
        <f t="shared" ref="L50:T50" si="11">INDEX(L51:L53,$G50,0)</f>
        <v>0.03</v>
      </c>
      <c r="M50" s="36">
        <f t="shared" si="11"/>
        <v>0.03</v>
      </c>
      <c r="N50" s="36">
        <f t="shared" si="11"/>
        <v>0.03</v>
      </c>
      <c r="O50" s="36">
        <f t="shared" si="11"/>
        <v>0.03</v>
      </c>
      <c r="P50" s="36">
        <f t="shared" si="11"/>
        <v>0.03</v>
      </c>
      <c r="Q50" s="36">
        <f t="shared" si="11"/>
        <v>0.03</v>
      </c>
      <c r="R50" s="36">
        <f t="shared" si="11"/>
        <v>0.03</v>
      </c>
      <c r="S50" s="36">
        <f t="shared" si="11"/>
        <v>0.03</v>
      </c>
      <c r="T50" s="36">
        <f t="shared" si="11"/>
        <v>0.03</v>
      </c>
      <c r="U50" s="36">
        <f>INDEX(U51:U53,$G50,0)</f>
        <v>0.03</v>
      </c>
      <c r="V50" s="36">
        <f>INDEX(V51:V53,$G50,0)</f>
        <v>0.03</v>
      </c>
      <c r="W50" s="36">
        <f>INDEX(W51:W53,$G50,0)</f>
        <v>0.03</v>
      </c>
    </row>
    <row r="51" spans="3:23" outlineLevel="1">
      <c r="C51" s="407" t="s">
        <v>840</v>
      </c>
      <c r="K51" s="26">
        <v>0</v>
      </c>
      <c r="L51" s="26">
        <v>0.03</v>
      </c>
      <c r="M51" s="26">
        <v>0.03</v>
      </c>
      <c r="N51" s="26">
        <v>0.03</v>
      </c>
      <c r="O51" s="26">
        <v>0.03</v>
      </c>
      <c r="P51" s="26">
        <v>0.03</v>
      </c>
      <c r="Q51" s="26">
        <v>0.03</v>
      </c>
      <c r="R51" s="26">
        <v>0.03</v>
      </c>
      <c r="S51" s="26">
        <v>0.03</v>
      </c>
      <c r="T51" s="26">
        <v>0.03</v>
      </c>
      <c r="U51" s="26">
        <v>0.03</v>
      </c>
      <c r="V51" s="26">
        <v>0.03</v>
      </c>
      <c r="W51" s="26">
        <v>0.03</v>
      </c>
    </row>
    <row r="52" spans="3:23" outlineLevel="1">
      <c r="K52" s="26"/>
      <c r="L52" s="26">
        <v>0.03</v>
      </c>
      <c r="M52" s="26">
        <v>0.03</v>
      </c>
      <c r="N52" s="26">
        <v>0.05</v>
      </c>
      <c r="O52" s="26">
        <v>0.05</v>
      </c>
      <c r="P52" s="26">
        <v>0.04</v>
      </c>
      <c r="Q52" s="26">
        <v>0.04</v>
      </c>
      <c r="R52" s="26">
        <v>0.04</v>
      </c>
      <c r="S52" s="26">
        <v>0.04</v>
      </c>
      <c r="T52" s="26">
        <v>0.04</v>
      </c>
      <c r="U52" s="26">
        <v>0.04</v>
      </c>
      <c r="V52" s="26">
        <v>0.04</v>
      </c>
      <c r="W52" s="26">
        <v>0.04</v>
      </c>
    </row>
    <row r="53" spans="3:23" outlineLevel="1"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</row>
    <row r="54" spans="3:23" outlineLevel="1"/>
    <row r="55" spans="3:23" outlineLevel="1">
      <c r="C55" s="407" t="s">
        <v>841</v>
      </c>
      <c r="G55" s="6">
        <f>$G$32</f>
        <v>1</v>
      </c>
      <c r="J55" s="20">
        <f>INDEX(K55:P55,,$G55)</f>
        <v>1602574.2089999998</v>
      </c>
      <c r="K55" s="19">
        <f>1686920.22*95%</f>
        <v>1602574.2089999998</v>
      </c>
      <c r="L55" s="19">
        <v>1286920.22</v>
      </c>
      <c r="M55" s="19"/>
      <c r="N55" s="19"/>
      <c r="O55" s="19"/>
      <c r="P55" s="19"/>
    </row>
    <row r="56" spans="3:23" outlineLevel="1"/>
    <row r="57" spans="3:23" outlineLevel="1">
      <c r="C57" s="407" t="s">
        <v>844</v>
      </c>
      <c r="G57" s="6">
        <f>$G$32</f>
        <v>1</v>
      </c>
      <c r="H57" s="17" t="s">
        <v>325</v>
      </c>
      <c r="I57" s="17"/>
      <c r="K57" s="36">
        <f>INDEX(K58:K60,$G57,0)</f>
        <v>42400</v>
      </c>
      <c r="L57" s="36">
        <f t="shared" ref="L57:T57" si="12">INDEX(L58:L60,$G57,0)</f>
        <v>42400</v>
      </c>
      <c r="M57" s="36">
        <f t="shared" si="12"/>
        <v>42400</v>
      </c>
      <c r="N57" s="36">
        <f t="shared" si="12"/>
        <v>42400</v>
      </c>
      <c r="O57" s="36">
        <f t="shared" si="12"/>
        <v>42400</v>
      </c>
      <c r="P57" s="36">
        <f t="shared" si="12"/>
        <v>43672</v>
      </c>
      <c r="Q57" s="36">
        <f t="shared" si="12"/>
        <v>43672</v>
      </c>
      <c r="R57" s="36">
        <f t="shared" si="12"/>
        <v>43672</v>
      </c>
      <c r="S57" s="36">
        <f t="shared" si="12"/>
        <v>44982.16</v>
      </c>
      <c r="T57" s="36">
        <f t="shared" si="12"/>
        <v>44982.16</v>
      </c>
      <c r="U57" s="36">
        <f>INDEX(U58:U60,$G57,0)</f>
        <v>44982.16</v>
      </c>
      <c r="V57" s="36">
        <f>INDEX(V58:V60,$G57,0)</f>
        <v>44982.16</v>
      </c>
      <c r="W57" s="36">
        <f>INDEX(W58:W60,$G57,0)</f>
        <v>44982.16</v>
      </c>
    </row>
    <row r="58" spans="3:23" outlineLevel="1">
      <c r="C58" s="407" t="s">
        <v>840</v>
      </c>
      <c r="K58" s="26">
        <v>42400</v>
      </c>
      <c r="L58" s="26">
        <f>K58</f>
        <v>42400</v>
      </c>
      <c r="M58" s="26">
        <f>L58</f>
        <v>42400</v>
      </c>
      <c r="N58" s="26">
        <f>M58</f>
        <v>42400</v>
      </c>
      <c r="O58" s="26">
        <f>N58</f>
        <v>42400</v>
      </c>
      <c r="P58" s="26">
        <f>O58*(1+3%)</f>
        <v>43672</v>
      </c>
      <c r="Q58" s="26">
        <f>P58</f>
        <v>43672</v>
      </c>
      <c r="R58" s="26">
        <f>Q58</f>
        <v>43672</v>
      </c>
      <c r="S58" s="26">
        <f>R58*(1+3%)</f>
        <v>44982.16</v>
      </c>
      <c r="T58" s="26">
        <f>S58</f>
        <v>44982.16</v>
      </c>
      <c r="U58" s="26">
        <f>T58</f>
        <v>44982.16</v>
      </c>
      <c r="V58" s="26">
        <f>U58</f>
        <v>44982.16</v>
      </c>
      <c r="W58" s="26">
        <f>V58</f>
        <v>44982.16</v>
      </c>
    </row>
    <row r="59" spans="3:23" outlineLevel="1"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</row>
    <row r="60" spans="3:23" outlineLevel="1"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</row>
    <row r="61" spans="3:23" ht="23.25" outlineLevel="1">
      <c r="C61" s="61" t="s">
        <v>473</v>
      </c>
    </row>
    <row r="62" spans="3:23" outlineLevel="1">
      <c r="C62" s="407" t="s">
        <v>492</v>
      </c>
      <c r="G62" s="6">
        <f>$G$32</f>
        <v>1</v>
      </c>
      <c r="H62" s="17" t="s">
        <v>325</v>
      </c>
      <c r="I62" s="17"/>
      <c r="K62" s="36">
        <f>INDEX(K63:K65,$G62,0)</f>
        <v>0</v>
      </c>
      <c r="L62" s="36">
        <f t="shared" ref="L62:T62" si="13">INDEX(L63:L65,$G62,0)</f>
        <v>0</v>
      </c>
      <c r="M62" s="36">
        <f t="shared" si="13"/>
        <v>1</v>
      </c>
      <c r="N62" s="36">
        <f t="shared" si="13"/>
        <v>1</v>
      </c>
      <c r="O62" s="36">
        <f t="shared" si="13"/>
        <v>1</v>
      </c>
      <c r="P62" s="36">
        <f t="shared" si="13"/>
        <v>2</v>
      </c>
      <c r="Q62" s="36">
        <f t="shared" si="13"/>
        <v>2</v>
      </c>
      <c r="R62" s="36">
        <f t="shared" si="13"/>
        <v>2</v>
      </c>
      <c r="S62" s="36">
        <f t="shared" si="13"/>
        <v>3</v>
      </c>
      <c r="T62" s="36">
        <f t="shared" si="13"/>
        <v>3</v>
      </c>
      <c r="U62" s="36">
        <f>INDEX(U63:U65,$G62,0)</f>
        <v>3</v>
      </c>
      <c r="V62" s="36">
        <f>INDEX(V63:V65,$G62,0)</f>
        <v>3</v>
      </c>
      <c r="W62" s="36">
        <f>INDEX(W63:W65,$G62,0)</f>
        <v>3</v>
      </c>
    </row>
    <row r="63" spans="3:23" outlineLevel="1">
      <c r="C63" s="407" t="s">
        <v>840</v>
      </c>
      <c r="K63" s="26">
        <v>0</v>
      </c>
      <c r="L63" s="26">
        <v>0</v>
      </c>
      <c r="M63" s="26">
        <v>1</v>
      </c>
      <c r="N63" s="26">
        <v>1</v>
      </c>
      <c r="O63" s="26">
        <v>1</v>
      </c>
      <c r="P63" s="26">
        <v>2</v>
      </c>
      <c r="Q63" s="26">
        <v>2</v>
      </c>
      <c r="R63" s="26">
        <v>2</v>
      </c>
      <c r="S63" s="26">
        <v>3</v>
      </c>
      <c r="T63" s="26">
        <v>3</v>
      </c>
      <c r="U63" s="26">
        <v>3</v>
      </c>
      <c r="V63" s="26">
        <v>3</v>
      </c>
      <c r="W63" s="26">
        <v>3</v>
      </c>
    </row>
    <row r="64" spans="3:23" outlineLevel="1"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</row>
    <row r="65" spans="3:23" outlineLevel="1"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</row>
    <row r="66" spans="3:23" ht="23.25" outlineLevel="1">
      <c r="C66" s="61"/>
    </row>
    <row r="67" spans="3:23" ht="23.25" outlineLevel="1">
      <c r="C67" s="61"/>
    </row>
    <row r="68" spans="3:23" outlineLevel="1">
      <c r="C68" s="407" t="s">
        <v>584</v>
      </c>
      <c r="G68" s="6">
        <f>$G$32</f>
        <v>1</v>
      </c>
      <c r="H68" s="17" t="s">
        <v>325</v>
      </c>
      <c r="I68" s="17"/>
      <c r="K68" s="36">
        <f>INDEX(K69:K71,$G68,0)</f>
        <v>3.5000000000000003E-2</v>
      </c>
      <c r="L68" s="36">
        <f t="shared" ref="L68:T68" si="14">INDEX(L69:L71,$G68,0)</f>
        <v>3.5000000000000003E-2</v>
      </c>
      <c r="M68" s="36">
        <f t="shared" si="14"/>
        <v>3.5000000000000003E-2</v>
      </c>
      <c r="N68" s="36">
        <f t="shared" si="14"/>
        <v>3.5000000000000003E-2</v>
      </c>
      <c r="O68" s="36">
        <f t="shared" si="14"/>
        <v>3.5000000000000003E-2</v>
      </c>
      <c r="P68" s="36">
        <f t="shared" si="14"/>
        <v>3.5000000000000003E-2</v>
      </c>
      <c r="Q68" s="36">
        <f t="shared" si="14"/>
        <v>3.5000000000000003E-2</v>
      </c>
      <c r="R68" s="36">
        <f t="shared" si="14"/>
        <v>3.5000000000000003E-2</v>
      </c>
      <c r="S68" s="36">
        <f t="shared" si="14"/>
        <v>3.5000000000000003E-2</v>
      </c>
      <c r="T68" s="36">
        <f t="shared" si="14"/>
        <v>3.5000000000000003E-2</v>
      </c>
      <c r="U68" s="36">
        <f>INDEX(U69:U71,$G68,0)</f>
        <v>3.5000000000000003E-2</v>
      </c>
      <c r="V68" s="36">
        <f>INDEX(V69:V71,$G68,0)</f>
        <v>3.5000000000000003E-2</v>
      </c>
      <c r="W68" s="36">
        <f>INDEX(W69:W71,$G68,0)</f>
        <v>3.5000000000000003E-2</v>
      </c>
    </row>
    <row r="69" spans="3:23" outlineLevel="1">
      <c r="C69" s="407" t="s">
        <v>840</v>
      </c>
      <c r="K69" s="26">
        <v>3.5000000000000003E-2</v>
      </c>
      <c r="L69" s="26">
        <v>3.5000000000000003E-2</v>
      </c>
      <c r="M69" s="26">
        <v>3.5000000000000003E-2</v>
      </c>
      <c r="N69" s="26">
        <v>3.5000000000000003E-2</v>
      </c>
      <c r="O69" s="26">
        <v>3.5000000000000003E-2</v>
      </c>
      <c r="P69" s="26">
        <v>3.5000000000000003E-2</v>
      </c>
      <c r="Q69" s="26">
        <v>3.5000000000000003E-2</v>
      </c>
      <c r="R69" s="26">
        <v>3.5000000000000003E-2</v>
      </c>
      <c r="S69" s="26">
        <v>3.5000000000000003E-2</v>
      </c>
      <c r="T69" s="26">
        <v>3.5000000000000003E-2</v>
      </c>
      <c r="U69" s="26">
        <v>3.5000000000000003E-2</v>
      </c>
      <c r="V69" s="26">
        <v>3.5000000000000003E-2</v>
      </c>
      <c r="W69" s="26">
        <v>3.5000000000000003E-2</v>
      </c>
    </row>
    <row r="70" spans="3:23" outlineLevel="1"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</row>
    <row r="71" spans="3:23" outlineLevel="1"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</row>
    <row r="72" spans="3:23" outlineLevel="1"/>
    <row r="73" spans="3:23" outlineLevel="1"/>
    <row r="74" spans="3:23" outlineLevel="1"/>
    <row r="75" spans="3:23" outlineLevel="1">
      <c r="C75" s="407" t="s">
        <v>845</v>
      </c>
      <c r="G75" s="6">
        <f>$G$32</f>
        <v>1</v>
      </c>
      <c r="H75" s="17" t="s">
        <v>325</v>
      </c>
      <c r="I75" s="17"/>
      <c r="K75" s="36">
        <f>INDEX(K76:K78,$G75,0)</f>
        <v>0.03</v>
      </c>
      <c r="L75" s="36">
        <f t="shared" ref="L75:T75" si="15">INDEX(L76:L78,$G75,0)</f>
        <v>0.03</v>
      </c>
      <c r="M75" s="36">
        <f t="shared" si="15"/>
        <v>0.03</v>
      </c>
      <c r="N75" s="36">
        <f t="shared" si="15"/>
        <v>0.03</v>
      </c>
      <c r="O75" s="36">
        <f t="shared" si="15"/>
        <v>0.03</v>
      </c>
      <c r="P75" s="36">
        <f t="shared" si="15"/>
        <v>0.03</v>
      </c>
      <c r="Q75" s="36">
        <f t="shared" si="15"/>
        <v>0.03</v>
      </c>
      <c r="R75" s="36">
        <f t="shared" si="15"/>
        <v>0.03</v>
      </c>
      <c r="S75" s="36">
        <f t="shared" si="15"/>
        <v>0.03</v>
      </c>
      <c r="T75" s="36">
        <f t="shared" si="15"/>
        <v>0.03</v>
      </c>
      <c r="U75" s="36">
        <f>INDEX(U76:U78,$G75,0)</f>
        <v>0.03</v>
      </c>
      <c r="V75" s="36">
        <f>INDEX(V76:V78,$G75,0)</f>
        <v>0.03</v>
      </c>
      <c r="W75" s="36">
        <f>INDEX(W76:W78,$G75,0)</f>
        <v>0.03</v>
      </c>
    </row>
    <row r="76" spans="3:23" outlineLevel="1">
      <c r="C76" s="407" t="s">
        <v>840</v>
      </c>
      <c r="K76" s="26">
        <v>0.03</v>
      </c>
      <c r="L76" s="26">
        <v>0.03</v>
      </c>
      <c r="M76" s="26">
        <v>0.03</v>
      </c>
      <c r="N76" s="26">
        <v>0.03</v>
      </c>
      <c r="O76" s="26">
        <v>0.03</v>
      </c>
      <c r="P76" s="26">
        <v>0.03</v>
      </c>
      <c r="Q76" s="26">
        <v>0.03</v>
      </c>
      <c r="R76" s="26">
        <v>0.03</v>
      </c>
      <c r="S76" s="26">
        <v>0.03</v>
      </c>
      <c r="T76" s="26">
        <v>0.03</v>
      </c>
      <c r="U76" s="26">
        <v>0.03</v>
      </c>
      <c r="V76" s="26">
        <v>0.03</v>
      </c>
      <c r="W76" s="26">
        <v>0.03</v>
      </c>
    </row>
    <row r="77" spans="3:23" outlineLevel="1"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</row>
    <row r="78" spans="3:23" outlineLevel="1"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</row>
    <row r="79" spans="3:23" ht="23.25" outlineLevel="1">
      <c r="C79" s="61"/>
    </row>
    <row r="80" spans="3:23" outlineLevel="1">
      <c r="C80" s="407" t="s">
        <v>846</v>
      </c>
      <c r="G80" s="6">
        <f>$G$32</f>
        <v>1</v>
      </c>
      <c r="H80" s="17" t="s">
        <v>325</v>
      </c>
      <c r="I80" s="17"/>
      <c r="K80" s="36">
        <f>INDEX(K81:K83,$G80,0)</f>
        <v>0.03</v>
      </c>
      <c r="L80" s="36">
        <f t="shared" ref="L80:T80" si="16">INDEX(L81:L83,$G80,0)</f>
        <v>0.03</v>
      </c>
      <c r="M80" s="36">
        <f t="shared" si="16"/>
        <v>0.03</v>
      </c>
      <c r="N80" s="36">
        <f t="shared" si="16"/>
        <v>0.03</v>
      </c>
      <c r="O80" s="36">
        <f t="shared" si="16"/>
        <v>0.03</v>
      </c>
      <c r="P80" s="36">
        <f t="shared" si="16"/>
        <v>0.03</v>
      </c>
      <c r="Q80" s="36">
        <f t="shared" si="16"/>
        <v>0.03</v>
      </c>
      <c r="R80" s="36">
        <f t="shared" si="16"/>
        <v>0.03</v>
      </c>
      <c r="S80" s="36">
        <f t="shared" si="16"/>
        <v>0.03</v>
      </c>
      <c r="T80" s="36">
        <f t="shared" si="16"/>
        <v>0.03</v>
      </c>
      <c r="U80" s="36">
        <f>INDEX(U81:U83,$G80,0)</f>
        <v>0.03</v>
      </c>
      <c r="V80" s="36">
        <f>INDEX(V81:V83,$G80,0)</f>
        <v>0.03</v>
      </c>
      <c r="W80" s="36">
        <f>INDEX(W81:W83,$G80,0)</f>
        <v>0.03</v>
      </c>
    </row>
    <row r="81" spans="3:23" outlineLevel="1">
      <c r="C81" s="407" t="s">
        <v>840</v>
      </c>
      <c r="K81" s="26">
        <v>0.03</v>
      </c>
      <c r="L81" s="26">
        <v>0.03</v>
      </c>
      <c r="M81" s="26">
        <v>0.03</v>
      </c>
      <c r="N81" s="26">
        <v>0.03</v>
      </c>
      <c r="O81" s="26">
        <v>0.03</v>
      </c>
      <c r="P81" s="26">
        <v>0.03</v>
      </c>
      <c r="Q81" s="26">
        <v>0.03</v>
      </c>
      <c r="R81" s="26">
        <v>0.03</v>
      </c>
      <c r="S81" s="26">
        <v>0.03</v>
      </c>
      <c r="T81" s="26">
        <v>0.03</v>
      </c>
      <c r="U81" s="26">
        <v>0.03</v>
      </c>
      <c r="V81" s="26">
        <v>0.03</v>
      </c>
      <c r="W81" s="26">
        <v>0.03</v>
      </c>
    </row>
    <row r="82" spans="3:23" outlineLevel="1"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</row>
    <row r="83" spans="3:23" outlineLevel="1"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</row>
    <row r="84" spans="3:23" outlineLevel="1"/>
    <row r="85" spans="3:23" outlineLevel="1">
      <c r="C85" s="407" t="s">
        <v>847</v>
      </c>
      <c r="G85" s="6">
        <f>$G$32</f>
        <v>1</v>
      </c>
      <c r="H85" s="17" t="s">
        <v>325</v>
      </c>
      <c r="I85" s="17"/>
      <c r="K85" s="36">
        <f>INDEX(K86:K88,$G85,0)</f>
        <v>3.5000000000000003E-2</v>
      </c>
      <c r="L85" s="36">
        <f t="shared" ref="L85:T85" si="17">INDEX(L86:L88,$G85,0)</f>
        <v>3.5000000000000003E-2</v>
      </c>
      <c r="M85" s="36">
        <f t="shared" si="17"/>
        <v>3.5000000000000003E-2</v>
      </c>
      <c r="N85" s="36">
        <f t="shared" si="17"/>
        <v>3.5000000000000003E-2</v>
      </c>
      <c r="O85" s="36">
        <f t="shared" si="17"/>
        <v>3.5000000000000003E-2</v>
      </c>
      <c r="P85" s="36">
        <f t="shared" si="17"/>
        <v>3.5000000000000003E-2</v>
      </c>
      <c r="Q85" s="36">
        <f t="shared" si="17"/>
        <v>3.5000000000000003E-2</v>
      </c>
      <c r="R85" s="36">
        <f t="shared" si="17"/>
        <v>3.5000000000000003E-2</v>
      </c>
      <c r="S85" s="36">
        <f t="shared" si="17"/>
        <v>3.5000000000000003E-2</v>
      </c>
      <c r="T85" s="36">
        <f t="shared" si="17"/>
        <v>3.5000000000000003E-2</v>
      </c>
      <c r="U85" s="36">
        <f>INDEX(U86:U88,$G85,0)</f>
        <v>3.5000000000000003E-2</v>
      </c>
      <c r="V85" s="36">
        <f>INDEX(V86:V88,$G85,0)</f>
        <v>3.5000000000000003E-2</v>
      </c>
      <c r="W85" s="36">
        <f>INDEX(W86:W88,$G85,0)</f>
        <v>3.5000000000000003E-2</v>
      </c>
    </row>
    <row r="86" spans="3:23" outlineLevel="1">
      <c r="C86" s="407" t="s">
        <v>840</v>
      </c>
      <c r="K86" s="26">
        <v>3.5000000000000003E-2</v>
      </c>
      <c r="L86" s="26">
        <v>3.5000000000000003E-2</v>
      </c>
      <c r="M86" s="26">
        <v>3.5000000000000003E-2</v>
      </c>
      <c r="N86" s="26">
        <v>3.5000000000000003E-2</v>
      </c>
      <c r="O86" s="26">
        <v>3.5000000000000003E-2</v>
      </c>
      <c r="P86" s="26">
        <v>3.5000000000000003E-2</v>
      </c>
      <c r="Q86" s="26">
        <v>3.5000000000000003E-2</v>
      </c>
      <c r="R86" s="26">
        <v>3.5000000000000003E-2</v>
      </c>
      <c r="S86" s="26">
        <v>3.5000000000000003E-2</v>
      </c>
      <c r="T86" s="26">
        <v>3.5000000000000003E-2</v>
      </c>
      <c r="U86" s="26">
        <v>3.5000000000000003E-2</v>
      </c>
      <c r="V86" s="26">
        <v>3.5000000000000003E-2</v>
      </c>
      <c r="W86" s="26">
        <v>3.5000000000000003E-2</v>
      </c>
    </row>
    <row r="87" spans="3:23" outlineLevel="1"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</row>
    <row r="88" spans="3:23" outlineLevel="1"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</row>
    <row r="89" spans="3:23" outlineLevel="1"/>
    <row r="90" spans="3:23" outlineLevel="1">
      <c r="C90" s="407" t="s">
        <v>848</v>
      </c>
      <c r="G90" s="6">
        <f>$G$32</f>
        <v>1</v>
      </c>
      <c r="H90" s="17" t="s">
        <v>325</v>
      </c>
      <c r="I90" s="17"/>
      <c r="K90" s="36">
        <f>INDEX(K91:K93,$G90,0)</f>
        <v>0.03</v>
      </c>
      <c r="L90" s="36">
        <f t="shared" ref="L90:T90" si="18">INDEX(L91:L93,$G90,0)</f>
        <v>0.03</v>
      </c>
      <c r="M90" s="36">
        <f t="shared" si="18"/>
        <v>0.03</v>
      </c>
      <c r="N90" s="36">
        <f t="shared" si="18"/>
        <v>0.03</v>
      </c>
      <c r="O90" s="36">
        <f t="shared" si="18"/>
        <v>0.03</v>
      </c>
      <c r="P90" s="36">
        <f t="shared" si="18"/>
        <v>0.03</v>
      </c>
      <c r="Q90" s="36">
        <f t="shared" si="18"/>
        <v>0.03</v>
      </c>
      <c r="R90" s="36">
        <f t="shared" si="18"/>
        <v>0.03</v>
      </c>
      <c r="S90" s="36">
        <f t="shared" si="18"/>
        <v>0.03</v>
      </c>
      <c r="T90" s="36">
        <f t="shared" si="18"/>
        <v>0.03</v>
      </c>
      <c r="U90" s="36">
        <f>INDEX(U91:U93,$G90,0)</f>
        <v>0.03</v>
      </c>
      <c r="V90" s="36">
        <f>INDEX(V91:V93,$G90,0)</f>
        <v>0.03</v>
      </c>
      <c r="W90" s="36">
        <f>INDEX(W91:W93,$G90,0)</f>
        <v>0.03</v>
      </c>
    </row>
    <row r="91" spans="3:23" outlineLevel="1">
      <c r="C91" s="407" t="s">
        <v>840</v>
      </c>
      <c r="K91" s="26">
        <v>0.03</v>
      </c>
      <c r="L91" s="26">
        <v>0.03</v>
      </c>
      <c r="M91" s="26">
        <v>0.03</v>
      </c>
      <c r="N91" s="26">
        <v>0.03</v>
      </c>
      <c r="O91" s="26">
        <v>0.03</v>
      </c>
      <c r="P91" s="26">
        <v>0.03</v>
      </c>
      <c r="Q91" s="26">
        <v>0.03</v>
      </c>
      <c r="R91" s="26">
        <v>0.03</v>
      </c>
      <c r="S91" s="26">
        <v>0.03</v>
      </c>
      <c r="T91" s="26">
        <v>0.03</v>
      </c>
      <c r="U91" s="26">
        <v>0.03</v>
      </c>
      <c r="V91" s="26">
        <v>0.03</v>
      </c>
      <c r="W91" s="26">
        <v>0.03</v>
      </c>
    </row>
    <row r="92" spans="3:23" outlineLevel="1"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</row>
    <row r="93" spans="3:23" outlineLevel="1"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</row>
    <row r="94" spans="3:23" outlineLevel="1"/>
    <row r="95" spans="3:23" outlineLevel="1">
      <c r="C95" s="407" t="s">
        <v>849</v>
      </c>
      <c r="G95" s="6">
        <f>$G$32</f>
        <v>1</v>
      </c>
      <c r="H95" s="17" t="s">
        <v>325</v>
      </c>
      <c r="I95" s="17"/>
      <c r="K95" s="36">
        <f>INDEX(K96:K98,$G95,0)</f>
        <v>3.5000000000000003E-2</v>
      </c>
      <c r="L95" s="36">
        <f t="shared" ref="L95:T95" si="19">INDEX(L96:L98,$G95,0)</f>
        <v>3.5000000000000003E-2</v>
      </c>
      <c r="M95" s="36">
        <f t="shared" si="19"/>
        <v>3.5000000000000003E-2</v>
      </c>
      <c r="N95" s="36">
        <f t="shared" si="19"/>
        <v>3.5000000000000003E-2</v>
      </c>
      <c r="O95" s="36">
        <f t="shared" si="19"/>
        <v>3.5000000000000003E-2</v>
      </c>
      <c r="P95" s="36">
        <f t="shared" si="19"/>
        <v>3.5000000000000003E-2</v>
      </c>
      <c r="Q95" s="36">
        <f t="shared" si="19"/>
        <v>3.5000000000000003E-2</v>
      </c>
      <c r="R95" s="36">
        <f t="shared" si="19"/>
        <v>3.5000000000000003E-2</v>
      </c>
      <c r="S95" s="36">
        <f t="shared" si="19"/>
        <v>3.5000000000000003E-2</v>
      </c>
      <c r="T95" s="36">
        <f t="shared" si="19"/>
        <v>3.5000000000000003E-2</v>
      </c>
      <c r="U95" s="36">
        <f>INDEX(U96:U98,$G95,0)</f>
        <v>3.5000000000000003E-2</v>
      </c>
      <c r="V95" s="36">
        <f>INDEX(V96:V98,$G95,0)</f>
        <v>3.5000000000000003E-2</v>
      </c>
      <c r="W95" s="36">
        <f>INDEX(W96:W98,$G95,0)</f>
        <v>3.5000000000000003E-2</v>
      </c>
    </row>
    <row r="96" spans="3:23" outlineLevel="1">
      <c r="C96" s="407" t="s">
        <v>840</v>
      </c>
      <c r="K96" s="26">
        <v>3.5000000000000003E-2</v>
      </c>
      <c r="L96" s="26">
        <v>3.5000000000000003E-2</v>
      </c>
      <c r="M96" s="26">
        <v>3.5000000000000003E-2</v>
      </c>
      <c r="N96" s="26">
        <v>3.5000000000000003E-2</v>
      </c>
      <c r="O96" s="26">
        <v>3.5000000000000003E-2</v>
      </c>
      <c r="P96" s="26">
        <v>3.5000000000000003E-2</v>
      </c>
      <c r="Q96" s="26">
        <v>3.5000000000000003E-2</v>
      </c>
      <c r="R96" s="26">
        <v>3.5000000000000003E-2</v>
      </c>
      <c r="S96" s="26">
        <v>3.5000000000000003E-2</v>
      </c>
      <c r="T96" s="26">
        <v>3.5000000000000003E-2</v>
      </c>
      <c r="U96" s="26">
        <v>3.5000000000000003E-2</v>
      </c>
      <c r="V96" s="26">
        <v>3.5000000000000003E-2</v>
      </c>
      <c r="W96" s="26">
        <v>3.5000000000000003E-2</v>
      </c>
    </row>
    <row r="97" spans="3:23" outlineLevel="1"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</row>
    <row r="98" spans="3:23" outlineLevel="1"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</row>
    <row r="99" spans="3:23" outlineLevel="1"/>
    <row r="100" spans="3:23" outlineLevel="1">
      <c r="C100" s="407" t="s">
        <v>586</v>
      </c>
      <c r="G100" s="6">
        <f>$G$32</f>
        <v>1</v>
      </c>
      <c r="H100" s="17" t="s">
        <v>325</v>
      </c>
      <c r="I100" s="17"/>
      <c r="K100" s="36">
        <f>INDEX(K101:K103,$G100,0)</f>
        <v>2.1302304373178781E-2</v>
      </c>
      <c r="L100" s="36">
        <f t="shared" ref="L100:T100" si="20">INDEX(L101:L103,$G100,0)</f>
        <v>2.1302304373178781E-2</v>
      </c>
      <c r="M100" s="36">
        <f t="shared" si="20"/>
        <v>2.1302304373178781E-2</v>
      </c>
      <c r="N100" s="36">
        <f t="shared" si="20"/>
        <v>2.1302304373178781E-2</v>
      </c>
      <c r="O100" s="36">
        <f t="shared" si="20"/>
        <v>2.1302304373178781E-2</v>
      </c>
      <c r="P100" s="36">
        <f t="shared" si="20"/>
        <v>2.1302304373178781E-2</v>
      </c>
      <c r="Q100" s="36">
        <f t="shared" si="20"/>
        <v>2.1302304373178781E-2</v>
      </c>
      <c r="R100" s="36">
        <f t="shared" si="20"/>
        <v>2.1302304373178781E-2</v>
      </c>
      <c r="S100" s="36">
        <f t="shared" si="20"/>
        <v>2.1302304373178781E-2</v>
      </c>
      <c r="T100" s="36">
        <f t="shared" si="20"/>
        <v>2.1302304373178781E-2</v>
      </c>
      <c r="U100" s="36">
        <f>INDEX(U101:U103,$G100,0)</f>
        <v>2.1302304373178781E-2</v>
      </c>
      <c r="V100" s="36">
        <f>INDEX(V101:V103,$G100,0)</f>
        <v>2.1302304373178781E-2</v>
      </c>
      <c r="W100" s="36">
        <f>INDEX(W101:W103,$G100,0)</f>
        <v>2.1302304373178781E-2</v>
      </c>
    </row>
    <row r="101" spans="3:23" outlineLevel="1">
      <c r="C101" s="407" t="s">
        <v>840</v>
      </c>
      <c r="K101" s="26">
        <v>2.1302304373178781E-2</v>
      </c>
      <c r="L101" s="26">
        <v>2.1302304373178781E-2</v>
      </c>
      <c r="M101" s="26">
        <v>2.1302304373178781E-2</v>
      </c>
      <c r="N101" s="26">
        <v>2.1302304373178781E-2</v>
      </c>
      <c r="O101" s="26">
        <v>2.1302304373178781E-2</v>
      </c>
      <c r="P101" s="26">
        <v>2.1302304373178781E-2</v>
      </c>
      <c r="Q101" s="26">
        <v>2.1302304373178781E-2</v>
      </c>
      <c r="R101" s="26">
        <v>2.1302304373178781E-2</v>
      </c>
      <c r="S101" s="26">
        <v>2.1302304373178781E-2</v>
      </c>
      <c r="T101" s="26">
        <v>2.1302304373178781E-2</v>
      </c>
      <c r="U101" s="26">
        <v>2.1302304373178781E-2</v>
      </c>
      <c r="V101" s="26">
        <v>2.1302304373178781E-2</v>
      </c>
      <c r="W101" s="26">
        <v>2.1302304373178781E-2</v>
      </c>
    </row>
    <row r="102" spans="3:23" outlineLevel="1"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</row>
    <row r="103" spans="3:23" outlineLevel="1"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</row>
    <row r="104" spans="3:23" outlineLevel="1"/>
    <row r="105" spans="3:23" outlineLevel="1">
      <c r="C105" s="407" t="s">
        <v>850</v>
      </c>
      <c r="G105" s="6">
        <f>$G$32</f>
        <v>1</v>
      </c>
      <c r="H105" s="17" t="s">
        <v>325</v>
      </c>
      <c r="I105" s="17"/>
      <c r="K105" s="36">
        <f>INDEX(K106:K108,$G105,0)</f>
        <v>3.5000000000000003E-2</v>
      </c>
      <c r="L105" s="36">
        <f t="shared" ref="L105:T105" si="21">INDEX(L106:L108,$G105,0)</f>
        <v>3.5000000000000003E-2</v>
      </c>
      <c r="M105" s="36">
        <f t="shared" si="21"/>
        <v>3.5000000000000003E-2</v>
      </c>
      <c r="N105" s="36">
        <f t="shared" si="21"/>
        <v>3.5000000000000003E-2</v>
      </c>
      <c r="O105" s="36">
        <f t="shared" si="21"/>
        <v>3.5000000000000003E-2</v>
      </c>
      <c r="P105" s="36">
        <f t="shared" si="21"/>
        <v>3.5000000000000003E-2</v>
      </c>
      <c r="Q105" s="36">
        <f t="shared" si="21"/>
        <v>3.5000000000000003E-2</v>
      </c>
      <c r="R105" s="36">
        <f t="shared" si="21"/>
        <v>3.5000000000000003E-2</v>
      </c>
      <c r="S105" s="36">
        <f t="shared" si="21"/>
        <v>3.5000000000000003E-2</v>
      </c>
      <c r="T105" s="36">
        <f t="shared" si="21"/>
        <v>3.5000000000000003E-2</v>
      </c>
      <c r="U105" s="36">
        <f>INDEX(U106:U108,$G105,0)</f>
        <v>3.5000000000000003E-2</v>
      </c>
      <c r="V105" s="36">
        <f>INDEX(V106:V108,$G105,0)</f>
        <v>3.5000000000000003E-2</v>
      </c>
      <c r="W105" s="36">
        <f>INDEX(W106:W108,$G105,0)</f>
        <v>3.5000000000000003E-2</v>
      </c>
    </row>
    <row r="106" spans="3:23" outlineLevel="1">
      <c r="C106" s="407" t="s">
        <v>840</v>
      </c>
      <c r="K106" s="26">
        <v>3.5000000000000003E-2</v>
      </c>
      <c r="L106" s="26">
        <v>3.5000000000000003E-2</v>
      </c>
      <c r="M106" s="26">
        <v>3.5000000000000003E-2</v>
      </c>
      <c r="N106" s="26">
        <v>3.5000000000000003E-2</v>
      </c>
      <c r="O106" s="26">
        <v>3.5000000000000003E-2</v>
      </c>
      <c r="P106" s="26">
        <v>3.5000000000000003E-2</v>
      </c>
      <c r="Q106" s="26">
        <v>3.5000000000000003E-2</v>
      </c>
      <c r="R106" s="26">
        <v>3.5000000000000003E-2</v>
      </c>
      <c r="S106" s="26">
        <v>3.5000000000000003E-2</v>
      </c>
      <c r="T106" s="26">
        <v>3.5000000000000003E-2</v>
      </c>
      <c r="U106" s="26">
        <v>3.5000000000000003E-2</v>
      </c>
      <c r="V106" s="26">
        <v>3.5000000000000003E-2</v>
      </c>
      <c r="W106" s="26">
        <v>3.5000000000000003E-2</v>
      </c>
    </row>
    <row r="107" spans="3:23" outlineLevel="1"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</row>
    <row r="108" spans="3:23" outlineLevel="1"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</row>
    <row r="109" spans="3:23" outlineLevel="1"/>
    <row r="110" spans="3:23" outlineLevel="1">
      <c r="C110" s="407" t="s">
        <v>851</v>
      </c>
      <c r="G110" s="6">
        <f>$G$32</f>
        <v>1</v>
      </c>
      <c r="H110" s="17" t="s">
        <v>325</v>
      </c>
      <c r="I110" s="17"/>
      <c r="K110" s="36">
        <f>INDEX(K111:K113,$G110,0)</f>
        <v>0.03</v>
      </c>
      <c r="L110" s="36">
        <f t="shared" ref="L110:T110" si="22">INDEX(L111:L113,$G110,0)</f>
        <v>0.03</v>
      </c>
      <c r="M110" s="36">
        <f t="shared" si="22"/>
        <v>0.03</v>
      </c>
      <c r="N110" s="36">
        <f t="shared" si="22"/>
        <v>0.03</v>
      </c>
      <c r="O110" s="36">
        <f t="shared" si="22"/>
        <v>0.03</v>
      </c>
      <c r="P110" s="36">
        <f t="shared" si="22"/>
        <v>0.03</v>
      </c>
      <c r="Q110" s="36">
        <f t="shared" si="22"/>
        <v>0.03</v>
      </c>
      <c r="R110" s="36">
        <f t="shared" si="22"/>
        <v>0.03</v>
      </c>
      <c r="S110" s="36">
        <f t="shared" si="22"/>
        <v>0.03</v>
      </c>
      <c r="T110" s="36">
        <f t="shared" si="22"/>
        <v>0.03</v>
      </c>
      <c r="U110" s="36">
        <f>INDEX(U111:U113,$G110,0)</f>
        <v>0.03</v>
      </c>
      <c r="V110" s="36">
        <f>INDEX(V111:V113,$G110,0)</f>
        <v>0.03</v>
      </c>
      <c r="W110" s="36">
        <f>INDEX(W111:W113,$G110,0)</f>
        <v>0.03</v>
      </c>
    </row>
    <row r="111" spans="3:23" outlineLevel="1">
      <c r="C111" s="407" t="s">
        <v>840</v>
      </c>
      <c r="K111" s="26">
        <v>0.03</v>
      </c>
      <c r="L111" s="26">
        <v>0.03</v>
      </c>
      <c r="M111" s="26">
        <v>0.03</v>
      </c>
      <c r="N111" s="26">
        <v>0.03</v>
      </c>
      <c r="O111" s="26">
        <v>0.03</v>
      </c>
      <c r="P111" s="26">
        <v>0.03</v>
      </c>
      <c r="Q111" s="26">
        <v>0.03</v>
      </c>
      <c r="R111" s="26">
        <v>0.03</v>
      </c>
      <c r="S111" s="26">
        <v>0.03</v>
      </c>
      <c r="T111" s="26">
        <v>0.03</v>
      </c>
      <c r="U111" s="26">
        <v>0.03</v>
      </c>
      <c r="V111" s="26">
        <v>0.03</v>
      </c>
      <c r="W111" s="26">
        <v>0.03</v>
      </c>
    </row>
    <row r="112" spans="3:23" outlineLevel="1"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</row>
    <row r="113" spans="3:23" outlineLevel="1"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</row>
    <row r="114" spans="3:23" outlineLevel="1"/>
    <row r="115" spans="3:23" ht="23.25" outlineLevel="1">
      <c r="C115" s="61" t="s">
        <v>852</v>
      </c>
    </row>
    <row r="116" spans="3:23" outlineLevel="1"/>
    <row r="117" spans="3:23" ht="15.75" outlineLevel="1">
      <c r="C117" s="15" t="s">
        <v>853</v>
      </c>
    </row>
    <row r="118" spans="3:23" ht="15.75" outlineLevel="1">
      <c r="C118" s="15"/>
    </row>
    <row r="119" spans="3:23" outlineLevel="1">
      <c r="C119" t="s">
        <v>854</v>
      </c>
      <c r="G119" s="6">
        <f t="shared" ref="G119:G130" si="23">$G$32</f>
        <v>1</v>
      </c>
      <c r="H119" s="17" t="s">
        <v>315</v>
      </c>
      <c r="I119">
        <v>4.4313345909633002</v>
      </c>
      <c r="J119" s="488">
        <f t="shared" ref="J119:J130" si="24">INDEX(K119:P119,,$G119)</f>
        <v>6.6470018864449507</v>
      </c>
      <c r="K119" s="63">
        <f>I119*(150%)</f>
        <v>6.6470018864449507</v>
      </c>
      <c r="L119" s="19"/>
      <c r="M119" s="19"/>
      <c r="N119" s="19"/>
      <c r="O119" s="19"/>
      <c r="P119" s="19"/>
    </row>
    <row r="120" spans="3:23" outlineLevel="1">
      <c r="C120" t="s">
        <v>855</v>
      </c>
      <c r="G120" s="6">
        <f t="shared" si="23"/>
        <v>1</v>
      </c>
      <c r="H120" s="17" t="s">
        <v>315</v>
      </c>
      <c r="I120">
        <v>1.70485667995</v>
      </c>
      <c r="J120" s="62">
        <f t="shared" si="24"/>
        <v>2.5572850199250001</v>
      </c>
      <c r="K120" s="63">
        <f t="shared" ref="K120:K130" si="25">I120*(150%)</f>
        <v>2.5572850199250001</v>
      </c>
      <c r="L120" s="19"/>
      <c r="M120" s="19"/>
      <c r="N120" s="19"/>
      <c r="O120" s="19"/>
      <c r="P120" s="19"/>
    </row>
    <row r="121" spans="3:23" outlineLevel="1">
      <c r="C121" t="s">
        <v>856</v>
      </c>
      <c r="G121" s="6">
        <f t="shared" si="23"/>
        <v>1</v>
      </c>
      <c r="H121" s="17" t="s">
        <v>315</v>
      </c>
      <c r="I121">
        <v>0.69940016000000005</v>
      </c>
      <c r="J121" s="62">
        <f t="shared" si="24"/>
        <v>1.04910024</v>
      </c>
      <c r="K121" s="63">
        <f t="shared" si="25"/>
        <v>1.04910024</v>
      </c>
      <c r="L121" s="19"/>
      <c r="M121" s="19"/>
      <c r="N121" s="19"/>
      <c r="O121" s="19"/>
      <c r="P121" s="19"/>
    </row>
    <row r="122" spans="3:23" outlineLevel="1">
      <c r="C122" t="s">
        <v>857</v>
      </c>
      <c r="G122" s="6">
        <f t="shared" si="23"/>
        <v>1</v>
      </c>
      <c r="H122" s="17" t="s">
        <v>315</v>
      </c>
      <c r="I122">
        <v>0.66299453613699999</v>
      </c>
      <c r="J122" s="62">
        <f t="shared" si="24"/>
        <v>0.99449180420549999</v>
      </c>
      <c r="K122" s="63">
        <f t="shared" si="25"/>
        <v>0.99449180420549999</v>
      </c>
      <c r="L122" s="19"/>
      <c r="M122" s="19"/>
      <c r="N122" s="19"/>
      <c r="O122" s="19"/>
      <c r="P122" s="19"/>
    </row>
    <row r="123" spans="3:23" outlineLevel="1">
      <c r="C123" t="s">
        <v>858</v>
      </c>
      <c r="G123" s="6">
        <f t="shared" si="23"/>
        <v>1</v>
      </c>
      <c r="H123" s="17" t="s">
        <v>315</v>
      </c>
      <c r="I123">
        <v>0.5239755843467</v>
      </c>
      <c r="J123" s="62">
        <f t="shared" si="24"/>
        <v>0.78596337652004999</v>
      </c>
      <c r="K123" s="63">
        <f t="shared" si="25"/>
        <v>0.78596337652004999</v>
      </c>
      <c r="L123" s="19"/>
      <c r="M123" s="19"/>
      <c r="N123" s="19"/>
      <c r="O123" s="19"/>
      <c r="P123" s="19"/>
    </row>
    <row r="124" spans="3:23" outlineLevel="1">
      <c r="C124" t="s">
        <v>859</v>
      </c>
      <c r="G124" s="6">
        <f t="shared" si="23"/>
        <v>1</v>
      </c>
      <c r="H124" s="17" t="s">
        <v>315</v>
      </c>
      <c r="I124">
        <v>0.43889630771830002</v>
      </c>
      <c r="J124" s="62">
        <f t="shared" si="24"/>
        <v>0.65834446157745008</v>
      </c>
      <c r="K124" s="63">
        <f t="shared" si="25"/>
        <v>0.65834446157745008</v>
      </c>
      <c r="L124" s="19"/>
      <c r="M124" s="19"/>
      <c r="N124" s="19"/>
      <c r="O124" s="19"/>
      <c r="P124" s="19"/>
    </row>
    <row r="125" spans="3:23" outlineLevel="1">
      <c r="C125" t="s">
        <v>860</v>
      </c>
      <c r="G125" s="6">
        <f t="shared" si="23"/>
        <v>1</v>
      </c>
      <c r="H125" s="17" t="s">
        <v>315</v>
      </c>
      <c r="I125">
        <v>0.18272252599</v>
      </c>
      <c r="J125" s="488">
        <f t="shared" si="24"/>
        <v>0.27408378898499997</v>
      </c>
      <c r="K125" s="63">
        <f t="shared" si="25"/>
        <v>0.27408378898499997</v>
      </c>
      <c r="L125" s="19"/>
      <c r="M125" s="19"/>
      <c r="N125" s="19"/>
      <c r="O125" s="19"/>
      <c r="P125" s="19"/>
    </row>
    <row r="126" spans="3:23" outlineLevel="1">
      <c r="C126" t="s">
        <v>861</v>
      </c>
      <c r="G126" s="6">
        <f t="shared" si="23"/>
        <v>1</v>
      </c>
      <c r="H126" s="17" t="s">
        <v>315</v>
      </c>
      <c r="I126">
        <v>0.17889313300000001</v>
      </c>
      <c r="J126" s="62">
        <f t="shared" si="24"/>
        <v>0.26833969950000003</v>
      </c>
      <c r="K126" s="63">
        <f t="shared" si="25"/>
        <v>0.26833969950000003</v>
      </c>
      <c r="L126" s="19"/>
      <c r="M126" s="19"/>
      <c r="N126" s="19"/>
      <c r="O126" s="19"/>
      <c r="P126" s="19"/>
    </row>
    <row r="127" spans="3:23" outlineLevel="1">
      <c r="C127" t="s">
        <v>862</v>
      </c>
      <c r="G127" s="6">
        <f t="shared" si="23"/>
        <v>1</v>
      </c>
      <c r="H127" s="17" t="s">
        <v>315</v>
      </c>
      <c r="I127">
        <v>0.15018628395</v>
      </c>
      <c r="J127" s="62">
        <f t="shared" si="24"/>
        <v>0.225279425925</v>
      </c>
      <c r="K127" s="63">
        <f t="shared" si="25"/>
        <v>0.225279425925</v>
      </c>
      <c r="L127" s="19"/>
      <c r="M127" s="19"/>
      <c r="N127" s="19"/>
      <c r="O127" s="19"/>
      <c r="P127" s="19"/>
    </row>
    <row r="128" spans="3:23" outlineLevel="1">
      <c r="C128" t="s">
        <v>863</v>
      </c>
      <c r="G128" s="6">
        <f t="shared" si="23"/>
        <v>1</v>
      </c>
      <c r="H128" s="17" t="s">
        <v>315</v>
      </c>
      <c r="I128">
        <v>0.14188256974000002</v>
      </c>
      <c r="J128" s="62">
        <f t="shared" si="24"/>
        <v>0.21282385461000003</v>
      </c>
      <c r="K128" s="63">
        <f t="shared" si="25"/>
        <v>0.21282385461000003</v>
      </c>
      <c r="L128" s="19"/>
      <c r="M128" s="19"/>
      <c r="N128" s="19"/>
      <c r="O128" s="19"/>
      <c r="P128" s="19"/>
    </row>
    <row r="129" spans="3:23" outlineLevel="1">
      <c r="C129" t="s">
        <v>864</v>
      </c>
      <c r="G129" s="6">
        <f t="shared" si="23"/>
        <v>1</v>
      </c>
      <c r="H129" s="17" t="s">
        <v>315</v>
      </c>
      <c r="I129">
        <v>0.12822099967</v>
      </c>
      <c r="J129" s="62">
        <f t="shared" si="24"/>
        <v>0.192331499505</v>
      </c>
      <c r="K129" s="63">
        <f t="shared" si="25"/>
        <v>0.192331499505</v>
      </c>
      <c r="L129" s="19"/>
      <c r="M129" s="19"/>
      <c r="N129" s="19"/>
      <c r="O129" s="19"/>
      <c r="P129" s="19"/>
    </row>
    <row r="130" spans="3:23" outlineLevel="1">
      <c r="C130" t="s">
        <v>865</v>
      </c>
      <c r="G130" s="6">
        <f t="shared" si="23"/>
        <v>1</v>
      </c>
      <c r="H130" s="17" t="s">
        <v>315</v>
      </c>
      <c r="I130">
        <v>1.400805E-3</v>
      </c>
      <c r="J130" s="62">
        <f t="shared" si="24"/>
        <v>2.1012075000000001E-3</v>
      </c>
      <c r="K130" s="63">
        <f t="shared" si="25"/>
        <v>2.1012075000000001E-3</v>
      </c>
      <c r="L130" s="19"/>
      <c r="M130" s="19"/>
      <c r="N130" s="19"/>
      <c r="O130" s="19"/>
      <c r="P130" s="19"/>
    </row>
    <row r="131" spans="3:23" outlineLevel="1"/>
    <row r="132" spans="3:23" outlineLevel="1"/>
    <row r="133" spans="3:23" ht="15.75" outlineLevel="1">
      <c r="C133" s="15" t="s">
        <v>866</v>
      </c>
    </row>
    <row r="134" spans="3:23" outlineLevel="1">
      <c r="C134" s="407" t="s">
        <v>854</v>
      </c>
      <c r="G134" s="6">
        <f>$G$32</f>
        <v>1</v>
      </c>
      <c r="H134" s="17" t="s">
        <v>325</v>
      </c>
      <c r="I134" s="17"/>
      <c r="K134" s="36">
        <f>INDEX(K135:K137,$G134,0)</f>
        <v>0.03</v>
      </c>
      <c r="L134" s="36">
        <f t="shared" ref="L134:T134" si="26">INDEX(L135:L137,$G134,0)</f>
        <v>0.03</v>
      </c>
      <c r="M134" s="36">
        <f t="shared" si="26"/>
        <v>0.03</v>
      </c>
      <c r="N134" s="36">
        <f t="shared" si="26"/>
        <v>0.03</v>
      </c>
      <c r="O134" s="36">
        <f t="shared" si="26"/>
        <v>0.03</v>
      </c>
      <c r="P134" s="36">
        <f t="shared" si="26"/>
        <v>0.03</v>
      </c>
      <c r="Q134" s="36">
        <f t="shared" si="26"/>
        <v>0.03</v>
      </c>
      <c r="R134" s="36">
        <f t="shared" si="26"/>
        <v>0.03</v>
      </c>
      <c r="S134" s="36">
        <f t="shared" si="26"/>
        <v>0.03</v>
      </c>
      <c r="T134" s="36">
        <f t="shared" si="26"/>
        <v>0.03</v>
      </c>
      <c r="U134" s="36">
        <f>INDEX(U135:U137,$G134,0)</f>
        <v>0.03</v>
      </c>
      <c r="V134" s="36">
        <f>INDEX(V135:V137,$G134,0)</f>
        <v>0.03</v>
      </c>
      <c r="W134" s="36">
        <f>INDEX(W135:W137,$G134,0)</f>
        <v>0.03</v>
      </c>
    </row>
    <row r="135" spans="3:23" outlineLevel="1">
      <c r="C135" s="407" t="s">
        <v>840</v>
      </c>
      <c r="K135" s="26">
        <v>0.03</v>
      </c>
      <c r="L135" s="26">
        <v>0.03</v>
      </c>
      <c r="M135" s="26">
        <v>0.03</v>
      </c>
      <c r="N135" s="26">
        <v>0.03</v>
      </c>
      <c r="O135" s="26">
        <v>0.03</v>
      </c>
      <c r="P135" s="26">
        <v>0.03</v>
      </c>
      <c r="Q135" s="26">
        <v>0.03</v>
      </c>
      <c r="R135" s="26">
        <v>0.03</v>
      </c>
      <c r="S135" s="26">
        <v>0.03</v>
      </c>
      <c r="T135" s="26">
        <v>0.03</v>
      </c>
      <c r="U135" s="26">
        <v>0.03</v>
      </c>
      <c r="V135" s="26">
        <v>0.03</v>
      </c>
      <c r="W135" s="26">
        <v>0.03</v>
      </c>
    </row>
    <row r="136" spans="3:23" outlineLevel="1"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</row>
    <row r="137" spans="3:23" outlineLevel="1"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</row>
    <row r="138" spans="3:23" ht="23.25" outlineLevel="1">
      <c r="C138" s="61"/>
    </row>
    <row r="139" spans="3:23" outlineLevel="1">
      <c r="C139" s="407" t="s">
        <v>855</v>
      </c>
      <c r="G139" s="6">
        <f>$G$32</f>
        <v>1</v>
      </c>
      <c r="H139" s="17" t="s">
        <v>325</v>
      </c>
      <c r="I139" s="17"/>
      <c r="K139" s="36">
        <f>INDEX(K140:K142,$G139,0)</f>
        <v>3.5000000000000003E-2</v>
      </c>
      <c r="L139" s="36">
        <f t="shared" ref="L139:T139" si="27">INDEX(L140:L142,$G139,0)</f>
        <v>3.5000000000000003E-2</v>
      </c>
      <c r="M139" s="36">
        <f t="shared" si="27"/>
        <v>3.5000000000000003E-2</v>
      </c>
      <c r="N139" s="36">
        <f t="shared" si="27"/>
        <v>3.5000000000000003E-2</v>
      </c>
      <c r="O139" s="36">
        <f t="shared" si="27"/>
        <v>3.5000000000000003E-2</v>
      </c>
      <c r="P139" s="36">
        <f t="shared" si="27"/>
        <v>3.5000000000000003E-2</v>
      </c>
      <c r="Q139" s="36">
        <f t="shared" si="27"/>
        <v>3.5000000000000003E-2</v>
      </c>
      <c r="R139" s="36">
        <f t="shared" si="27"/>
        <v>3.5000000000000003E-2</v>
      </c>
      <c r="S139" s="36">
        <f t="shared" si="27"/>
        <v>3.5000000000000003E-2</v>
      </c>
      <c r="T139" s="36">
        <f t="shared" si="27"/>
        <v>3.5000000000000003E-2</v>
      </c>
      <c r="U139" s="36">
        <f>INDEX(U140:U142,$G139,0)</f>
        <v>3.5000000000000003E-2</v>
      </c>
      <c r="V139" s="36">
        <f>INDEX(V140:V142,$G139,0)</f>
        <v>3.5000000000000003E-2</v>
      </c>
      <c r="W139" s="36">
        <f>INDEX(W140:W142,$G139,0)</f>
        <v>3.5000000000000003E-2</v>
      </c>
    </row>
    <row r="140" spans="3:23" outlineLevel="1">
      <c r="C140" s="407" t="s">
        <v>840</v>
      </c>
      <c r="K140" s="26">
        <v>3.5000000000000003E-2</v>
      </c>
      <c r="L140" s="26">
        <v>3.5000000000000003E-2</v>
      </c>
      <c r="M140" s="26">
        <v>3.5000000000000003E-2</v>
      </c>
      <c r="N140" s="26">
        <v>3.5000000000000003E-2</v>
      </c>
      <c r="O140" s="26">
        <v>3.5000000000000003E-2</v>
      </c>
      <c r="P140" s="26">
        <v>3.5000000000000003E-2</v>
      </c>
      <c r="Q140" s="26">
        <v>3.5000000000000003E-2</v>
      </c>
      <c r="R140" s="26">
        <v>3.5000000000000003E-2</v>
      </c>
      <c r="S140" s="26">
        <v>3.5000000000000003E-2</v>
      </c>
      <c r="T140" s="26">
        <v>3.5000000000000003E-2</v>
      </c>
      <c r="U140" s="26">
        <v>3.5000000000000003E-2</v>
      </c>
      <c r="V140" s="26">
        <v>3.5000000000000003E-2</v>
      </c>
      <c r="W140" s="26">
        <v>3.5000000000000003E-2</v>
      </c>
    </row>
    <row r="141" spans="3:23" outlineLevel="1"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</row>
    <row r="142" spans="3:23" outlineLevel="1"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</row>
    <row r="143" spans="3:23" ht="23.25" outlineLevel="1">
      <c r="C143" s="61"/>
    </row>
    <row r="144" spans="3:23" outlineLevel="1">
      <c r="C144" s="407" t="s">
        <v>867</v>
      </c>
      <c r="G144" s="6">
        <f>$G$32</f>
        <v>1</v>
      </c>
      <c r="H144" s="17" t="s">
        <v>325</v>
      </c>
      <c r="I144" s="17"/>
      <c r="K144" s="36">
        <f>INDEX(K145:K147,$G144,0)</f>
        <v>0.03</v>
      </c>
      <c r="L144" s="36">
        <f t="shared" ref="L144:T144" si="28">INDEX(L145:L147,$G144,0)</f>
        <v>0.03</v>
      </c>
      <c r="M144" s="36">
        <f t="shared" si="28"/>
        <v>0.03</v>
      </c>
      <c r="N144" s="36">
        <f t="shared" si="28"/>
        <v>0.03</v>
      </c>
      <c r="O144" s="36">
        <f t="shared" si="28"/>
        <v>0.03</v>
      </c>
      <c r="P144" s="36">
        <f t="shared" si="28"/>
        <v>0.03</v>
      </c>
      <c r="Q144" s="36">
        <f t="shared" si="28"/>
        <v>0.03</v>
      </c>
      <c r="R144" s="36">
        <f t="shared" si="28"/>
        <v>0.03</v>
      </c>
      <c r="S144" s="36">
        <f t="shared" si="28"/>
        <v>0.03</v>
      </c>
      <c r="T144" s="36">
        <f t="shared" si="28"/>
        <v>0.03</v>
      </c>
      <c r="U144" s="36">
        <f>INDEX(U145:U147,$G144,0)</f>
        <v>0.03</v>
      </c>
      <c r="V144" s="36">
        <f>INDEX(V145:V147,$G144,0)</f>
        <v>0.03</v>
      </c>
      <c r="W144" s="36">
        <f>INDEX(W145:W147,$G144,0)</f>
        <v>0.03</v>
      </c>
    </row>
    <row r="145" spans="3:23" outlineLevel="1">
      <c r="C145" s="407" t="s">
        <v>840</v>
      </c>
      <c r="K145" s="26">
        <v>0.03</v>
      </c>
      <c r="L145" s="26">
        <v>0.03</v>
      </c>
      <c r="M145" s="26">
        <v>0.03</v>
      </c>
      <c r="N145" s="26">
        <v>0.03</v>
      </c>
      <c r="O145" s="26">
        <v>0.03</v>
      </c>
      <c r="P145" s="26">
        <v>0.03</v>
      </c>
      <c r="Q145" s="26">
        <v>0.03</v>
      </c>
      <c r="R145" s="26">
        <v>0.03</v>
      </c>
      <c r="S145" s="26">
        <v>0.03</v>
      </c>
      <c r="T145" s="26">
        <v>0.03</v>
      </c>
      <c r="U145" s="26">
        <v>0.03</v>
      </c>
      <c r="V145" s="26">
        <v>0.03</v>
      </c>
      <c r="W145" s="26">
        <v>0.03</v>
      </c>
    </row>
    <row r="146" spans="3:23" outlineLevel="1"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</row>
    <row r="147" spans="3:23" outlineLevel="1"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</row>
    <row r="148" spans="3:23" ht="23.25" outlineLevel="1">
      <c r="C148" s="61"/>
    </row>
    <row r="149" spans="3:23" ht="23.25" outlineLevel="1">
      <c r="C149" s="61"/>
    </row>
    <row r="150" spans="3:23" outlineLevel="1">
      <c r="C150" s="407" t="s">
        <v>857</v>
      </c>
      <c r="G150" s="6">
        <f>$G$32</f>
        <v>1</v>
      </c>
      <c r="H150" s="17" t="s">
        <v>325</v>
      </c>
      <c r="I150" s="17"/>
      <c r="K150" s="36">
        <f>INDEX(K151:K153,$G150,0)</f>
        <v>0.03</v>
      </c>
      <c r="L150" s="36">
        <f t="shared" ref="L150:T150" si="29">INDEX(L151:L153,$G150,0)</f>
        <v>0.03</v>
      </c>
      <c r="M150" s="36">
        <f t="shared" si="29"/>
        <v>0.03</v>
      </c>
      <c r="N150" s="36">
        <f t="shared" si="29"/>
        <v>0.03</v>
      </c>
      <c r="O150" s="36">
        <f t="shared" si="29"/>
        <v>0.03</v>
      </c>
      <c r="P150" s="36">
        <f t="shared" si="29"/>
        <v>0.03</v>
      </c>
      <c r="Q150" s="36">
        <f t="shared" si="29"/>
        <v>0.03</v>
      </c>
      <c r="R150" s="36">
        <f t="shared" si="29"/>
        <v>0.03</v>
      </c>
      <c r="S150" s="36">
        <f t="shared" si="29"/>
        <v>0.03</v>
      </c>
      <c r="T150" s="36">
        <f t="shared" si="29"/>
        <v>0.03</v>
      </c>
      <c r="U150" s="36">
        <f>INDEX(U151:U153,$G150,0)</f>
        <v>0.03</v>
      </c>
      <c r="V150" s="36">
        <f>INDEX(V151:V153,$G150,0)</f>
        <v>0.03</v>
      </c>
      <c r="W150" s="36">
        <f>INDEX(W151:W153,$G150,0)</f>
        <v>0.03</v>
      </c>
    </row>
    <row r="151" spans="3:23" outlineLevel="1">
      <c r="C151" s="407" t="s">
        <v>840</v>
      </c>
      <c r="K151" s="26">
        <v>0.03</v>
      </c>
      <c r="L151" s="26">
        <v>0.03</v>
      </c>
      <c r="M151" s="26">
        <v>0.03</v>
      </c>
      <c r="N151" s="26">
        <v>0.03</v>
      </c>
      <c r="O151" s="26">
        <v>0.03</v>
      </c>
      <c r="P151" s="26">
        <v>0.03</v>
      </c>
      <c r="Q151" s="26">
        <v>0.03</v>
      </c>
      <c r="R151" s="26">
        <v>0.03</v>
      </c>
      <c r="S151" s="26">
        <v>0.03</v>
      </c>
      <c r="T151" s="26">
        <v>0.03</v>
      </c>
      <c r="U151" s="26">
        <v>0.03</v>
      </c>
      <c r="V151" s="26">
        <v>0.03</v>
      </c>
      <c r="W151" s="26">
        <v>0.03</v>
      </c>
    </row>
    <row r="152" spans="3:23" outlineLevel="1"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</row>
    <row r="153" spans="3:23" outlineLevel="1"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</row>
    <row r="154" spans="3:23" outlineLevel="1"/>
    <row r="155" spans="3:23" outlineLevel="1">
      <c r="C155" s="407" t="s">
        <v>858</v>
      </c>
      <c r="G155" s="6">
        <f>$G$32</f>
        <v>1</v>
      </c>
      <c r="H155" s="17" t="s">
        <v>325</v>
      </c>
      <c r="I155" s="17"/>
      <c r="K155" s="36">
        <f>INDEX(K156:K158,$G155,0)</f>
        <v>0.02</v>
      </c>
      <c r="L155" s="36">
        <f t="shared" ref="L155:T155" si="30">INDEX(L156:L158,$G155,0)</f>
        <v>0.02</v>
      </c>
      <c r="M155" s="36">
        <f t="shared" si="30"/>
        <v>0.02</v>
      </c>
      <c r="N155" s="36">
        <f t="shared" si="30"/>
        <v>0.02</v>
      </c>
      <c r="O155" s="36">
        <f t="shared" si="30"/>
        <v>0.02</v>
      </c>
      <c r="P155" s="36">
        <f t="shared" si="30"/>
        <v>0.02</v>
      </c>
      <c r="Q155" s="36">
        <f t="shared" si="30"/>
        <v>0.02</v>
      </c>
      <c r="R155" s="36">
        <f t="shared" si="30"/>
        <v>0.02</v>
      </c>
      <c r="S155" s="36">
        <f t="shared" si="30"/>
        <v>0.02</v>
      </c>
      <c r="T155" s="36">
        <f t="shared" si="30"/>
        <v>0.02</v>
      </c>
      <c r="U155" s="36">
        <f>INDEX(U156:U158,$G155,0)</f>
        <v>0.02</v>
      </c>
      <c r="V155" s="36">
        <f>INDEX(V156:V158,$G155,0)</f>
        <v>0.02</v>
      </c>
      <c r="W155" s="36">
        <f>INDEX(W156:W158,$G155,0)</f>
        <v>0.02</v>
      </c>
    </row>
    <row r="156" spans="3:23" outlineLevel="1">
      <c r="C156" s="407" t="s">
        <v>840</v>
      </c>
      <c r="K156" s="26">
        <v>0.02</v>
      </c>
      <c r="L156" s="26">
        <v>0.02</v>
      </c>
      <c r="M156" s="26">
        <v>0.02</v>
      </c>
      <c r="N156" s="26">
        <v>0.02</v>
      </c>
      <c r="O156" s="26">
        <v>0.02</v>
      </c>
      <c r="P156" s="26">
        <v>0.02</v>
      </c>
      <c r="Q156" s="26">
        <v>0.02</v>
      </c>
      <c r="R156" s="26">
        <v>0.02</v>
      </c>
      <c r="S156" s="26">
        <v>0.02</v>
      </c>
      <c r="T156" s="26">
        <v>0.02</v>
      </c>
      <c r="U156" s="26">
        <v>0.02</v>
      </c>
      <c r="V156" s="26">
        <v>0.02</v>
      </c>
      <c r="W156" s="26">
        <v>0.02</v>
      </c>
    </row>
    <row r="157" spans="3:23" outlineLevel="1"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</row>
    <row r="158" spans="3:23" outlineLevel="1"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</row>
    <row r="159" spans="3:23" outlineLevel="1"/>
    <row r="160" spans="3:23" outlineLevel="1">
      <c r="C160" s="407" t="s">
        <v>859</v>
      </c>
      <c r="G160" s="6">
        <f>$G$32</f>
        <v>1</v>
      </c>
      <c r="H160" s="17" t="s">
        <v>325</v>
      </c>
      <c r="I160" s="17"/>
      <c r="K160" s="36">
        <f>INDEX(K161:K163,$G160,0)</f>
        <v>0.03</v>
      </c>
      <c r="L160" s="36">
        <f t="shared" ref="L160:T160" si="31">INDEX(L161:L163,$G160,0)</f>
        <v>0.03</v>
      </c>
      <c r="M160" s="36">
        <f t="shared" si="31"/>
        <v>0.03</v>
      </c>
      <c r="N160" s="36">
        <f t="shared" si="31"/>
        <v>0.03</v>
      </c>
      <c r="O160" s="36">
        <f t="shared" si="31"/>
        <v>0.03</v>
      </c>
      <c r="P160" s="36">
        <f t="shared" si="31"/>
        <v>0.03</v>
      </c>
      <c r="Q160" s="36">
        <f t="shared" si="31"/>
        <v>0.03</v>
      </c>
      <c r="R160" s="36">
        <f t="shared" si="31"/>
        <v>0.03</v>
      </c>
      <c r="S160" s="36">
        <f t="shared" si="31"/>
        <v>0.03</v>
      </c>
      <c r="T160" s="36">
        <f t="shared" si="31"/>
        <v>0.03</v>
      </c>
      <c r="U160" s="36">
        <f>INDEX(U161:U163,$G160,0)</f>
        <v>0.03</v>
      </c>
      <c r="V160" s="36">
        <f>INDEX(V161:V163,$G160,0)</f>
        <v>0.03</v>
      </c>
      <c r="W160" s="36">
        <f>INDEX(W161:W163,$G160,0)</f>
        <v>0.03</v>
      </c>
    </row>
    <row r="161" spans="3:23" outlineLevel="1">
      <c r="C161" s="407" t="s">
        <v>840</v>
      </c>
      <c r="K161" s="26">
        <v>0.03</v>
      </c>
      <c r="L161" s="26">
        <v>0.03</v>
      </c>
      <c r="M161" s="26">
        <v>0.03</v>
      </c>
      <c r="N161" s="26">
        <v>0.03</v>
      </c>
      <c r="O161" s="26">
        <v>0.03</v>
      </c>
      <c r="P161" s="26">
        <v>0.03</v>
      </c>
      <c r="Q161" s="26">
        <v>0.03</v>
      </c>
      <c r="R161" s="26">
        <v>0.03</v>
      </c>
      <c r="S161" s="26">
        <v>0.03</v>
      </c>
      <c r="T161" s="26">
        <v>0.03</v>
      </c>
      <c r="U161" s="26">
        <v>0.03</v>
      </c>
      <c r="V161" s="26">
        <v>0.03</v>
      </c>
      <c r="W161" s="26">
        <v>0.03</v>
      </c>
    </row>
    <row r="162" spans="3:23" outlineLevel="1"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</row>
    <row r="163" spans="3:23" outlineLevel="1"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</row>
    <row r="164" spans="3:23" outlineLevel="1"/>
    <row r="165" spans="3:23" outlineLevel="1">
      <c r="C165" s="407" t="s">
        <v>860</v>
      </c>
      <c r="G165" s="6">
        <f>$G$32</f>
        <v>1</v>
      </c>
      <c r="H165" s="17" t="s">
        <v>325</v>
      </c>
      <c r="I165" s="17"/>
      <c r="K165" s="36">
        <f>INDEX(K166:K168,$G165,0)</f>
        <v>0.02</v>
      </c>
      <c r="L165" s="36">
        <f t="shared" ref="L165:T165" si="32">INDEX(L166:L168,$G165,0)</f>
        <v>0.02</v>
      </c>
      <c r="M165" s="36">
        <f t="shared" si="32"/>
        <v>0.02</v>
      </c>
      <c r="N165" s="36">
        <f t="shared" si="32"/>
        <v>0.02</v>
      </c>
      <c r="O165" s="36">
        <f t="shared" si="32"/>
        <v>0.02</v>
      </c>
      <c r="P165" s="36">
        <f t="shared" si="32"/>
        <v>0.02</v>
      </c>
      <c r="Q165" s="36">
        <f t="shared" si="32"/>
        <v>0.02</v>
      </c>
      <c r="R165" s="36">
        <f t="shared" si="32"/>
        <v>0.02</v>
      </c>
      <c r="S165" s="36">
        <f t="shared" si="32"/>
        <v>0.02</v>
      </c>
      <c r="T165" s="36">
        <f t="shared" si="32"/>
        <v>0.02</v>
      </c>
      <c r="U165" s="36">
        <f>INDEX(U166:U168,$G165,0)</f>
        <v>0.02</v>
      </c>
      <c r="V165" s="36">
        <f>INDEX(V166:V168,$G165,0)</f>
        <v>0.02</v>
      </c>
      <c r="W165" s="36">
        <f>INDEX(W166:W168,$G165,0)</f>
        <v>0.02</v>
      </c>
    </row>
    <row r="166" spans="3:23" outlineLevel="1">
      <c r="C166" s="407" t="s">
        <v>840</v>
      </c>
      <c r="K166" s="26">
        <v>0.02</v>
      </c>
      <c r="L166" s="26">
        <v>0.02</v>
      </c>
      <c r="M166" s="26">
        <v>0.02</v>
      </c>
      <c r="N166" s="26">
        <v>0.02</v>
      </c>
      <c r="O166" s="26">
        <v>0.02</v>
      </c>
      <c r="P166" s="26">
        <v>0.02</v>
      </c>
      <c r="Q166" s="26">
        <v>0.02</v>
      </c>
      <c r="R166" s="26">
        <v>0.02</v>
      </c>
      <c r="S166" s="26">
        <v>0.02</v>
      </c>
      <c r="T166" s="26">
        <v>0.02</v>
      </c>
      <c r="U166" s="26">
        <v>0.02</v>
      </c>
      <c r="V166" s="26">
        <v>0.02</v>
      </c>
      <c r="W166" s="26">
        <v>0.02</v>
      </c>
    </row>
    <row r="167" spans="3:23" outlineLevel="1"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</row>
    <row r="168" spans="3:23" outlineLevel="1"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</row>
    <row r="169" spans="3:23" outlineLevel="1"/>
    <row r="170" spans="3:23" outlineLevel="1">
      <c r="C170" s="407" t="s">
        <v>861</v>
      </c>
      <c r="G170" s="6">
        <f>$G$32</f>
        <v>1</v>
      </c>
      <c r="H170" s="17" t="s">
        <v>325</v>
      </c>
      <c r="I170" s="17"/>
      <c r="K170" s="36">
        <f>INDEX(K171:K173,$G170,0)</f>
        <v>0.02</v>
      </c>
      <c r="L170" s="36">
        <f t="shared" ref="L170:T170" si="33">INDEX(L171:L173,$G170,0)</f>
        <v>0.02</v>
      </c>
      <c r="M170" s="36">
        <f t="shared" si="33"/>
        <v>0.02</v>
      </c>
      <c r="N170" s="36">
        <f t="shared" si="33"/>
        <v>0.02</v>
      </c>
      <c r="O170" s="36">
        <f t="shared" si="33"/>
        <v>0.02</v>
      </c>
      <c r="P170" s="36">
        <f t="shared" si="33"/>
        <v>0.02</v>
      </c>
      <c r="Q170" s="36">
        <f t="shared" si="33"/>
        <v>0.02</v>
      </c>
      <c r="R170" s="36">
        <f t="shared" si="33"/>
        <v>0.02</v>
      </c>
      <c r="S170" s="36">
        <f t="shared" si="33"/>
        <v>0.02</v>
      </c>
      <c r="T170" s="36">
        <f t="shared" si="33"/>
        <v>0.02</v>
      </c>
      <c r="U170" s="36">
        <f>INDEX(U171:U173,$G170,0)</f>
        <v>0.02</v>
      </c>
      <c r="V170" s="36">
        <f>INDEX(V171:V173,$G170,0)</f>
        <v>0.02</v>
      </c>
      <c r="W170" s="36">
        <f>INDEX(W171:W173,$G170,0)</f>
        <v>0.02</v>
      </c>
    </row>
    <row r="171" spans="3:23" outlineLevel="1">
      <c r="C171" s="407" t="s">
        <v>840</v>
      </c>
      <c r="K171" s="26">
        <v>0.02</v>
      </c>
      <c r="L171" s="26">
        <v>0.02</v>
      </c>
      <c r="M171" s="26">
        <v>0.02</v>
      </c>
      <c r="N171" s="26">
        <v>0.02</v>
      </c>
      <c r="O171" s="26">
        <v>0.02</v>
      </c>
      <c r="P171" s="26">
        <v>0.02</v>
      </c>
      <c r="Q171" s="26">
        <v>0.02</v>
      </c>
      <c r="R171" s="26">
        <v>0.02</v>
      </c>
      <c r="S171" s="26">
        <v>0.02</v>
      </c>
      <c r="T171" s="26">
        <v>0.02</v>
      </c>
      <c r="U171" s="26">
        <v>0.02</v>
      </c>
      <c r="V171" s="26">
        <v>0.02</v>
      </c>
      <c r="W171" s="26">
        <v>0.02</v>
      </c>
    </row>
    <row r="172" spans="3:23" outlineLevel="1"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</row>
    <row r="173" spans="3:23" outlineLevel="1"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</row>
    <row r="174" spans="3:23" outlineLevel="1"/>
    <row r="175" spans="3:23" outlineLevel="1">
      <c r="C175" s="407" t="s">
        <v>862</v>
      </c>
      <c r="G175" s="6">
        <f>$G$32</f>
        <v>1</v>
      </c>
      <c r="H175" s="17" t="s">
        <v>325</v>
      </c>
      <c r="I175" s="17"/>
      <c r="K175" s="36">
        <f>INDEX(K176:K178,$G175,0)</f>
        <v>0.02</v>
      </c>
      <c r="L175" s="36">
        <f t="shared" ref="L175:T175" si="34">INDEX(L176:L178,$G175,0)</f>
        <v>0.02</v>
      </c>
      <c r="M175" s="36">
        <f t="shared" si="34"/>
        <v>0.02</v>
      </c>
      <c r="N175" s="36">
        <f t="shared" si="34"/>
        <v>0.02</v>
      </c>
      <c r="O175" s="36">
        <f t="shared" si="34"/>
        <v>0.02</v>
      </c>
      <c r="P175" s="36">
        <f t="shared" si="34"/>
        <v>0.02</v>
      </c>
      <c r="Q175" s="36">
        <f t="shared" si="34"/>
        <v>0.02</v>
      </c>
      <c r="R175" s="36">
        <f t="shared" si="34"/>
        <v>0.02</v>
      </c>
      <c r="S175" s="36">
        <f t="shared" si="34"/>
        <v>0.02</v>
      </c>
      <c r="T175" s="36">
        <f t="shared" si="34"/>
        <v>0.02</v>
      </c>
      <c r="U175" s="36">
        <f>INDEX(U176:U178,$G175,0)</f>
        <v>0.02</v>
      </c>
      <c r="V175" s="36">
        <f>INDEX(V176:V178,$G175,0)</f>
        <v>0.02</v>
      </c>
      <c r="W175" s="36">
        <f>INDEX(W176:W178,$G175,0)</f>
        <v>0.02</v>
      </c>
    </row>
    <row r="176" spans="3:23" outlineLevel="1">
      <c r="C176" s="407" t="s">
        <v>840</v>
      </c>
      <c r="K176" s="26">
        <v>0.02</v>
      </c>
      <c r="L176" s="26">
        <v>0.02</v>
      </c>
      <c r="M176" s="26">
        <v>0.02</v>
      </c>
      <c r="N176" s="26">
        <v>0.02</v>
      </c>
      <c r="O176" s="26">
        <v>0.02</v>
      </c>
      <c r="P176" s="26">
        <v>0.02</v>
      </c>
      <c r="Q176" s="26">
        <v>0.02</v>
      </c>
      <c r="R176" s="26">
        <v>0.02</v>
      </c>
      <c r="S176" s="26">
        <v>0.02</v>
      </c>
      <c r="T176" s="26">
        <v>0.02</v>
      </c>
      <c r="U176" s="26">
        <v>0.02</v>
      </c>
      <c r="V176" s="26">
        <v>0.02</v>
      </c>
      <c r="W176" s="26">
        <v>0.02</v>
      </c>
    </row>
    <row r="177" spans="3:23" outlineLevel="1"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</row>
    <row r="178" spans="3:23" outlineLevel="1"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</row>
    <row r="179" spans="3:23" outlineLevel="1"/>
    <row r="180" spans="3:23" outlineLevel="1">
      <c r="C180" s="407" t="s">
        <v>863</v>
      </c>
      <c r="G180" s="6">
        <f>$G$32</f>
        <v>1</v>
      </c>
      <c r="H180" s="17" t="s">
        <v>325</v>
      </c>
      <c r="I180" s="17"/>
      <c r="K180" s="36">
        <f>INDEX(K181:K183,$G180,0)</f>
        <v>0.03</v>
      </c>
      <c r="L180" s="36">
        <f t="shared" ref="L180:T180" si="35">INDEX(L181:L183,$G180,0)</f>
        <v>0.03</v>
      </c>
      <c r="M180" s="36">
        <f t="shared" si="35"/>
        <v>0.03</v>
      </c>
      <c r="N180" s="36">
        <f t="shared" si="35"/>
        <v>0.03</v>
      </c>
      <c r="O180" s="36">
        <f t="shared" si="35"/>
        <v>0.03</v>
      </c>
      <c r="P180" s="36">
        <f t="shared" si="35"/>
        <v>0.03</v>
      </c>
      <c r="Q180" s="36">
        <f t="shared" si="35"/>
        <v>0.03</v>
      </c>
      <c r="R180" s="36">
        <f t="shared" si="35"/>
        <v>0.03</v>
      </c>
      <c r="S180" s="36">
        <f t="shared" si="35"/>
        <v>0.03</v>
      </c>
      <c r="T180" s="36">
        <f t="shared" si="35"/>
        <v>0.03</v>
      </c>
      <c r="U180" s="36">
        <f>INDEX(U181:U183,$G180,0)</f>
        <v>0.03</v>
      </c>
      <c r="V180" s="36">
        <f>INDEX(V181:V183,$G180,0)</f>
        <v>0.03</v>
      </c>
      <c r="W180" s="36">
        <f>INDEX(W181:W183,$G180,0)</f>
        <v>0.03</v>
      </c>
    </row>
    <row r="181" spans="3:23" outlineLevel="1">
      <c r="C181" s="407" t="s">
        <v>840</v>
      </c>
      <c r="K181" s="26">
        <v>0.03</v>
      </c>
      <c r="L181" s="26">
        <v>0.03</v>
      </c>
      <c r="M181" s="26">
        <v>0.03</v>
      </c>
      <c r="N181" s="26">
        <v>0.03</v>
      </c>
      <c r="O181" s="26">
        <v>0.03</v>
      </c>
      <c r="P181" s="26">
        <v>0.03</v>
      </c>
      <c r="Q181" s="26">
        <v>0.03</v>
      </c>
      <c r="R181" s="26">
        <v>0.03</v>
      </c>
      <c r="S181" s="26">
        <v>0.03</v>
      </c>
      <c r="T181" s="26">
        <v>0.03</v>
      </c>
      <c r="U181" s="26">
        <v>0.03</v>
      </c>
      <c r="V181" s="26">
        <v>0.03</v>
      </c>
      <c r="W181" s="26">
        <v>0.03</v>
      </c>
    </row>
    <row r="182" spans="3:23" outlineLevel="1"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</row>
    <row r="183" spans="3:23" outlineLevel="1"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</row>
    <row r="184" spans="3:23" outlineLevel="1"/>
    <row r="185" spans="3:23" outlineLevel="1">
      <c r="C185" s="407" t="s">
        <v>864</v>
      </c>
      <c r="G185" s="6">
        <f>$G$32</f>
        <v>1</v>
      </c>
      <c r="H185" s="17" t="s">
        <v>325</v>
      </c>
      <c r="I185" s="17"/>
      <c r="K185" s="36">
        <f>INDEX(K186:K188,$G185,0)</f>
        <v>0.03</v>
      </c>
      <c r="L185" s="36">
        <f t="shared" ref="L185:T185" si="36">INDEX(L186:L188,$G185,0)</f>
        <v>0.03</v>
      </c>
      <c r="M185" s="36">
        <f t="shared" si="36"/>
        <v>0.03</v>
      </c>
      <c r="N185" s="36">
        <f t="shared" si="36"/>
        <v>0.03</v>
      </c>
      <c r="O185" s="36">
        <f t="shared" si="36"/>
        <v>0.03</v>
      </c>
      <c r="P185" s="36">
        <f t="shared" si="36"/>
        <v>0.03</v>
      </c>
      <c r="Q185" s="36">
        <f t="shared" si="36"/>
        <v>0.03</v>
      </c>
      <c r="R185" s="36">
        <f t="shared" si="36"/>
        <v>0.03</v>
      </c>
      <c r="S185" s="36">
        <f t="shared" si="36"/>
        <v>0.03</v>
      </c>
      <c r="T185" s="36">
        <f t="shared" si="36"/>
        <v>0.03</v>
      </c>
      <c r="U185" s="36">
        <f>INDEX(U186:U188,$G185,0)</f>
        <v>0.03</v>
      </c>
      <c r="V185" s="36">
        <f>INDEX(V186:V188,$G185,0)</f>
        <v>0.03</v>
      </c>
      <c r="W185" s="36">
        <f>INDEX(W186:W188,$G185,0)</f>
        <v>0.03</v>
      </c>
    </row>
    <row r="186" spans="3:23" outlineLevel="1">
      <c r="C186" s="407" t="s">
        <v>840</v>
      </c>
      <c r="K186" s="26">
        <v>0.03</v>
      </c>
      <c r="L186" s="26">
        <v>0.03</v>
      </c>
      <c r="M186" s="26">
        <v>0.03</v>
      </c>
      <c r="N186" s="26">
        <v>0.03</v>
      </c>
      <c r="O186" s="26">
        <v>0.03</v>
      </c>
      <c r="P186" s="26">
        <v>0.03</v>
      </c>
      <c r="Q186" s="26">
        <v>0.03</v>
      </c>
      <c r="R186" s="26">
        <v>0.03</v>
      </c>
      <c r="S186" s="26">
        <v>0.03</v>
      </c>
      <c r="T186" s="26">
        <v>0.03</v>
      </c>
      <c r="U186" s="26">
        <v>0.03</v>
      </c>
      <c r="V186" s="26">
        <v>0.03</v>
      </c>
      <c r="W186" s="26">
        <v>0.03</v>
      </c>
    </row>
    <row r="187" spans="3:23" outlineLevel="1"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</row>
    <row r="188" spans="3:23" outlineLevel="1"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</row>
    <row r="189" spans="3:23" outlineLevel="1"/>
    <row r="190" spans="3:23" outlineLevel="1">
      <c r="C190" s="407" t="s">
        <v>865</v>
      </c>
      <c r="G190" s="6">
        <f>$G$32</f>
        <v>1</v>
      </c>
      <c r="H190" s="17" t="s">
        <v>325</v>
      </c>
      <c r="I190" s="17"/>
      <c r="K190" s="36">
        <f>INDEX(K191:K193,$G190,0)</f>
        <v>0.02</v>
      </c>
      <c r="L190" s="36">
        <f t="shared" ref="L190:T190" si="37">INDEX(L191:L193,$G190,0)</f>
        <v>0.02</v>
      </c>
      <c r="M190" s="36">
        <f t="shared" si="37"/>
        <v>0.02</v>
      </c>
      <c r="N190" s="36">
        <f t="shared" si="37"/>
        <v>0.02</v>
      </c>
      <c r="O190" s="36">
        <f t="shared" si="37"/>
        <v>0.02</v>
      </c>
      <c r="P190" s="36">
        <f t="shared" si="37"/>
        <v>0.02</v>
      </c>
      <c r="Q190" s="36">
        <f t="shared" si="37"/>
        <v>0.02</v>
      </c>
      <c r="R190" s="36">
        <f t="shared" si="37"/>
        <v>0.02</v>
      </c>
      <c r="S190" s="36">
        <f t="shared" si="37"/>
        <v>0.02</v>
      </c>
      <c r="T190" s="36">
        <f t="shared" si="37"/>
        <v>0.02</v>
      </c>
      <c r="U190" s="36">
        <f>INDEX(U191:U193,$G190,0)</f>
        <v>0.02</v>
      </c>
      <c r="V190" s="36">
        <f>INDEX(V191:V193,$G190,0)</f>
        <v>0.02</v>
      </c>
      <c r="W190" s="36">
        <f>INDEX(W191:W193,$G190,0)</f>
        <v>0.02</v>
      </c>
    </row>
    <row r="191" spans="3:23" outlineLevel="1">
      <c r="C191" s="407" t="s">
        <v>840</v>
      </c>
      <c r="K191" s="26">
        <v>0.02</v>
      </c>
      <c r="L191" s="26">
        <v>0.02</v>
      </c>
      <c r="M191" s="26">
        <v>0.02</v>
      </c>
      <c r="N191" s="26">
        <v>0.02</v>
      </c>
      <c r="O191" s="26">
        <v>0.02</v>
      </c>
      <c r="P191" s="26">
        <v>0.02</v>
      </c>
      <c r="Q191" s="26">
        <v>0.02</v>
      </c>
      <c r="R191" s="26">
        <v>0.02</v>
      </c>
      <c r="S191" s="26">
        <v>0.02</v>
      </c>
      <c r="T191" s="26">
        <v>0.02</v>
      </c>
      <c r="U191" s="26">
        <v>0.02</v>
      </c>
      <c r="V191" s="26">
        <v>0.02</v>
      </c>
      <c r="W191" s="26">
        <v>0.02</v>
      </c>
    </row>
    <row r="192" spans="3:23" outlineLevel="1"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</row>
    <row r="193" spans="2:23" outlineLevel="1"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</row>
    <row r="194" spans="2:23" outlineLevel="1"/>
    <row r="195" spans="2:23" ht="24" thickBot="1">
      <c r="B195" s="14" t="s">
        <v>389</v>
      </c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</row>
    <row r="197" spans="2:23" ht="20.25" thickBot="1">
      <c r="C197" s="65" t="s">
        <v>522</v>
      </c>
      <c r="D197" s="64"/>
      <c r="E197" s="64"/>
      <c r="F197" s="64"/>
      <c r="G197" s="64"/>
      <c r="H197" s="64"/>
      <c r="I197" s="64"/>
      <c r="J197" s="64"/>
      <c r="K197" s="64"/>
      <c r="L197" s="64"/>
      <c r="M197" s="64"/>
      <c r="N197" s="64"/>
      <c r="O197" s="64"/>
      <c r="P197" s="64"/>
      <c r="Q197" s="64"/>
      <c r="R197" s="64"/>
      <c r="S197" s="64"/>
      <c r="T197" s="64"/>
      <c r="U197" s="64"/>
      <c r="V197" s="64"/>
      <c r="W197" s="64"/>
    </row>
    <row r="198" spans="2:23" ht="15.75" thickTop="1"/>
    <row r="199" spans="2:23" ht="23.25" outlineLevel="1">
      <c r="C199" s="61" t="s">
        <v>9</v>
      </c>
    </row>
    <row r="200" spans="2:23" outlineLevel="1">
      <c r="C200" t="s">
        <v>29</v>
      </c>
      <c r="G200" s="6">
        <v>1</v>
      </c>
    </row>
    <row r="201" spans="2:23" outlineLevel="1"/>
    <row r="202" spans="2:23" outlineLevel="1"/>
    <row r="203" spans="2:23" outlineLevel="1">
      <c r="C203" s="2" t="s">
        <v>868</v>
      </c>
      <c r="K203" s="9">
        <f>$K$8</f>
        <v>2024</v>
      </c>
      <c r="L203" s="9">
        <f t="shared" ref="L203:U203" si="38">K203+1</f>
        <v>2025</v>
      </c>
      <c r="M203" s="9">
        <f t="shared" si="38"/>
        <v>2026</v>
      </c>
      <c r="N203" s="9">
        <f t="shared" si="38"/>
        <v>2027</v>
      </c>
      <c r="O203" s="9">
        <f t="shared" si="38"/>
        <v>2028</v>
      </c>
      <c r="P203" s="9">
        <f t="shared" si="38"/>
        <v>2029</v>
      </c>
      <c r="Q203" s="9">
        <f t="shared" si="38"/>
        <v>2030</v>
      </c>
      <c r="R203" s="9">
        <f t="shared" si="38"/>
        <v>2031</v>
      </c>
      <c r="S203" s="9">
        <f t="shared" si="38"/>
        <v>2032</v>
      </c>
      <c r="T203" s="9">
        <f t="shared" si="38"/>
        <v>2033</v>
      </c>
      <c r="U203" s="9">
        <f t="shared" si="38"/>
        <v>2034</v>
      </c>
      <c r="V203" s="9">
        <f>U203+1</f>
        <v>2035</v>
      </c>
      <c r="W203" s="9">
        <f>V203+1</f>
        <v>2036</v>
      </c>
    </row>
    <row r="204" spans="2:23" outlineLevel="1">
      <c r="C204" s="407" t="s">
        <v>839</v>
      </c>
      <c r="G204" s="6">
        <f>$G$32</f>
        <v>1</v>
      </c>
      <c r="H204" s="17" t="s">
        <v>325</v>
      </c>
      <c r="I204" s="17"/>
      <c r="K204" s="36">
        <f>INDEX(K205:K207,$G204,0)</f>
        <v>0</v>
      </c>
      <c r="L204" s="36">
        <f t="shared" ref="L204:T204" si="39">INDEX(L205:L207,$G204,0)</f>
        <v>0.03</v>
      </c>
      <c r="M204" s="36">
        <f t="shared" si="39"/>
        <v>0.03</v>
      </c>
      <c r="N204" s="36">
        <f t="shared" si="39"/>
        <v>0.03</v>
      </c>
      <c r="O204" s="36">
        <f t="shared" si="39"/>
        <v>0.03</v>
      </c>
      <c r="P204" s="36">
        <f t="shared" si="39"/>
        <v>0.03</v>
      </c>
      <c r="Q204" s="36">
        <f t="shared" si="39"/>
        <v>0.03</v>
      </c>
      <c r="R204" s="36">
        <f t="shared" si="39"/>
        <v>0.03</v>
      </c>
      <c r="S204" s="36">
        <f t="shared" si="39"/>
        <v>0.03</v>
      </c>
      <c r="T204" s="36">
        <f t="shared" si="39"/>
        <v>0.03</v>
      </c>
      <c r="U204" s="36">
        <f>INDEX(U205:U207,$G204,0)</f>
        <v>0.03</v>
      </c>
      <c r="V204" s="36">
        <f>INDEX(V205:V207,$G204,0)</f>
        <v>0.03</v>
      </c>
      <c r="W204" s="36">
        <f>INDEX(W205:W207,$G204,0)</f>
        <v>0.03</v>
      </c>
    </row>
    <row r="205" spans="2:23" outlineLevel="1">
      <c r="C205" s="407" t="s">
        <v>840</v>
      </c>
      <c r="K205" s="24"/>
      <c r="L205" s="26">
        <v>0.03</v>
      </c>
      <c r="M205" s="26">
        <v>0.03</v>
      </c>
      <c r="N205" s="26">
        <v>0.03</v>
      </c>
      <c r="O205" s="26">
        <v>0.03</v>
      </c>
      <c r="P205" s="26">
        <v>0.03</v>
      </c>
      <c r="Q205" s="26">
        <v>0.03</v>
      </c>
      <c r="R205" s="26">
        <v>0.03</v>
      </c>
      <c r="S205" s="26">
        <v>0.03</v>
      </c>
      <c r="T205" s="26">
        <v>0.03</v>
      </c>
      <c r="U205" s="26">
        <v>0.03</v>
      </c>
      <c r="V205" s="26">
        <v>0.03</v>
      </c>
      <c r="W205" s="26">
        <v>0.03</v>
      </c>
    </row>
    <row r="206" spans="2:23" outlineLevel="1"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</row>
    <row r="207" spans="2:23" outlineLevel="1"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</row>
    <row r="208" spans="2:23" outlineLevel="1"/>
    <row r="209" spans="3:23" outlineLevel="1">
      <c r="C209" s="407" t="s">
        <v>841</v>
      </c>
      <c r="G209" s="6">
        <f>$G$32</f>
        <v>1</v>
      </c>
      <c r="J209" s="20">
        <f>INDEX(K209:P209,,$G209)</f>
        <v>1990024.6600000001</v>
      </c>
      <c r="K209" s="19">
        <v>1990024.6600000001</v>
      </c>
      <c r="L209" s="19"/>
      <c r="M209" s="19"/>
      <c r="N209" s="19"/>
      <c r="O209" s="19"/>
      <c r="P209" s="19"/>
    </row>
    <row r="210" spans="3:23" outlineLevel="1"/>
    <row r="211" spans="3:23" outlineLevel="1">
      <c r="C211" s="407" t="s">
        <v>842</v>
      </c>
      <c r="G211" s="6">
        <f>$G$32</f>
        <v>1</v>
      </c>
      <c r="H211" s="17" t="s">
        <v>325</v>
      </c>
      <c r="I211" s="17"/>
      <c r="K211" s="36">
        <f>INDEX(K212:K214,$G211,0)</f>
        <v>34120</v>
      </c>
      <c r="L211" s="36">
        <f t="shared" ref="L211:T211" si="40">INDEX(L212:L214,$G211,0)</f>
        <v>34120</v>
      </c>
      <c r="M211" s="36">
        <f t="shared" si="40"/>
        <v>34120</v>
      </c>
      <c r="N211" s="36">
        <f t="shared" si="40"/>
        <v>35143.599999999999</v>
      </c>
      <c r="O211" s="36">
        <f t="shared" si="40"/>
        <v>35143.599999999999</v>
      </c>
      <c r="P211" s="36">
        <f t="shared" si="40"/>
        <v>35143.599999999999</v>
      </c>
      <c r="Q211" s="36">
        <f t="shared" si="40"/>
        <v>35143.599999999999</v>
      </c>
      <c r="R211" s="36">
        <f t="shared" si="40"/>
        <v>36197.907999999996</v>
      </c>
      <c r="S211" s="36">
        <f t="shared" si="40"/>
        <v>36197.907999999996</v>
      </c>
      <c r="T211" s="36">
        <f t="shared" si="40"/>
        <v>36197.907999999996</v>
      </c>
      <c r="U211" s="36">
        <f>INDEX(U212:U214,$G211,0)</f>
        <v>36197.907999999996</v>
      </c>
      <c r="V211" s="36">
        <f>INDEX(V212:V214,$G211,0)</f>
        <v>36197.907999999996</v>
      </c>
      <c r="W211" s="36">
        <f>INDEX(W212:W214,$G211,0)</f>
        <v>36197.907999999996</v>
      </c>
    </row>
    <row r="212" spans="3:23" outlineLevel="1">
      <c r="C212" s="407" t="s">
        <v>840</v>
      </c>
      <c r="K212" s="26">
        <v>34120</v>
      </c>
      <c r="L212" s="26">
        <f>K212</f>
        <v>34120</v>
      </c>
      <c r="M212" s="26">
        <f>L212</f>
        <v>34120</v>
      </c>
      <c r="N212" s="26">
        <f>M212*(1+3%)</f>
        <v>35143.599999999999</v>
      </c>
      <c r="O212" s="26">
        <f>N212</f>
        <v>35143.599999999999</v>
      </c>
      <c r="P212" s="26">
        <f>O212</f>
        <v>35143.599999999999</v>
      </c>
      <c r="Q212" s="26">
        <f>P212</f>
        <v>35143.599999999999</v>
      </c>
      <c r="R212" s="26">
        <f>Q212*(1+3%)</f>
        <v>36197.907999999996</v>
      </c>
      <c r="S212" s="26">
        <f>R212</f>
        <v>36197.907999999996</v>
      </c>
      <c r="T212" s="26">
        <f>S212</f>
        <v>36197.907999999996</v>
      </c>
      <c r="U212" s="26">
        <f>T212</f>
        <v>36197.907999999996</v>
      </c>
      <c r="V212" s="26">
        <f>U212</f>
        <v>36197.907999999996</v>
      </c>
      <c r="W212" s="26">
        <f>V212</f>
        <v>36197.907999999996</v>
      </c>
    </row>
    <row r="213" spans="3:23" outlineLevel="1">
      <c r="K213" s="26"/>
      <c r="L213" s="26"/>
      <c r="M213" s="26"/>
      <c r="N213" s="26">
        <f>M212*(1+3%)</f>
        <v>35143.599999999999</v>
      </c>
      <c r="O213" s="26"/>
      <c r="P213" s="26"/>
      <c r="Q213" s="26"/>
      <c r="R213" s="26"/>
      <c r="S213" s="26"/>
      <c r="T213" s="26"/>
      <c r="U213" s="26"/>
      <c r="V213" s="26"/>
      <c r="W213" s="26"/>
    </row>
    <row r="214" spans="3:23" outlineLevel="1"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</row>
    <row r="215" spans="3:23" ht="23.25" outlineLevel="1">
      <c r="C215" s="61" t="s">
        <v>473</v>
      </c>
    </row>
    <row r="216" spans="3:23" outlineLevel="1"/>
    <row r="217" spans="3:23" outlineLevel="1">
      <c r="C217" s="2" t="s">
        <v>492</v>
      </c>
      <c r="K217" s="407"/>
    </row>
    <row r="218" spans="3:23" outlineLevel="1">
      <c r="C218" s="407" t="s">
        <v>869</v>
      </c>
      <c r="G218" s="6">
        <f>$G$32</f>
        <v>1</v>
      </c>
      <c r="H218" s="17" t="s">
        <v>325</v>
      </c>
      <c r="I218" s="17"/>
      <c r="K218" s="36">
        <f>INDEX(K219:K221,$G218,0)</f>
        <v>0</v>
      </c>
      <c r="L218" s="36">
        <f t="shared" ref="L218:T218" si="41">INDEX(L219:L221,$G218,0)</f>
        <v>0</v>
      </c>
      <c r="M218" s="36">
        <f t="shared" si="41"/>
        <v>1</v>
      </c>
      <c r="N218" s="36">
        <f t="shared" si="41"/>
        <v>1</v>
      </c>
      <c r="O218" s="36">
        <f t="shared" si="41"/>
        <v>1</v>
      </c>
      <c r="P218" s="36">
        <f t="shared" si="41"/>
        <v>2</v>
      </c>
      <c r="Q218" s="36">
        <f t="shared" si="41"/>
        <v>2</v>
      </c>
      <c r="R218" s="36">
        <f t="shared" si="41"/>
        <v>2</v>
      </c>
      <c r="S218" s="36">
        <f t="shared" si="41"/>
        <v>3</v>
      </c>
      <c r="T218" s="36">
        <f t="shared" si="41"/>
        <v>3</v>
      </c>
      <c r="U218" s="36">
        <f>INDEX(U219:U221,$G218,0)</f>
        <v>3</v>
      </c>
      <c r="V218" s="36">
        <f>INDEX(V219:V221,$G218,0)</f>
        <v>3</v>
      </c>
      <c r="W218" s="36">
        <f>INDEX(W219:W221,$G218,0)</f>
        <v>3</v>
      </c>
    </row>
    <row r="219" spans="3:23" outlineLevel="1">
      <c r="C219" s="407" t="s">
        <v>840</v>
      </c>
      <c r="K219" s="26">
        <v>0</v>
      </c>
      <c r="L219" s="26">
        <v>0</v>
      </c>
      <c r="M219" s="26">
        <v>1</v>
      </c>
      <c r="N219" s="26">
        <v>1</v>
      </c>
      <c r="O219" s="26">
        <v>1</v>
      </c>
      <c r="P219" s="26">
        <v>2</v>
      </c>
      <c r="Q219" s="26">
        <v>2</v>
      </c>
      <c r="R219" s="26">
        <v>2</v>
      </c>
      <c r="S219" s="26">
        <v>3</v>
      </c>
      <c r="T219" s="26">
        <v>3</v>
      </c>
      <c r="U219" s="26">
        <v>3</v>
      </c>
      <c r="V219" s="26">
        <v>3</v>
      </c>
      <c r="W219" s="26">
        <v>3</v>
      </c>
    </row>
    <row r="220" spans="3:23" outlineLevel="1"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</row>
    <row r="221" spans="3:23" outlineLevel="1"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</row>
    <row r="222" spans="3:23" outlineLevel="1"/>
    <row r="223" spans="3:23" outlineLevel="1">
      <c r="C223" s="407" t="s">
        <v>870</v>
      </c>
      <c r="G223" s="6">
        <f>$G$32</f>
        <v>1</v>
      </c>
      <c r="J223" s="20">
        <f>INDEX(K223:P223,,$G223)</f>
        <v>40.829176858830003</v>
      </c>
      <c r="K223" s="19">
        <v>40.829176858830003</v>
      </c>
      <c r="L223" s="19"/>
      <c r="M223" s="19"/>
      <c r="N223" s="19"/>
      <c r="O223" s="19"/>
      <c r="P223" s="19"/>
    </row>
    <row r="224" spans="3:23" outlineLevel="1"/>
    <row r="225" spans="3:23" ht="23.25" outlineLevel="1">
      <c r="C225" s="61"/>
    </row>
    <row r="226" spans="3:23" outlineLevel="1">
      <c r="C226" s="407" t="s">
        <v>584</v>
      </c>
      <c r="G226" s="6">
        <f>$G$32</f>
        <v>1</v>
      </c>
      <c r="H226" s="17" t="s">
        <v>325</v>
      </c>
      <c r="I226" s="17"/>
      <c r="K226" s="36">
        <f>INDEX(K227:K229,$G226,0)</f>
        <v>3.5000000000000003E-2</v>
      </c>
      <c r="L226" s="36">
        <f t="shared" ref="L226:T226" si="42">INDEX(L227:L229,$G226,0)</f>
        <v>3.5000000000000003E-2</v>
      </c>
      <c r="M226" s="36">
        <f t="shared" si="42"/>
        <v>3.5000000000000003E-2</v>
      </c>
      <c r="N226" s="36">
        <f t="shared" si="42"/>
        <v>3.5000000000000003E-2</v>
      </c>
      <c r="O226" s="36">
        <f t="shared" si="42"/>
        <v>3.5000000000000003E-2</v>
      </c>
      <c r="P226" s="36">
        <f t="shared" si="42"/>
        <v>3.5000000000000003E-2</v>
      </c>
      <c r="Q226" s="36">
        <f t="shared" si="42"/>
        <v>3.5000000000000003E-2</v>
      </c>
      <c r="R226" s="36">
        <f t="shared" si="42"/>
        <v>3.5000000000000003E-2</v>
      </c>
      <c r="S226" s="36">
        <f t="shared" si="42"/>
        <v>3.5000000000000003E-2</v>
      </c>
      <c r="T226" s="36">
        <f t="shared" si="42"/>
        <v>3.5000000000000003E-2</v>
      </c>
      <c r="U226" s="36">
        <f>INDEX(U227:U229,$G226,0)</f>
        <v>3.5000000000000003E-2</v>
      </c>
      <c r="V226" s="36">
        <f>INDEX(V227:V229,$G226,0)</f>
        <v>3.5000000000000003E-2</v>
      </c>
      <c r="W226" s="36">
        <f>INDEX(W227:W229,$G226,0)</f>
        <v>3.5000000000000003E-2</v>
      </c>
    </row>
    <row r="227" spans="3:23" outlineLevel="1">
      <c r="C227" s="407" t="s">
        <v>840</v>
      </c>
      <c r="K227" s="26">
        <v>3.5000000000000003E-2</v>
      </c>
      <c r="L227" s="26">
        <v>3.5000000000000003E-2</v>
      </c>
      <c r="M227" s="26">
        <v>3.5000000000000003E-2</v>
      </c>
      <c r="N227" s="26">
        <v>3.5000000000000003E-2</v>
      </c>
      <c r="O227" s="26">
        <v>3.5000000000000003E-2</v>
      </c>
      <c r="P227" s="26">
        <v>3.5000000000000003E-2</v>
      </c>
      <c r="Q227" s="26">
        <v>3.5000000000000003E-2</v>
      </c>
      <c r="R227" s="26">
        <v>3.5000000000000003E-2</v>
      </c>
      <c r="S227" s="26">
        <v>3.5000000000000003E-2</v>
      </c>
      <c r="T227" s="26">
        <v>3.5000000000000003E-2</v>
      </c>
      <c r="U227" s="26">
        <v>3.5000000000000003E-2</v>
      </c>
      <c r="V227" s="26">
        <v>3.5000000000000003E-2</v>
      </c>
      <c r="W227" s="26">
        <v>3.5000000000000003E-2</v>
      </c>
    </row>
    <row r="228" spans="3:23" outlineLevel="1"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</row>
    <row r="229" spans="3:23" outlineLevel="1"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</row>
    <row r="230" spans="3:23" outlineLevel="1"/>
    <row r="231" spans="3:23" outlineLevel="1">
      <c r="C231" s="407" t="s">
        <v>870</v>
      </c>
      <c r="G231" s="6">
        <f>$G$32</f>
        <v>1</v>
      </c>
      <c r="J231" s="20">
        <f>INDEX(K231:P231,,$G231)</f>
        <v>5.423</v>
      </c>
      <c r="K231" s="19">
        <v>5.423</v>
      </c>
      <c r="L231" s="19"/>
      <c r="M231" s="19"/>
      <c r="N231" s="19"/>
      <c r="O231" s="19"/>
      <c r="P231" s="19"/>
    </row>
    <row r="232" spans="3:23" ht="23.25" outlineLevel="1">
      <c r="C232" s="61"/>
    </row>
    <row r="233" spans="3:23" ht="23.25" outlineLevel="1">
      <c r="C233" s="61"/>
    </row>
    <row r="234" spans="3:23" outlineLevel="1">
      <c r="C234" s="407" t="s">
        <v>845</v>
      </c>
      <c r="G234" s="6">
        <f>$G$32</f>
        <v>1</v>
      </c>
      <c r="H234" s="17" t="s">
        <v>325</v>
      </c>
      <c r="I234" s="17"/>
      <c r="K234" s="36">
        <f>INDEX(K235:K237,$G234,0)</f>
        <v>0.03</v>
      </c>
      <c r="L234" s="36">
        <f t="shared" ref="L234:T234" si="43">INDEX(L235:L237,$G234,0)</f>
        <v>0.03</v>
      </c>
      <c r="M234" s="36">
        <f t="shared" si="43"/>
        <v>0.03</v>
      </c>
      <c r="N234" s="36">
        <f t="shared" si="43"/>
        <v>0.03</v>
      </c>
      <c r="O234" s="36">
        <f t="shared" si="43"/>
        <v>0.03</v>
      </c>
      <c r="P234" s="36">
        <f t="shared" si="43"/>
        <v>0.03</v>
      </c>
      <c r="Q234" s="36">
        <f t="shared" si="43"/>
        <v>0.03</v>
      </c>
      <c r="R234" s="36">
        <f t="shared" si="43"/>
        <v>0.03</v>
      </c>
      <c r="S234" s="36">
        <f t="shared" si="43"/>
        <v>0.03</v>
      </c>
      <c r="T234" s="36">
        <f t="shared" si="43"/>
        <v>0.03</v>
      </c>
      <c r="U234" s="36">
        <f>INDEX(U235:U237,$G234,0)</f>
        <v>0.03</v>
      </c>
      <c r="V234" s="36">
        <f>INDEX(V235:V237,$G234,0)</f>
        <v>0.03</v>
      </c>
      <c r="W234" s="36">
        <f>INDEX(W235:W237,$G234,0)</f>
        <v>0.03</v>
      </c>
    </row>
    <row r="235" spans="3:23" outlineLevel="1">
      <c r="C235" s="407" t="s">
        <v>840</v>
      </c>
      <c r="K235" s="26">
        <v>0.03</v>
      </c>
      <c r="L235" s="26">
        <v>0.03</v>
      </c>
      <c r="M235" s="26">
        <v>0.03</v>
      </c>
      <c r="N235" s="26">
        <v>0.03</v>
      </c>
      <c r="O235" s="26">
        <v>0.03</v>
      </c>
      <c r="P235" s="26">
        <v>0.03</v>
      </c>
      <c r="Q235" s="26">
        <v>0.03</v>
      </c>
      <c r="R235" s="26">
        <v>0.03</v>
      </c>
      <c r="S235" s="26">
        <v>0.03</v>
      </c>
      <c r="T235" s="26">
        <v>0.03</v>
      </c>
      <c r="U235" s="26">
        <v>0.03</v>
      </c>
      <c r="V235" s="26">
        <v>0.03</v>
      </c>
      <c r="W235" s="26">
        <v>0.03</v>
      </c>
    </row>
    <row r="236" spans="3:23" outlineLevel="1"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</row>
    <row r="237" spans="3:23" outlineLevel="1"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</row>
    <row r="238" spans="3:23" outlineLevel="1"/>
    <row r="239" spans="3:23" outlineLevel="1">
      <c r="C239" s="407" t="s">
        <v>870</v>
      </c>
      <c r="G239" s="6">
        <f>$G$32</f>
        <v>1</v>
      </c>
      <c r="J239" s="20">
        <f>INDEX(K239:P239,,$G239)</f>
        <v>3.897911782</v>
      </c>
      <c r="K239" s="19">
        <v>3.897911782</v>
      </c>
      <c r="L239" s="19"/>
      <c r="M239" s="19"/>
      <c r="N239" s="19"/>
      <c r="O239" s="19"/>
      <c r="P239" s="19"/>
    </row>
    <row r="240" spans="3:23" outlineLevel="1"/>
    <row r="241" spans="3:23" ht="23.25" outlineLevel="1">
      <c r="C241" s="61"/>
    </row>
    <row r="242" spans="3:23" outlineLevel="1">
      <c r="C242" s="407" t="s">
        <v>871</v>
      </c>
      <c r="G242" s="6">
        <f>$G$32</f>
        <v>1</v>
      </c>
      <c r="H242" s="17" t="s">
        <v>325</v>
      </c>
      <c r="I242" s="17"/>
      <c r="K242" s="36">
        <f>INDEX(K243:K245,$G242,0)</f>
        <v>0</v>
      </c>
      <c r="L242" s="36">
        <f t="shared" ref="L242:T242" si="44">INDEX(L243:L245,$G242,0)</f>
        <v>0</v>
      </c>
      <c r="M242" s="36">
        <f t="shared" si="44"/>
        <v>0</v>
      </c>
      <c r="N242" s="36">
        <f t="shared" si="44"/>
        <v>0</v>
      </c>
      <c r="O242" s="36">
        <f t="shared" si="44"/>
        <v>0</v>
      </c>
      <c r="P242" s="36">
        <f t="shared" si="44"/>
        <v>0</v>
      </c>
      <c r="Q242" s="36">
        <f t="shared" si="44"/>
        <v>0</v>
      </c>
      <c r="R242" s="36">
        <f t="shared" si="44"/>
        <v>0</v>
      </c>
      <c r="S242" s="36">
        <f t="shared" si="44"/>
        <v>0</v>
      </c>
      <c r="T242" s="36">
        <f t="shared" si="44"/>
        <v>0</v>
      </c>
      <c r="U242" s="36">
        <f>INDEX(U243:U245,$G242,0)</f>
        <v>0</v>
      </c>
      <c r="V242" s="36">
        <f>INDEX(V243:V245,$G242,0)</f>
        <v>0</v>
      </c>
      <c r="W242" s="36">
        <f>INDEX(W243:W245,$G242,0)</f>
        <v>0</v>
      </c>
    </row>
    <row r="243" spans="3:23" outlineLevel="1">
      <c r="C243" s="407" t="s">
        <v>840</v>
      </c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</row>
    <row r="244" spans="3:23" outlineLevel="1"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</row>
    <row r="245" spans="3:23" outlineLevel="1"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</row>
    <row r="246" spans="3:23" outlineLevel="1"/>
    <row r="247" spans="3:23" outlineLevel="1">
      <c r="C247" s="407" t="s">
        <v>870</v>
      </c>
      <c r="G247" s="6">
        <f>$G$32</f>
        <v>1</v>
      </c>
      <c r="J247" s="20">
        <f>INDEX(K247:P247,,$G247)</f>
        <v>2.7423600619999999</v>
      </c>
      <c r="K247" s="19">
        <v>2.7423600619999999</v>
      </c>
      <c r="L247" s="19"/>
      <c r="M247" s="19"/>
      <c r="N247" s="19"/>
      <c r="O247" s="19"/>
      <c r="P247" s="19"/>
    </row>
    <row r="248" spans="3:23" outlineLevel="1"/>
    <row r="249" spans="3:23" outlineLevel="1"/>
    <row r="250" spans="3:23" outlineLevel="1">
      <c r="C250" s="407" t="s">
        <v>847</v>
      </c>
      <c r="G250" s="6">
        <f>$G$32</f>
        <v>1</v>
      </c>
      <c r="H250" s="17" t="s">
        <v>325</v>
      </c>
      <c r="I250" s="17"/>
      <c r="K250" s="36">
        <f>INDEX(K251:K253,$G250,0)</f>
        <v>3.5000000000000003E-2</v>
      </c>
      <c r="L250" s="36">
        <f t="shared" ref="L250:T250" si="45">INDEX(L251:L253,$G250,0)</f>
        <v>3.5000000000000003E-2</v>
      </c>
      <c r="M250" s="36">
        <f t="shared" si="45"/>
        <v>3.5000000000000003E-2</v>
      </c>
      <c r="N250" s="36">
        <f t="shared" si="45"/>
        <v>3.5000000000000003E-2</v>
      </c>
      <c r="O250" s="36">
        <f t="shared" si="45"/>
        <v>3.5000000000000003E-2</v>
      </c>
      <c r="P250" s="36">
        <f t="shared" si="45"/>
        <v>3.5000000000000003E-2</v>
      </c>
      <c r="Q250" s="36">
        <f t="shared" si="45"/>
        <v>3.5000000000000003E-2</v>
      </c>
      <c r="R250" s="36">
        <f t="shared" si="45"/>
        <v>3.5000000000000003E-2</v>
      </c>
      <c r="S250" s="36">
        <f t="shared" si="45"/>
        <v>3.5000000000000003E-2</v>
      </c>
      <c r="T250" s="36">
        <f t="shared" si="45"/>
        <v>3.5000000000000003E-2</v>
      </c>
      <c r="U250" s="36">
        <f>INDEX(U251:U253,$G250,0)</f>
        <v>3.5000000000000003E-2</v>
      </c>
      <c r="V250" s="36">
        <f>INDEX(V251:V253,$G250,0)</f>
        <v>3.5000000000000003E-2</v>
      </c>
      <c r="W250" s="36">
        <f>INDEX(W251:W253,$G250,0)</f>
        <v>3.5000000000000003E-2</v>
      </c>
    </row>
    <row r="251" spans="3:23" outlineLevel="1">
      <c r="C251" s="407" t="s">
        <v>840</v>
      </c>
      <c r="K251" s="26">
        <v>3.5000000000000003E-2</v>
      </c>
      <c r="L251" s="26">
        <v>3.5000000000000003E-2</v>
      </c>
      <c r="M251" s="26">
        <v>3.5000000000000003E-2</v>
      </c>
      <c r="N251" s="26">
        <v>3.5000000000000003E-2</v>
      </c>
      <c r="O251" s="26">
        <v>3.5000000000000003E-2</v>
      </c>
      <c r="P251" s="26">
        <v>3.5000000000000003E-2</v>
      </c>
      <c r="Q251" s="26">
        <v>3.5000000000000003E-2</v>
      </c>
      <c r="R251" s="26">
        <v>3.5000000000000003E-2</v>
      </c>
      <c r="S251" s="26">
        <v>3.5000000000000003E-2</v>
      </c>
      <c r="T251" s="26">
        <v>3.5000000000000003E-2</v>
      </c>
      <c r="U251" s="26">
        <v>3.5000000000000003E-2</v>
      </c>
      <c r="V251" s="26">
        <v>3.5000000000000003E-2</v>
      </c>
      <c r="W251" s="26">
        <v>3.5000000000000003E-2</v>
      </c>
    </row>
    <row r="252" spans="3:23" outlineLevel="1"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</row>
    <row r="253" spans="3:23" outlineLevel="1"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</row>
    <row r="254" spans="3:23" outlineLevel="1"/>
    <row r="255" spans="3:23" outlineLevel="1">
      <c r="C255" s="407" t="s">
        <v>870</v>
      </c>
      <c r="G255" s="6">
        <f>$G$32</f>
        <v>1</v>
      </c>
      <c r="J255" s="20">
        <f>INDEX(K255:P255,,$G255)</f>
        <v>2.1486997309999998</v>
      </c>
      <c r="K255" s="19">
        <v>2.1486997309999998</v>
      </c>
      <c r="L255" s="19"/>
      <c r="M255" s="19"/>
      <c r="N255" s="19"/>
      <c r="O255" s="19"/>
      <c r="P255" s="19"/>
    </row>
    <row r="256" spans="3:23" outlineLevel="1"/>
    <row r="257" spans="3:23" outlineLevel="1"/>
    <row r="258" spans="3:23" outlineLevel="1">
      <c r="C258" s="407" t="s">
        <v>848</v>
      </c>
      <c r="G258" s="6">
        <f>$G$32</f>
        <v>1</v>
      </c>
      <c r="H258" s="17" t="s">
        <v>325</v>
      </c>
      <c r="I258" s="17"/>
      <c r="K258" s="36">
        <f>INDEX(K259:K261,$G258,0)</f>
        <v>0.03</v>
      </c>
      <c r="L258" s="36">
        <f t="shared" ref="L258:T258" si="46">INDEX(L259:L261,$G258,0)</f>
        <v>0.03</v>
      </c>
      <c r="M258" s="36">
        <f t="shared" si="46"/>
        <v>0.03</v>
      </c>
      <c r="N258" s="36">
        <f t="shared" si="46"/>
        <v>0.03</v>
      </c>
      <c r="O258" s="36">
        <f t="shared" si="46"/>
        <v>0.03</v>
      </c>
      <c r="P258" s="36">
        <f t="shared" si="46"/>
        <v>0.03</v>
      </c>
      <c r="Q258" s="36">
        <f t="shared" si="46"/>
        <v>0.03</v>
      </c>
      <c r="R258" s="36">
        <f t="shared" si="46"/>
        <v>0.03</v>
      </c>
      <c r="S258" s="36">
        <f t="shared" si="46"/>
        <v>0.03</v>
      </c>
      <c r="T258" s="36">
        <f t="shared" si="46"/>
        <v>0.03</v>
      </c>
      <c r="U258" s="36">
        <f>INDEX(U259:U261,$G258,0)</f>
        <v>0.03</v>
      </c>
      <c r="V258" s="36">
        <f>INDEX(V259:V261,$G258,0)</f>
        <v>0.03</v>
      </c>
      <c r="W258" s="36">
        <f>INDEX(W259:W261,$G258,0)</f>
        <v>0.03</v>
      </c>
    </row>
    <row r="259" spans="3:23" outlineLevel="1">
      <c r="C259" s="407" t="s">
        <v>840</v>
      </c>
      <c r="K259" s="26">
        <v>0.03</v>
      </c>
      <c r="L259" s="26">
        <v>0.03</v>
      </c>
      <c r="M259" s="26">
        <v>0.03</v>
      </c>
      <c r="N259" s="26">
        <v>0.03</v>
      </c>
      <c r="O259" s="26">
        <v>0.03</v>
      </c>
      <c r="P259" s="26">
        <v>0.03</v>
      </c>
      <c r="Q259" s="26">
        <v>0.03</v>
      </c>
      <c r="R259" s="26">
        <v>0.03</v>
      </c>
      <c r="S259" s="26">
        <v>0.03</v>
      </c>
      <c r="T259" s="26">
        <v>0.03</v>
      </c>
      <c r="U259" s="26">
        <v>0.03</v>
      </c>
      <c r="V259" s="26">
        <v>0.03</v>
      </c>
      <c r="W259" s="26">
        <v>0.03</v>
      </c>
    </row>
    <row r="260" spans="3:23" outlineLevel="1"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</row>
    <row r="261" spans="3:23" outlineLevel="1"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</row>
    <row r="262" spans="3:23" outlineLevel="1"/>
    <row r="263" spans="3:23" outlineLevel="1">
      <c r="C263" s="407" t="s">
        <v>870</v>
      </c>
      <c r="G263" s="6">
        <f>$G$32</f>
        <v>1</v>
      </c>
      <c r="J263" s="20">
        <f>INDEX(K263:P263,,$G263)</f>
        <v>1.39158765303</v>
      </c>
      <c r="K263" s="19">
        <v>1.39158765303</v>
      </c>
      <c r="L263" s="19"/>
      <c r="M263" s="19"/>
      <c r="N263" s="19"/>
      <c r="O263" s="19"/>
      <c r="P263" s="19"/>
    </row>
    <row r="264" spans="3:23" outlineLevel="1"/>
    <row r="265" spans="3:23" outlineLevel="1"/>
    <row r="266" spans="3:23" outlineLevel="1">
      <c r="C266" s="407" t="s">
        <v>872</v>
      </c>
      <c r="G266" s="6">
        <f>$G$32</f>
        <v>1</v>
      </c>
      <c r="H266" s="17" t="s">
        <v>325</v>
      </c>
      <c r="I266" s="17"/>
      <c r="K266" s="36">
        <f>INDEX(K267:K269,$G266,0)</f>
        <v>0.03</v>
      </c>
      <c r="L266" s="36">
        <f t="shared" ref="L266:T266" si="47">INDEX(L267:L269,$G266,0)</f>
        <v>0.03</v>
      </c>
      <c r="M266" s="36">
        <f t="shared" si="47"/>
        <v>0.03</v>
      </c>
      <c r="N266" s="36">
        <f t="shared" si="47"/>
        <v>0.03</v>
      </c>
      <c r="O266" s="36">
        <f t="shared" si="47"/>
        <v>0.03</v>
      </c>
      <c r="P266" s="36">
        <f t="shared" si="47"/>
        <v>0.03</v>
      </c>
      <c r="Q266" s="36">
        <f t="shared" si="47"/>
        <v>0.03</v>
      </c>
      <c r="R266" s="36">
        <f t="shared" si="47"/>
        <v>0.03</v>
      </c>
      <c r="S266" s="36">
        <f t="shared" si="47"/>
        <v>0.03</v>
      </c>
      <c r="T266" s="36">
        <f t="shared" si="47"/>
        <v>0.03</v>
      </c>
      <c r="U266" s="36">
        <f>INDEX(U267:U269,$G266,0)</f>
        <v>0.03</v>
      </c>
      <c r="V266" s="36">
        <f>INDEX(V267:V269,$G266,0)</f>
        <v>0.03</v>
      </c>
      <c r="W266" s="36">
        <f>INDEX(W267:W269,$G266,0)</f>
        <v>0.03</v>
      </c>
    </row>
    <row r="267" spans="3:23" outlineLevel="1">
      <c r="C267" s="407" t="s">
        <v>840</v>
      </c>
      <c r="K267" s="26">
        <v>0.03</v>
      </c>
      <c r="L267" s="26">
        <v>0.03</v>
      </c>
      <c r="M267" s="26">
        <v>0.03</v>
      </c>
      <c r="N267" s="26">
        <v>0.03</v>
      </c>
      <c r="O267" s="26">
        <v>0.03</v>
      </c>
      <c r="P267" s="26">
        <v>0.03</v>
      </c>
      <c r="Q267" s="26">
        <v>0.03</v>
      </c>
      <c r="R267" s="26">
        <v>0.03</v>
      </c>
      <c r="S267" s="26">
        <v>0.03</v>
      </c>
      <c r="T267" s="26">
        <v>0.03</v>
      </c>
      <c r="U267" s="26">
        <v>0.03</v>
      </c>
      <c r="V267" s="26">
        <v>0.03</v>
      </c>
      <c r="W267" s="26">
        <v>0.03</v>
      </c>
    </row>
    <row r="268" spans="3:23" outlineLevel="1"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</row>
    <row r="269" spans="3:23" outlineLevel="1"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</row>
    <row r="270" spans="3:23" outlineLevel="1"/>
    <row r="271" spans="3:23" outlineLevel="1">
      <c r="C271" s="407" t="s">
        <v>870</v>
      </c>
      <c r="G271" s="6">
        <f>$G$32</f>
        <v>1</v>
      </c>
      <c r="J271" s="20">
        <f>INDEX(K271:P271,,$G271)</f>
        <v>1.1984589640000001</v>
      </c>
      <c r="K271" s="19">
        <v>1.1984589640000001</v>
      </c>
      <c r="L271" s="19"/>
      <c r="M271" s="19"/>
      <c r="N271" s="19"/>
      <c r="O271" s="19"/>
      <c r="P271" s="19"/>
    </row>
    <row r="272" spans="3:23" outlineLevel="1"/>
    <row r="273" spans="3:23" outlineLevel="1"/>
    <row r="274" spans="3:23" outlineLevel="1">
      <c r="C274" s="407" t="s">
        <v>586</v>
      </c>
      <c r="G274" s="6">
        <f>$G$32</f>
        <v>1</v>
      </c>
      <c r="H274" s="17" t="s">
        <v>325</v>
      </c>
      <c r="I274" s="17"/>
      <c r="K274" s="36">
        <f>INDEX(K275:K277,$G274,0)</f>
        <v>3.3167525583047128E-2</v>
      </c>
      <c r="L274" s="36">
        <f t="shared" ref="L274:T274" si="48">INDEX(L275:L277,$G274,0)</f>
        <v>3.3167525583047128E-2</v>
      </c>
      <c r="M274" s="36">
        <f t="shared" si="48"/>
        <v>3.3167525583047128E-2</v>
      </c>
      <c r="N274" s="36">
        <f t="shared" si="48"/>
        <v>3.3167525583047128E-2</v>
      </c>
      <c r="O274" s="36">
        <f t="shared" si="48"/>
        <v>3.3167525583047128E-2</v>
      </c>
      <c r="P274" s="36">
        <f t="shared" si="48"/>
        <v>3.3167525583047128E-2</v>
      </c>
      <c r="Q274" s="36">
        <f t="shared" si="48"/>
        <v>3.3167525583047128E-2</v>
      </c>
      <c r="R274" s="36">
        <f t="shared" si="48"/>
        <v>3.3167525583047128E-2</v>
      </c>
      <c r="S274" s="36">
        <f t="shared" si="48"/>
        <v>3.3167525583047128E-2</v>
      </c>
      <c r="T274" s="36">
        <f t="shared" si="48"/>
        <v>3.3167525583047128E-2</v>
      </c>
      <c r="U274" s="36">
        <f>INDEX(U275:U277,$G274,0)</f>
        <v>3.3167525583047128E-2</v>
      </c>
      <c r="V274" s="36">
        <f>INDEX(V275:V277,$G274,0)</f>
        <v>3.3167525583047128E-2</v>
      </c>
      <c r="W274" s="36">
        <f>INDEX(W275:W277,$G274,0)</f>
        <v>3.3167525583047128E-2</v>
      </c>
    </row>
    <row r="275" spans="3:23" outlineLevel="1">
      <c r="C275" s="407" t="s">
        <v>840</v>
      </c>
      <c r="K275" s="26">
        <v>3.3167525583047128E-2</v>
      </c>
      <c r="L275" s="26">
        <v>3.3167525583047128E-2</v>
      </c>
      <c r="M275" s="26">
        <v>3.3167525583047128E-2</v>
      </c>
      <c r="N275" s="26">
        <v>3.3167525583047128E-2</v>
      </c>
      <c r="O275" s="26">
        <v>3.3167525583047128E-2</v>
      </c>
      <c r="P275" s="26">
        <v>3.3167525583047128E-2</v>
      </c>
      <c r="Q275" s="26">
        <v>3.3167525583047128E-2</v>
      </c>
      <c r="R275" s="26">
        <v>3.3167525583047128E-2</v>
      </c>
      <c r="S275" s="26">
        <v>3.3167525583047128E-2</v>
      </c>
      <c r="T275" s="26">
        <v>3.3167525583047128E-2</v>
      </c>
      <c r="U275" s="26">
        <v>3.3167525583047128E-2</v>
      </c>
      <c r="V275" s="26">
        <v>3.3167525583047128E-2</v>
      </c>
      <c r="W275" s="26">
        <v>3.3167525583047128E-2</v>
      </c>
    </row>
    <row r="276" spans="3:23" outlineLevel="1"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</row>
    <row r="277" spans="3:23" outlineLevel="1"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</row>
    <row r="278" spans="3:23" outlineLevel="1"/>
    <row r="279" spans="3:23" outlineLevel="1">
      <c r="C279" s="407" t="s">
        <v>870</v>
      </c>
      <c r="G279" s="6">
        <f>$G$32</f>
        <v>1</v>
      </c>
      <c r="J279" s="20">
        <f>INDEX(K279:P279,,$G279)</f>
        <v>1.3542027679999999</v>
      </c>
      <c r="K279" s="19">
        <v>1.3542027679999999</v>
      </c>
      <c r="L279" s="19"/>
      <c r="M279" s="19"/>
      <c r="N279" s="19"/>
      <c r="O279" s="19"/>
      <c r="P279" s="19"/>
    </row>
    <row r="280" spans="3:23" outlineLevel="1"/>
    <row r="281" spans="3:23" outlineLevel="1">
      <c r="C281" s="407" t="s">
        <v>873</v>
      </c>
      <c r="G281" s="6">
        <f>$G$32</f>
        <v>1</v>
      </c>
      <c r="J281" s="20">
        <f>INDEX(K281:P281,,$G281)</f>
        <v>0.95980021969999996</v>
      </c>
      <c r="K281" s="19">
        <v>0.95980021969999996</v>
      </c>
      <c r="L281" s="19"/>
      <c r="M281" s="19"/>
      <c r="N281" s="19"/>
      <c r="O281" s="19"/>
      <c r="P281" s="19"/>
    </row>
    <row r="282" spans="3:23" outlineLevel="1"/>
    <row r="283" spans="3:23" outlineLevel="1">
      <c r="C283" s="407" t="s">
        <v>851</v>
      </c>
      <c r="G283" s="6">
        <f>$G$32</f>
        <v>1</v>
      </c>
      <c r="H283" s="17" t="s">
        <v>325</v>
      </c>
      <c r="I283" s="17"/>
      <c r="K283" s="36">
        <f>INDEX(K284:K286,$G283,0)</f>
        <v>0.02</v>
      </c>
      <c r="L283" s="36">
        <f t="shared" ref="L283:T283" si="49">INDEX(L284:L286,$G283,0)</f>
        <v>0.02</v>
      </c>
      <c r="M283" s="36">
        <f t="shared" si="49"/>
        <v>0.02</v>
      </c>
      <c r="N283" s="36">
        <f t="shared" si="49"/>
        <v>0.02</v>
      </c>
      <c r="O283" s="36">
        <f t="shared" si="49"/>
        <v>0.02</v>
      </c>
      <c r="P283" s="36">
        <f t="shared" si="49"/>
        <v>0.02</v>
      </c>
      <c r="Q283" s="36">
        <f t="shared" si="49"/>
        <v>0.02</v>
      </c>
      <c r="R283" s="36">
        <f t="shared" si="49"/>
        <v>0.02</v>
      </c>
      <c r="S283" s="36">
        <f t="shared" si="49"/>
        <v>0.02</v>
      </c>
      <c r="T283" s="36">
        <f t="shared" si="49"/>
        <v>0.02</v>
      </c>
      <c r="U283" s="36">
        <f>INDEX(U284:U286,$G283,0)</f>
        <v>0.02</v>
      </c>
      <c r="V283" s="36">
        <f>INDEX(V284:V286,$G283,0)</f>
        <v>0.02</v>
      </c>
      <c r="W283" s="36">
        <f>INDEX(W284:W286,$G283,0)</f>
        <v>0.02</v>
      </c>
    </row>
    <row r="284" spans="3:23" outlineLevel="1">
      <c r="C284" s="407" t="s">
        <v>840</v>
      </c>
      <c r="K284" s="26">
        <v>0.02</v>
      </c>
      <c r="L284" s="26">
        <v>0.02</v>
      </c>
      <c r="M284" s="26">
        <v>0.02</v>
      </c>
      <c r="N284" s="26">
        <v>0.02</v>
      </c>
      <c r="O284" s="26">
        <v>0.02</v>
      </c>
      <c r="P284" s="26">
        <v>0.02</v>
      </c>
      <c r="Q284" s="26">
        <v>0.02</v>
      </c>
      <c r="R284" s="26">
        <v>0.02</v>
      </c>
      <c r="S284" s="26">
        <v>0.02</v>
      </c>
      <c r="T284" s="26">
        <v>0.02</v>
      </c>
      <c r="U284" s="26">
        <v>0.02</v>
      </c>
      <c r="V284" s="26">
        <v>0.02</v>
      </c>
      <c r="W284" s="26">
        <v>0.02</v>
      </c>
    </row>
    <row r="285" spans="3:23" outlineLevel="1"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</row>
    <row r="286" spans="3:23" outlineLevel="1"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</row>
    <row r="287" spans="3:23" outlineLevel="1"/>
    <row r="288" spans="3:23" outlineLevel="1">
      <c r="C288" s="407" t="s">
        <v>870</v>
      </c>
      <c r="G288" s="6">
        <f>$G$32</f>
        <v>1</v>
      </c>
      <c r="J288" s="20">
        <f>INDEX(K288:P288,,$G288)</f>
        <v>0.65990706099999996</v>
      </c>
      <c r="K288" s="19">
        <v>0.65990706099999996</v>
      </c>
      <c r="L288" s="19"/>
      <c r="M288" s="19"/>
      <c r="N288" s="19"/>
      <c r="O288" s="19"/>
      <c r="P288" s="19"/>
    </row>
    <row r="289" spans="3:23" outlineLevel="1"/>
    <row r="290" spans="3:23" outlineLevel="1"/>
    <row r="291" spans="3:23" outlineLevel="1">
      <c r="C291" s="407" t="s">
        <v>849</v>
      </c>
      <c r="G291" s="6">
        <f>$G$32</f>
        <v>1</v>
      </c>
      <c r="H291" s="17" t="s">
        <v>325</v>
      </c>
      <c r="I291" s="17"/>
      <c r="K291" s="36">
        <f>INDEX(K292:K294,$G291,0)</f>
        <v>3.5000000000000003E-2</v>
      </c>
      <c r="L291" s="36">
        <f t="shared" ref="L291:T291" si="50">INDEX(L292:L294,$G291,0)</f>
        <v>3.5000000000000003E-2</v>
      </c>
      <c r="M291" s="36">
        <f t="shared" si="50"/>
        <v>3.5000000000000003E-2</v>
      </c>
      <c r="N291" s="36">
        <f t="shared" si="50"/>
        <v>3.5000000000000003E-2</v>
      </c>
      <c r="O291" s="36">
        <f t="shared" si="50"/>
        <v>3.5000000000000003E-2</v>
      </c>
      <c r="P291" s="36">
        <f t="shared" si="50"/>
        <v>3.5000000000000003E-2</v>
      </c>
      <c r="Q291" s="36">
        <f t="shared" si="50"/>
        <v>3.5000000000000003E-2</v>
      </c>
      <c r="R291" s="36">
        <f t="shared" si="50"/>
        <v>3.5000000000000003E-2</v>
      </c>
      <c r="S291" s="36">
        <f t="shared" si="50"/>
        <v>3.5000000000000003E-2</v>
      </c>
      <c r="T291" s="36">
        <f t="shared" si="50"/>
        <v>3.5000000000000003E-2</v>
      </c>
      <c r="U291" s="36">
        <f>INDEX(U292:U294,$G291,0)</f>
        <v>3.5000000000000003E-2</v>
      </c>
      <c r="V291" s="36">
        <f>INDEX(V292:V294,$G291,0)</f>
        <v>3.5000000000000003E-2</v>
      </c>
      <c r="W291" s="36">
        <f>INDEX(W292:W294,$G291,0)</f>
        <v>3.5000000000000003E-2</v>
      </c>
    </row>
    <row r="292" spans="3:23" outlineLevel="1">
      <c r="C292" s="407" t="s">
        <v>840</v>
      </c>
      <c r="K292" s="26">
        <v>3.5000000000000003E-2</v>
      </c>
      <c r="L292" s="26">
        <v>3.5000000000000003E-2</v>
      </c>
      <c r="M292" s="26">
        <v>3.5000000000000003E-2</v>
      </c>
      <c r="N292" s="26">
        <v>3.5000000000000003E-2</v>
      </c>
      <c r="O292" s="26">
        <v>3.5000000000000003E-2</v>
      </c>
      <c r="P292" s="26">
        <v>3.5000000000000003E-2</v>
      </c>
      <c r="Q292" s="26">
        <v>3.5000000000000003E-2</v>
      </c>
      <c r="R292" s="26">
        <v>3.5000000000000003E-2</v>
      </c>
      <c r="S292" s="26">
        <v>3.5000000000000003E-2</v>
      </c>
      <c r="T292" s="26">
        <v>3.5000000000000003E-2</v>
      </c>
      <c r="U292" s="26">
        <v>3.5000000000000003E-2</v>
      </c>
      <c r="V292" s="26">
        <v>3.5000000000000003E-2</v>
      </c>
      <c r="W292" s="26">
        <v>3.5000000000000003E-2</v>
      </c>
    </row>
    <row r="293" spans="3:23" outlineLevel="1"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</row>
    <row r="294" spans="3:23" outlineLevel="1"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</row>
    <row r="295" spans="3:23" outlineLevel="1"/>
    <row r="296" spans="3:23" outlineLevel="1">
      <c r="C296" s="407" t="s">
        <v>870</v>
      </c>
      <c r="G296" s="6">
        <f>$G$32</f>
        <v>1</v>
      </c>
      <c r="J296" s="27">
        <f>INDEX(K296:P296,,$G296)</f>
        <v>0.213092265</v>
      </c>
      <c r="K296" s="30">
        <v>0.213092265</v>
      </c>
      <c r="L296" s="19"/>
      <c r="M296" s="19"/>
      <c r="N296" s="19"/>
      <c r="O296" s="19"/>
      <c r="P296" s="19"/>
    </row>
    <row r="297" spans="3:23" outlineLevel="1"/>
    <row r="298" spans="3:23" outlineLevel="1">
      <c r="C298" s="407" t="s">
        <v>850</v>
      </c>
      <c r="G298" s="6">
        <f>$G$32</f>
        <v>1</v>
      </c>
      <c r="H298" s="17" t="s">
        <v>325</v>
      </c>
      <c r="I298" s="17"/>
      <c r="K298" s="36">
        <f>INDEX(K299:K301,$G298,0)</f>
        <v>3.5000000000000003E-2</v>
      </c>
      <c r="L298" s="36">
        <f t="shared" ref="L298:T298" si="51">INDEX(L299:L301,$G298,0)</f>
        <v>3.5000000000000003E-2</v>
      </c>
      <c r="M298" s="36">
        <f t="shared" si="51"/>
        <v>3.5000000000000003E-2</v>
      </c>
      <c r="N298" s="36">
        <f t="shared" si="51"/>
        <v>3.5000000000000003E-2</v>
      </c>
      <c r="O298" s="36">
        <f t="shared" si="51"/>
        <v>3.5000000000000003E-2</v>
      </c>
      <c r="P298" s="36">
        <f t="shared" si="51"/>
        <v>3.5000000000000003E-2</v>
      </c>
      <c r="Q298" s="36">
        <f t="shared" si="51"/>
        <v>3.5000000000000003E-2</v>
      </c>
      <c r="R298" s="36">
        <f t="shared" si="51"/>
        <v>3.5000000000000003E-2</v>
      </c>
      <c r="S298" s="36">
        <f t="shared" si="51"/>
        <v>3.5000000000000003E-2</v>
      </c>
      <c r="T298" s="36">
        <f t="shared" si="51"/>
        <v>3.5000000000000003E-2</v>
      </c>
      <c r="U298" s="36">
        <f>INDEX(U299:U301,$G298,0)</f>
        <v>3.5000000000000003E-2</v>
      </c>
      <c r="V298" s="36">
        <f>INDEX(V299:V301,$G298,0)</f>
        <v>3.5000000000000003E-2</v>
      </c>
      <c r="W298" s="36">
        <f>INDEX(W299:W301,$G298,0)</f>
        <v>3.5000000000000003E-2</v>
      </c>
    </row>
    <row r="299" spans="3:23" outlineLevel="1">
      <c r="C299" s="407" t="s">
        <v>840</v>
      </c>
      <c r="K299" s="26">
        <v>3.5000000000000003E-2</v>
      </c>
      <c r="L299" s="26">
        <v>3.5000000000000003E-2</v>
      </c>
      <c r="M299" s="26">
        <v>3.5000000000000003E-2</v>
      </c>
      <c r="N299" s="26">
        <v>3.5000000000000003E-2</v>
      </c>
      <c r="O299" s="26">
        <v>3.5000000000000003E-2</v>
      </c>
      <c r="P299" s="26">
        <v>3.5000000000000003E-2</v>
      </c>
      <c r="Q299" s="26">
        <v>3.5000000000000003E-2</v>
      </c>
      <c r="R299" s="26">
        <v>3.5000000000000003E-2</v>
      </c>
      <c r="S299" s="26">
        <v>3.5000000000000003E-2</v>
      </c>
      <c r="T299" s="26">
        <v>3.5000000000000003E-2</v>
      </c>
      <c r="U299" s="26">
        <v>3.5000000000000003E-2</v>
      </c>
      <c r="V299" s="26">
        <v>3.5000000000000003E-2</v>
      </c>
      <c r="W299" s="26">
        <v>3.5000000000000003E-2</v>
      </c>
    </row>
    <row r="300" spans="3:23" outlineLevel="1"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</row>
    <row r="301" spans="3:23" outlineLevel="1"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</row>
    <row r="302" spans="3:23" outlineLevel="1"/>
    <row r="303" spans="3:23" outlineLevel="1">
      <c r="C303" s="407" t="s">
        <v>870</v>
      </c>
      <c r="G303" s="6">
        <f>$G$32</f>
        <v>1</v>
      </c>
      <c r="J303" s="20">
        <f>INDEX(K303:P303,,$G303)</f>
        <v>7.0646302999999994E-2</v>
      </c>
      <c r="K303" s="19">
        <v>7.0646302999999994E-2</v>
      </c>
      <c r="L303" s="19"/>
      <c r="M303" s="19"/>
      <c r="N303" s="19"/>
      <c r="O303" s="19"/>
      <c r="P303" s="19"/>
    </row>
    <row r="304" spans="3:23" outlineLevel="1"/>
    <row r="305" spans="3:23" outlineLevel="1"/>
    <row r="306" spans="3:23" outlineLevel="1">
      <c r="C306" s="407" t="s">
        <v>851</v>
      </c>
      <c r="G306" s="6">
        <f>$G$32</f>
        <v>1</v>
      </c>
      <c r="H306" s="17" t="s">
        <v>325</v>
      </c>
      <c r="I306" s="17"/>
      <c r="K306" s="36">
        <f>INDEX(K307:K309,$G306,0)</f>
        <v>0.02</v>
      </c>
      <c r="L306" s="36">
        <f t="shared" ref="L306:T306" si="52">INDEX(L307:L309,$G306,0)</f>
        <v>0.02</v>
      </c>
      <c r="M306" s="36">
        <f t="shared" si="52"/>
        <v>0.02</v>
      </c>
      <c r="N306" s="36">
        <f t="shared" si="52"/>
        <v>0.02</v>
      </c>
      <c r="O306" s="36">
        <f t="shared" si="52"/>
        <v>0.02</v>
      </c>
      <c r="P306" s="36">
        <f t="shared" si="52"/>
        <v>0.02</v>
      </c>
      <c r="Q306" s="36">
        <f t="shared" si="52"/>
        <v>0.02</v>
      </c>
      <c r="R306" s="36">
        <f t="shared" si="52"/>
        <v>0.02</v>
      </c>
      <c r="S306" s="36">
        <f t="shared" si="52"/>
        <v>0.02</v>
      </c>
      <c r="T306" s="36">
        <f t="shared" si="52"/>
        <v>0.02</v>
      </c>
      <c r="U306" s="36">
        <f>INDEX(U307:U309,$G306,0)</f>
        <v>0.02</v>
      </c>
      <c r="V306" s="36">
        <f>INDEX(V307:V309,$G306,0)</f>
        <v>0.02</v>
      </c>
      <c r="W306" s="36">
        <f>INDEX(W307:W309,$G306,0)</f>
        <v>0.02</v>
      </c>
    </row>
    <row r="307" spans="3:23" outlineLevel="1">
      <c r="C307" s="407" t="s">
        <v>840</v>
      </c>
      <c r="K307" s="26">
        <v>0.02</v>
      </c>
      <c r="L307" s="26">
        <v>0.02</v>
      </c>
      <c r="M307" s="26">
        <v>0.02</v>
      </c>
      <c r="N307" s="26">
        <v>0.02</v>
      </c>
      <c r="O307" s="26">
        <v>0.02</v>
      </c>
      <c r="P307" s="26">
        <v>0.02</v>
      </c>
      <c r="Q307" s="26">
        <v>0.02</v>
      </c>
      <c r="R307" s="26">
        <v>0.02</v>
      </c>
      <c r="S307" s="26">
        <v>0.02</v>
      </c>
      <c r="T307" s="26">
        <v>0.02</v>
      </c>
      <c r="U307" s="26">
        <v>0.02</v>
      </c>
      <c r="V307" s="26">
        <v>0.02</v>
      </c>
      <c r="W307" s="26">
        <v>0.02</v>
      </c>
    </row>
    <row r="308" spans="3:23" outlineLevel="1"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</row>
    <row r="309" spans="3:23" outlineLevel="1"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</row>
    <row r="310" spans="3:23" outlineLevel="1"/>
    <row r="311" spans="3:23" outlineLevel="1">
      <c r="C311" s="407" t="s">
        <v>870</v>
      </c>
      <c r="G311" s="6">
        <f>$G$32</f>
        <v>1</v>
      </c>
      <c r="J311" s="20">
        <f>INDEX(K311:P311,,$G311)</f>
        <v>2.5000000000000001E-3</v>
      </c>
      <c r="K311" s="19">
        <v>2.5000000000000001E-3</v>
      </c>
      <c r="L311" s="19"/>
      <c r="M311" s="19"/>
      <c r="N311" s="19"/>
      <c r="O311" s="19"/>
      <c r="P311" s="19"/>
    </row>
    <row r="312" spans="3:23" outlineLevel="1"/>
    <row r="313" spans="3:23" outlineLevel="1"/>
    <row r="314" spans="3:23" ht="23.25" outlineLevel="1">
      <c r="C314" s="61" t="s">
        <v>852</v>
      </c>
    </row>
    <row r="315" spans="3:23" outlineLevel="1"/>
    <row r="316" spans="3:23" ht="15.75" outlineLevel="1">
      <c r="C316" s="15" t="s">
        <v>853</v>
      </c>
    </row>
    <row r="317" spans="3:23" ht="15.75" outlineLevel="1">
      <c r="C317" s="15"/>
    </row>
    <row r="318" spans="3:23" outlineLevel="1">
      <c r="C318" t="s">
        <v>855</v>
      </c>
      <c r="G318" s="6">
        <f t="shared" ref="G318:G328" si="53">$G$32</f>
        <v>1</v>
      </c>
      <c r="H318" s="17" t="s">
        <v>315</v>
      </c>
      <c r="J318" s="62">
        <f t="shared" ref="J318:J328" si="54">INDEX(K318:P318,,$G318)</f>
        <v>4.2735000000000003</v>
      </c>
      <c r="K318" s="63">
        <v>4.2735000000000003</v>
      </c>
      <c r="L318" s="19"/>
      <c r="M318" s="19"/>
      <c r="N318" s="19"/>
      <c r="O318" s="19"/>
      <c r="P318" s="19"/>
    </row>
    <row r="319" spans="3:23" outlineLevel="1">
      <c r="C319" t="s">
        <v>854</v>
      </c>
      <c r="G319" s="6">
        <f t="shared" si="53"/>
        <v>1</v>
      </c>
      <c r="H319" s="17" t="s">
        <v>315</v>
      </c>
      <c r="J319" s="62">
        <f t="shared" si="54"/>
        <v>3.0775133239999999</v>
      </c>
      <c r="K319" s="63">
        <v>3.0775133239999999</v>
      </c>
      <c r="L319" s="19"/>
      <c r="M319" s="19"/>
      <c r="N319" s="19"/>
      <c r="O319" s="19"/>
      <c r="P319" s="19"/>
    </row>
    <row r="320" spans="3:23" outlineLevel="1">
      <c r="C320" t="s">
        <v>863</v>
      </c>
      <c r="G320" s="6">
        <f t="shared" si="53"/>
        <v>1</v>
      </c>
      <c r="H320" s="17" t="s">
        <v>315</v>
      </c>
      <c r="J320" s="62">
        <f t="shared" si="54"/>
        <v>0.43463408199999998</v>
      </c>
      <c r="K320" s="63">
        <v>0.43463408199999998</v>
      </c>
      <c r="L320" s="19"/>
      <c r="M320" s="19"/>
      <c r="N320" s="19"/>
      <c r="O320" s="19"/>
      <c r="P320" s="19"/>
    </row>
    <row r="321" spans="3:23" outlineLevel="1">
      <c r="C321" t="s">
        <v>859</v>
      </c>
      <c r="G321" s="6">
        <f t="shared" si="53"/>
        <v>1</v>
      </c>
      <c r="H321" s="17" t="s">
        <v>315</v>
      </c>
      <c r="J321" s="62">
        <f t="shared" si="54"/>
        <v>0.38632712999687496</v>
      </c>
      <c r="K321" s="63">
        <v>0.38632712999687496</v>
      </c>
      <c r="L321" s="19"/>
      <c r="M321" s="19"/>
      <c r="N321" s="19"/>
      <c r="O321" s="19"/>
      <c r="P321" s="19"/>
    </row>
    <row r="322" spans="3:23" outlineLevel="1">
      <c r="C322" t="s">
        <v>856</v>
      </c>
      <c r="G322" s="6">
        <f t="shared" si="53"/>
        <v>1</v>
      </c>
      <c r="H322" s="17" t="s">
        <v>315</v>
      </c>
      <c r="J322" s="62">
        <f t="shared" si="54"/>
        <v>0.35</v>
      </c>
      <c r="K322" s="63">
        <v>0.35</v>
      </c>
      <c r="L322" s="19"/>
      <c r="M322" s="19"/>
      <c r="N322" s="19"/>
      <c r="O322" s="19"/>
      <c r="P322" s="19"/>
    </row>
    <row r="323" spans="3:23" outlineLevel="1">
      <c r="C323" t="s">
        <v>857</v>
      </c>
      <c r="G323" s="6">
        <f t="shared" si="53"/>
        <v>1</v>
      </c>
      <c r="H323" s="17" t="s">
        <v>315</v>
      </c>
      <c r="J323" s="62">
        <f t="shared" si="54"/>
        <v>0.24578808914</v>
      </c>
      <c r="K323" s="63">
        <v>0.24578808914</v>
      </c>
      <c r="L323" s="19"/>
      <c r="M323" s="19"/>
      <c r="N323" s="19"/>
      <c r="O323" s="19"/>
      <c r="P323" s="19"/>
    </row>
    <row r="324" spans="3:23" outlineLevel="1">
      <c r="C324" t="s">
        <v>861</v>
      </c>
      <c r="G324" s="6">
        <f t="shared" si="53"/>
        <v>1</v>
      </c>
      <c r="H324" s="17" t="s">
        <v>315</v>
      </c>
      <c r="J324" s="62">
        <f t="shared" si="54"/>
        <v>0.12710661315000002</v>
      </c>
      <c r="K324" s="63">
        <v>0.12710661315000002</v>
      </c>
      <c r="L324" s="19"/>
      <c r="M324" s="19"/>
      <c r="N324" s="19"/>
      <c r="O324" s="19"/>
      <c r="P324" s="19"/>
    </row>
    <row r="325" spans="3:23" outlineLevel="1">
      <c r="C325" t="s">
        <v>864</v>
      </c>
      <c r="G325" s="6">
        <f t="shared" si="53"/>
        <v>1</v>
      </c>
      <c r="H325" s="17" t="s">
        <v>315</v>
      </c>
      <c r="J325" s="62">
        <f t="shared" si="54"/>
        <v>4.7444699999999999E-2</v>
      </c>
      <c r="K325" s="63">
        <v>4.7444699999999999E-2</v>
      </c>
      <c r="L325" s="19"/>
      <c r="M325" s="19"/>
      <c r="N325" s="19"/>
      <c r="O325" s="19"/>
      <c r="P325" s="19"/>
    </row>
    <row r="326" spans="3:23" outlineLevel="1">
      <c r="C326" t="s">
        <v>858</v>
      </c>
      <c r="G326" s="6">
        <f t="shared" si="53"/>
        <v>1</v>
      </c>
      <c r="H326" s="17" t="s">
        <v>315</v>
      </c>
      <c r="J326" s="62">
        <f t="shared" si="54"/>
        <v>2.0640441999999998E-2</v>
      </c>
      <c r="K326" s="63">
        <v>2.0640441999999998E-2</v>
      </c>
      <c r="L326" s="19"/>
      <c r="M326" s="19"/>
      <c r="N326" s="19"/>
      <c r="O326" s="19"/>
      <c r="P326" s="19"/>
    </row>
    <row r="327" spans="3:23" outlineLevel="1">
      <c r="C327" t="s">
        <v>862</v>
      </c>
      <c r="G327" s="6">
        <f t="shared" si="53"/>
        <v>1</v>
      </c>
      <c r="H327" s="17" t="s">
        <v>315</v>
      </c>
      <c r="J327" s="62">
        <f t="shared" si="54"/>
        <v>1.7084203999999999E-2</v>
      </c>
      <c r="K327" s="63">
        <v>1.7084203999999999E-2</v>
      </c>
      <c r="L327" s="19"/>
      <c r="M327" s="19"/>
      <c r="N327" s="19"/>
      <c r="O327" s="19"/>
      <c r="P327" s="19"/>
    </row>
    <row r="328" spans="3:23" outlineLevel="1">
      <c r="C328" t="s">
        <v>860</v>
      </c>
      <c r="G328" s="6">
        <f t="shared" si="53"/>
        <v>1</v>
      </c>
      <c r="H328" s="17" t="s">
        <v>315</v>
      </c>
      <c r="J328" s="62">
        <f t="shared" si="54"/>
        <v>1.29E-2</v>
      </c>
      <c r="K328" s="63">
        <v>1.29E-2</v>
      </c>
      <c r="L328" s="19"/>
      <c r="M328" s="19"/>
      <c r="N328" s="19"/>
      <c r="O328" s="19"/>
      <c r="P328" s="19"/>
    </row>
    <row r="329" spans="3:23" outlineLevel="1"/>
    <row r="330" spans="3:23" outlineLevel="1"/>
    <row r="331" spans="3:23" ht="15.75" outlineLevel="1">
      <c r="C331" s="15" t="s">
        <v>866</v>
      </c>
    </row>
    <row r="332" spans="3:23" outlineLevel="1">
      <c r="C332" s="407" t="s">
        <v>855</v>
      </c>
      <c r="G332" s="6">
        <f>$G$32</f>
        <v>1</v>
      </c>
      <c r="H332" s="17" t="s">
        <v>325</v>
      </c>
      <c r="I332" s="17"/>
      <c r="K332" s="36">
        <f>INDEX(K333:K335,$G332,0)</f>
        <v>3.5000000000000003E-2</v>
      </c>
      <c r="L332" s="36">
        <f t="shared" ref="L332:T332" si="55">INDEX(L333:L335,$G332,0)</f>
        <v>3.5000000000000003E-2</v>
      </c>
      <c r="M332" s="36">
        <f t="shared" si="55"/>
        <v>3.5000000000000003E-2</v>
      </c>
      <c r="N332" s="36">
        <f t="shared" si="55"/>
        <v>3.5000000000000003E-2</v>
      </c>
      <c r="O332" s="36">
        <f t="shared" si="55"/>
        <v>3.5000000000000003E-2</v>
      </c>
      <c r="P332" s="36">
        <f t="shared" si="55"/>
        <v>3.5000000000000003E-2</v>
      </c>
      <c r="Q332" s="36">
        <f t="shared" si="55"/>
        <v>3.5000000000000003E-2</v>
      </c>
      <c r="R332" s="36">
        <f t="shared" si="55"/>
        <v>3.5000000000000003E-2</v>
      </c>
      <c r="S332" s="36">
        <f t="shared" si="55"/>
        <v>3.5000000000000003E-2</v>
      </c>
      <c r="T332" s="36">
        <f t="shared" si="55"/>
        <v>3.5000000000000003E-2</v>
      </c>
      <c r="U332" s="36">
        <f>INDEX(U333:U335,$G332,0)</f>
        <v>3.5000000000000003E-2</v>
      </c>
      <c r="V332" s="36">
        <f>INDEX(V333:V335,$G332,0)</f>
        <v>3.5000000000000003E-2</v>
      </c>
      <c r="W332" s="36">
        <f>INDEX(W333:W335,$G332,0)</f>
        <v>3.5000000000000003E-2</v>
      </c>
    </row>
    <row r="333" spans="3:23" outlineLevel="1">
      <c r="C333" s="407" t="s">
        <v>840</v>
      </c>
      <c r="K333" s="26">
        <v>3.5000000000000003E-2</v>
      </c>
      <c r="L333" s="26">
        <v>3.5000000000000003E-2</v>
      </c>
      <c r="M333" s="26">
        <v>3.5000000000000003E-2</v>
      </c>
      <c r="N333" s="26">
        <v>3.5000000000000003E-2</v>
      </c>
      <c r="O333" s="26">
        <v>3.5000000000000003E-2</v>
      </c>
      <c r="P333" s="26">
        <v>3.5000000000000003E-2</v>
      </c>
      <c r="Q333" s="26">
        <v>3.5000000000000003E-2</v>
      </c>
      <c r="R333" s="26">
        <v>3.5000000000000003E-2</v>
      </c>
      <c r="S333" s="26">
        <v>3.5000000000000003E-2</v>
      </c>
      <c r="T333" s="26">
        <v>3.5000000000000003E-2</v>
      </c>
      <c r="U333" s="26">
        <v>3.5000000000000003E-2</v>
      </c>
      <c r="V333" s="26">
        <v>3.5000000000000003E-2</v>
      </c>
      <c r="W333" s="26">
        <v>3.5000000000000003E-2</v>
      </c>
    </row>
    <row r="334" spans="3:23" outlineLevel="1"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</row>
    <row r="335" spans="3:23" outlineLevel="1"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</row>
    <row r="336" spans="3:23" ht="23.25" outlineLevel="1">
      <c r="C336" s="61"/>
    </row>
    <row r="337" spans="3:23" outlineLevel="1">
      <c r="C337" s="407" t="s">
        <v>854</v>
      </c>
      <c r="G337" s="6">
        <f>$G$32</f>
        <v>1</v>
      </c>
      <c r="H337" s="17" t="s">
        <v>325</v>
      </c>
      <c r="I337" s="17"/>
      <c r="K337" s="36">
        <f>INDEX(K338:K340,$G337,0)</f>
        <v>0.03</v>
      </c>
      <c r="L337" s="36">
        <f t="shared" ref="L337:T337" si="56">INDEX(L338:L340,$G337,0)</f>
        <v>0.03</v>
      </c>
      <c r="M337" s="36">
        <f t="shared" si="56"/>
        <v>0.03</v>
      </c>
      <c r="N337" s="36">
        <f t="shared" si="56"/>
        <v>0.03</v>
      </c>
      <c r="O337" s="36">
        <f t="shared" si="56"/>
        <v>0.03</v>
      </c>
      <c r="P337" s="36">
        <f t="shared" si="56"/>
        <v>0.03</v>
      </c>
      <c r="Q337" s="36">
        <f t="shared" si="56"/>
        <v>0.03</v>
      </c>
      <c r="R337" s="36">
        <f t="shared" si="56"/>
        <v>0.03</v>
      </c>
      <c r="S337" s="36">
        <f t="shared" si="56"/>
        <v>0.03</v>
      </c>
      <c r="T337" s="36">
        <f t="shared" si="56"/>
        <v>0.03</v>
      </c>
      <c r="U337" s="36">
        <f>INDEX(U338:U340,$G337,0)</f>
        <v>0.03</v>
      </c>
      <c r="V337" s="36">
        <f>INDEX(V338:V340,$G337,0)</f>
        <v>0.03</v>
      </c>
      <c r="W337" s="36">
        <f>INDEX(W338:W340,$G337,0)</f>
        <v>0.03</v>
      </c>
    </row>
    <row r="338" spans="3:23" outlineLevel="1">
      <c r="C338" s="407" t="s">
        <v>840</v>
      </c>
      <c r="K338" s="26">
        <v>0.03</v>
      </c>
      <c r="L338" s="26">
        <v>0.03</v>
      </c>
      <c r="M338" s="26">
        <v>0.03</v>
      </c>
      <c r="N338" s="26">
        <v>0.03</v>
      </c>
      <c r="O338" s="26">
        <v>0.03</v>
      </c>
      <c r="P338" s="26">
        <v>0.03</v>
      </c>
      <c r="Q338" s="26">
        <v>0.03</v>
      </c>
      <c r="R338" s="26">
        <v>0.03</v>
      </c>
      <c r="S338" s="26">
        <v>0.03</v>
      </c>
      <c r="T338" s="26">
        <v>0.03</v>
      </c>
      <c r="U338" s="26">
        <v>0.03</v>
      </c>
      <c r="V338" s="26">
        <v>0.03</v>
      </c>
      <c r="W338" s="26">
        <v>0.03</v>
      </c>
    </row>
    <row r="339" spans="3:23" outlineLevel="1"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</row>
    <row r="340" spans="3:23" outlineLevel="1"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</row>
    <row r="341" spans="3:23" ht="23.25" outlineLevel="1">
      <c r="C341" s="61"/>
    </row>
    <row r="342" spans="3:23" outlineLevel="1">
      <c r="C342" s="407" t="s">
        <v>863</v>
      </c>
      <c r="G342" s="6">
        <f>$G$32</f>
        <v>1</v>
      </c>
      <c r="H342" s="17" t="s">
        <v>325</v>
      </c>
      <c r="I342" s="17"/>
      <c r="K342" s="36">
        <f>INDEX(K343:K345,$G342,0)</f>
        <v>0.03</v>
      </c>
      <c r="L342" s="36">
        <f t="shared" ref="L342:T342" si="57">INDEX(L343:L345,$G342,0)</f>
        <v>0.03</v>
      </c>
      <c r="M342" s="36">
        <f t="shared" si="57"/>
        <v>0.03</v>
      </c>
      <c r="N342" s="36">
        <f t="shared" si="57"/>
        <v>0.03</v>
      </c>
      <c r="O342" s="36">
        <f t="shared" si="57"/>
        <v>0.03</v>
      </c>
      <c r="P342" s="36">
        <f t="shared" si="57"/>
        <v>0.03</v>
      </c>
      <c r="Q342" s="36">
        <f t="shared" si="57"/>
        <v>0.03</v>
      </c>
      <c r="R342" s="36">
        <f t="shared" si="57"/>
        <v>0.03</v>
      </c>
      <c r="S342" s="36">
        <f t="shared" si="57"/>
        <v>0.03</v>
      </c>
      <c r="T342" s="36">
        <f t="shared" si="57"/>
        <v>0.03</v>
      </c>
      <c r="U342" s="36">
        <f>INDEX(U343:U345,$G342,0)</f>
        <v>0.03</v>
      </c>
      <c r="V342" s="36">
        <f>INDEX(V343:V345,$G342,0)</f>
        <v>0.03</v>
      </c>
      <c r="W342" s="36">
        <f>INDEX(W343:W345,$G342,0)</f>
        <v>0.03</v>
      </c>
    </row>
    <row r="343" spans="3:23" outlineLevel="1">
      <c r="C343" s="407" t="s">
        <v>840</v>
      </c>
      <c r="K343" s="26">
        <v>0.03</v>
      </c>
      <c r="L343" s="26">
        <v>0.03</v>
      </c>
      <c r="M343" s="26">
        <v>0.03</v>
      </c>
      <c r="N343" s="26">
        <v>0.03</v>
      </c>
      <c r="O343" s="26">
        <v>0.03</v>
      </c>
      <c r="P343" s="26">
        <v>0.03</v>
      </c>
      <c r="Q343" s="26">
        <v>0.03</v>
      </c>
      <c r="R343" s="26">
        <v>0.03</v>
      </c>
      <c r="S343" s="26">
        <v>0.03</v>
      </c>
      <c r="T343" s="26">
        <v>0.03</v>
      </c>
      <c r="U343" s="26">
        <v>0.03</v>
      </c>
      <c r="V343" s="26">
        <v>0.03</v>
      </c>
      <c r="W343" s="26">
        <v>0.03</v>
      </c>
    </row>
    <row r="344" spans="3:23" outlineLevel="1"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</row>
    <row r="345" spans="3:23" outlineLevel="1"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</row>
    <row r="346" spans="3:23" ht="23.25" outlineLevel="1">
      <c r="C346" s="61"/>
    </row>
    <row r="347" spans="3:23" ht="23.25" outlineLevel="1">
      <c r="C347" s="61"/>
    </row>
    <row r="348" spans="3:23" outlineLevel="1">
      <c r="C348" s="407" t="s">
        <v>859</v>
      </c>
      <c r="G348" s="6">
        <f>$G$32</f>
        <v>1</v>
      </c>
      <c r="H348" s="17" t="s">
        <v>325</v>
      </c>
      <c r="I348" s="17"/>
      <c r="K348" s="36">
        <f>INDEX(K349:K351,$G348,0)</f>
        <v>0.03</v>
      </c>
      <c r="L348" s="36">
        <f t="shared" ref="L348:T348" si="58">INDEX(L349:L351,$G348,0)</f>
        <v>0.03</v>
      </c>
      <c r="M348" s="36">
        <f t="shared" si="58"/>
        <v>0.03</v>
      </c>
      <c r="N348" s="36">
        <f t="shared" si="58"/>
        <v>0.03</v>
      </c>
      <c r="O348" s="36">
        <f t="shared" si="58"/>
        <v>0.03</v>
      </c>
      <c r="P348" s="36">
        <f t="shared" si="58"/>
        <v>0.03</v>
      </c>
      <c r="Q348" s="36">
        <f t="shared" si="58"/>
        <v>0.03</v>
      </c>
      <c r="R348" s="36">
        <f t="shared" si="58"/>
        <v>0.03</v>
      </c>
      <c r="S348" s="36">
        <f t="shared" si="58"/>
        <v>0.03</v>
      </c>
      <c r="T348" s="36">
        <f t="shared" si="58"/>
        <v>0.03</v>
      </c>
      <c r="U348" s="36">
        <f>INDEX(U349:U351,$G348,0)</f>
        <v>0.03</v>
      </c>
      <c r="V348" s="36">
        <f>INDEX(V349:V351,$G348,0)</f>
        <v>0.03</v>
      </c>
      <c r="W348" s="36">
        <f>INDEX(W349:W351,$G348,0)</f>
        <v>0.03</v>
      </c>
    </row>
    <row r="349" spans="3:23" outlineLevel="1">
      <c r="C349" s="407" t="s">
        <v>840</v>
      </c>
      <c r="K349" s="26">
        <v>0.03</v>
      </c>
      <c r="L349" s="26">
        <v>0.03</v>
      </c>
      <c r="M349" s="26">
        <v>0.03</v>
      </c>
      <c r="N349" s="26">
        <v>0.03</v>
      </c>
      <c r="O349" s="26">
        <v>0.03</v>
      </c>
      <c r="P349" s="26">
        <v>0.03</v>
      </c>
      <c r="Q349" s="26">
        <v>0.03</v>
      </c>
      <c r="R349" s="26">
        <v>0.03</v>
      </c>
      <c r="S349" s="26">
        <v>0.03</v>
      </c>
      <c r="T349" s="26">
        <v>0.03</v>
      </c>
      <c r="U349" s="26">
        <v>0.03</v>
      </c>
      <c r="V349" s="26">
        <v>0.03</v>
      </c>
      <c r="W349" s="26">
        <v>0.03</v>
      </c>
    </row>
    <row r="350" spans="3:23" outlineLevel="1"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</row>
    <row r="351" spans="3:23" outlineLevel="1"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</row>
    <row r="352" spans="3:23" outlineLevel="1"/>
    <row r="353" spans="3:23" outlineLevel="1">
      <c r="C353" s="407" t="s">
        <v>856</v>
      </c>
      <c r="G353" s="6">
        <f>$G$32</f>
        <v>1</v>
      </c>
      <c r="H353" s="17" t="s">
        <v>325</v>
      </c>
      <c r="I353" s="17"/>
      <c r="K353" s="36">
        <f>INDEX(K354:K356,$G353,0)</f>
        <v>0.03</v>
      </c>
      <c r="L353" s="36">
        <f t="shared" ref="L353:T353" si="59">INDEX(L354:L356,$G353,0)</f>
        <v>0.03</v>
      </c>
      <c r="M353" s="36">
        <f t="shared" si="59"/>
        <v>0.03</v>
      </c>
      <c r="N353" s="36">
        <f t="shared" si="59"/>
        <v>0.03</v>
      </c>
      <c r="O353" s="36">
        <f t="shared" si="59"/>
        <v>0.03</v>
      </c>
      <c r="P353" s="36">
        <f t="shared" si="59"/>
        <v>0.03</v>
      </c>
      <c r="Q353" s="36">
        <f t="shared" si="59"/>
        <v>0.03</v>
      </c>
      <c r="R353" s="36">
        <f t="shared" si="59"/>
        <v>0.03</v>
      </c>
      <c r="S353" s="36">
        <f t="shared" si="59"/>
        <v>0.03</v>
      </c>
      <c r="T353" s="36">
        <f t="shared" si="59"/>
        <v>0.03</v>
      </c>
      <c r="U353" s="36">
        <f>INDEX(U354:U356,$G353,0)</f>
        <v>0.03</v>
      </c>
      <c r="V353" s="36">
        <f>INDEX(V354:V356,$G353,0)</f>
        <v>0.03</v>
      </c>
      <c r="W353" s="36">
        <f>INDEX(W354:W356,$G353,0)</f>
        <v>0.03</v>
      </c>
    </row>
    <row r="354" spans="3:23" outlineLevel="1">
      <c r="C354" s="407" t="s">
        <v>840</v>
      </c>
      <c r="K354" s="26">
        <v>0.03</v>
      </c>
      <c r="L354" s="26">
        <v>0.03</v>
      </c>
      <c r="M354" s="26">
        <v>0.03</v>
      </c>
      <c r="N354" s="26">
        <v>0.03</v>
      </c>
      <c r="O354" s="26">
        <v>0.03</v>
      </c>
      <c r="P354" s="26">
        <v>0.03</v>
      </c>
      <c r="Q354" s="26">
        <v>0.03</v>
      </c>
      <c r="R354" s="26">
        <v>0.03</v>
      </c>
      <c r="S354" s="26">
        <v>0.03</v>
      </c>
      <c r="T354" s="26">
        <v>0.03</v>
      </c>
      <c r="U354" s="26">
        <v>0.03</v>
      </c>
      <c r="V354" s="26">
        <v>0.03</v>
      </c>
      <c r="W354" s="26">
        <v>0.03</v>
      </c>
    </row>
    <row r="355" spans="3:23" outlineLevel="1"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</row>
    <row r="356" spans="3:23" outlineLevel="1"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</row>
    <row r="357" spans="3:23" outlineLevel="1"/>
    <row r="358" spans="3:23" outlineLevel="1">
      <c r="C358" s="407" t="s">
        <v>857</v>
      </c>
      <c r="G358" s="6">
        <f>$G$32</f>
        <v>1</v>
      </c>
      <c r="H358" s="17" t="s">
        <v>325</v>
      </c>
      <c r="I358" s="17"/>
      <c r="K358" s="36">
        <f>INDEX(K359:K361,$G358,0)</f>
        <v>0.03</v>
      </c>
      <c r="L358" s="36">
        <f t="shared" ref="L358:T358" si="60">INDEX(L359:L361,$G358,0)</f>
        <v>0.03</v>
      </c>
      <c r="M358" s="36">
        <f t="shared" si="60"/>
        <v>0.03</v>
      </c>
      <c r="N358" s="36">
        <f t="shared" si="60"/>
        <v>0.03</v>
      </c>
      <c r="O358" s="36">
        <f t="shared" si="60"/>
        <v>0.03</v>
      </c>
      <c r="P358" s="36">
        <f t="shared" si="60"/>
        <v>0.03</v>
      </c>
      <c r="Q358" s="36">
        <f t="shared" si="60"/>
        <v>0.03</v>
      </c>
      <c r="R358" s="36">
        <f t="shared" si="60"/>
        <v>0.03</v>
      </c>
      <c r="S358" s="36">
        <f t="shared" si="60"/>
        <v>0.03</v>
      </c>
      <c r="T358" s="36">
        <f t="shared" si="60"/>
        <v>0.03</v>
      </c>
      <c r="U358" s="36">
        <f>INDEX(U359:U361,$G358,0)</f>
        <v>0.03</v>
      </c>
      <c r="V358" s="36">
        <f>INDEX(V359:V361,$G358,0)</f>
        <v>0.03</v>
      </c>
      <c r="W358" s="36">
        <f>INDEX(W359:W361,$G358,0)</f>
        <v>0.03</v>
      </c>
    </row>
    <row r="359" spans="3:23" outlineLevel="1">
      <c r="C359" s="407" t="s">
        <v>840</v>
      </c>
      <c r="K359" s="26">
        <v>0.03</v>
      </c>
      <c r="L359" s="26">
        <v>0.03</v>
      </c>
      <c r="M359" s="26">
        <v>0.03</v>
      </c>
      <c r="N359" s="26">
        <v>0.03</v>
      </c>
      <c r="O359" s="26">
        <v>0.03</v>
      </c>
      <c r="P359" s="26">
        <v>0.03</v>
      </c>
      <c r="Q359" s="26">
        <v>0.03</v>
      </c>
      <c r="R359" s="26">
        <v>0.03</v>
      </c>
      <c r="S359" s="26">
        <v>0.03</v>
      </c>
      <c r="T359" s="26">
        <v>0.03</v>
      </c>
      <c r="U359" s="26">
        <v>0.03</v>
      </c>
      <c r="V359" s="26">
        <v>0.03</v>
      </c>
      <c r="W359" s="26">
        <v>0.03</v>
      </c>
    </row>
    <row r="360" spans="3:23" outlineLevel="1"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</row>
    <row r="361" spans="3:23" outlineLevel="1"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</row>
    <row r="362" spans="3:23" outlineLevel="1"/>
    <row r="363" spans="3:23" outlineLevel="1">
      <c r="C363" s="407" t="s">
        <v>861</v>
      </c>
      <c r="G363" s="6">
        <f>$G$32</f>
        <v>1</v>
      </c>
      <c r="H363" s="17" t="s">
        <v>325</v>
      </c>
      <c r="I363" s="17"/>
      <c r="K363" s="36">
        <f>INDEX(K364:K366,$G363,0)</f>
        <v>0.02</v>
      </c>
      <c r="L363" s="36">
        <f t="shared" ref="L363:T363" si="61">INDEX(L364:L366,$G363,0)</f>
        <v>0.02</v>
      </c>
      <c r="M363" s="36">
        <f t="shared" si="61"/>
        <v>0.02</v>
      </c>
      <c r="N363" s="36">
        <f t="shared" si="61"/>
        <v>0.02</v>
      </c>
      <c r="O363" s="36">
        <f t="shared" si="61"/>
        <v>0.02</v>
      </c>
      <c r="P363" s="36">
        <f t="shared" si="61"/>
        <v>0.02</v>
      </c>
      <c r="Q363" s="36">
        <f t="shared" si="61"/>
        <v>0.02</v>
      </c>
      <c r="R363" s="36">
        <f t="shared" si="61"/>
        <v>0.02</v>
      </c>
      <c r="S363" s="36">
        <f t="shared" si="61"/>
        <v>0.02</v>
      </c>
      <c r="T363" s="36">
        <f t="shared" si="61"/>
        <v>0.02</v>
      </c>
      <c r="U363" s="36">
        <f>INDEX(U364:U366,$G363,0)</f>
        <v>0.02</v>
      </c>
      <c r="V363" s="36">
        <f>INDEX(V364:V366,$G363,0)</f>
        <v>0.02</v>
      </c>
      <c r="W363" s="36">
        <f>INDEX(W364:W366,$G363,0)</f>
        <v>0.02</v>
      </c>
    </row>
    <row r="364" spans="3:23" outlineLevel="1">
      <c r="C364" s="407" t="s">
        <v>840</v>
      </c>
      <c r="K364" s="26">
        <v>0.02</v>
      </c>
      <c r="L364" s="26">
        <v>0.02</v>
      </c>
      <c r="M364" s="26">
        <v>0.02</v>
      </c>
      <c r="N364" s="26">
        <v>0.02</v>
      </c>
      <c r="O364" s="26">
        <v>0.02</v>
      </c>
      <c r="P364" s="26">
        <v>0.02</v>
      </c>
      <c r="Q364" s="26">
        <v>0.02</v>
      </c>
      <c r="R364" s="26">
        <v>0.02</v>
      </c>
      <c r="S364" s="26">
        <v>0.02</v>
      </c>
      <c r="T364" s="26">
        <v>0.02</v>
      </c>
      <c r="U364" s="26">
        <v>0.02</v>
      </c>
      <c r="V364" s="26">
        <v>0.02</v>
      </c>
      <c r="W364" s="26">
        <v>0.02</v>
      </c>
    </row>
    <row r="365" spans="3:23" outlineLevel="1"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</row>
    <row r="366" spans="3:23" outlineLevel="1"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</row>
    <row r="367" spans="3:23" outlineLevel="1"/>
    <row r="368" spans="3:23" outlineLevel="1">
      <c r="C368" s="407" t="s">
        <v>864</v>
      </c>
      <c r="G368" s="6">
        <f>$G$32</f>
        <v>1</v>
      </c>
      <c r="H368" s="17" t="s">
        <v>325</v>
      </c>
      <c r="I368" s="17"/>
      <c r="K368" s="36">
        <f>INDEX(K369:K371,$G368,0)</f>
        <v>0.03</v>
      </c>
      <c r="L368" s="36">
        <f t="shared" ref="L368:T368" si="62">INDEX(L369:L371,$G368,0)</f>
        <v>0.03</v>
      </c>
      <c r="M368" s="36">
        <f t="shared" si="62"/>
        <v>0.03</v>
      </c>
      <c r="N368" s="36">
        <f t="shared" si="62"/>
        <v>0.03</v>
      </c>
      <c r="O368" s="36">
        <f t="shared" si="62"/>
        <v>0.03</v>
      </c>
      <c r="P368" s="36">
        <f t="shared" si="62"/>
        <v>0.03</v>
      </c>
      <c r="Q368" s="36">
        <f t="shared" si="62"/>
        <v>0.03</v>
      </c>
      <c r="R368" s="36">
        <f t="shared" si="62"/>
        <v>0.03</v>
      </c>
      <c r="S368" s="36">
        <f t="shared" si="62"/>
        <v>0.03</v>
      </c>
      <c r="T368" s="36">
        <f t="shared" si="62"/>
        <v>0.03</v>
      </c>
      <c r="U368" s="36">
        <f>INDEX(U369:U371,$G368,0)</f>
        <v>0.03</v>
      </c>
      <c r="V368" s="36">
        <f>INDEX(V369:V371,$G368,0)</f>
        <v>0.03</v>
      </c>
      <c r="W368" s="36">
        <f>INDEX(W369:W371,$G368,0)</f>
        <v>0.03</v>
      </c>
    </row>
    <row r="369" spans="3:23" outlineLevel="1">
      <c r="C369" s="407" t="s">
        <v>840</v>
      </c>
      <c r="K369" s="26">
        <v>0.03</v>
      </c>
      <c r="L369" s="26">
        <v>0.03</v>
      </c>
      <c r="M369" s="26">
        <v>0.03</v>
      </c>
      <c r="N369" s="26">
        <v>0.03</v>
      </c>
      <c r="O369" s="26">
        <v>0.03</v>
      </c>
      <c r="P369" s="26">
        <v>0.03</v>
      </c>
      <c r="Q369" s="26">
        <v>0.03</v>
      </c>
      <c r="R369" s="26">
        <v>0.03</v>
      </c>
      <c r="S369" s="26">
        <v>0.03</v>
      </c>
      <c r="T369" s="26">
        <v>0.03</v>
      </c>
      <c r="U369" s="26">
        <v>0.03</v>
      </c>
      <c r="V369" s="26">
        <v>0.03</v>
      </c>
      <c r="W369" s="26">
        <v>0.03</v>
      </c>
    </row>
    <row r="370" spans="3:23" outlineLevel="1"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</row>
    <row r="371" spans="3:23" outlineLevel="1"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</row>
    <row r="372" spans="3:23" outlineLevel="1"/>
    <row r="373" spans="3:23" outlineLevel="1">
      <c r="C373" s="407" t="s">
        <v>858</v>
      </c>
      <c r="G373" s="6">
        <f>$G$32</f>
        <v>1</v>
      </c>
      <c r="H373" s="17" t="s">
        <v>325</v>
      </c>
      <c r="I373" s="17"/>
      <c r="K373" s="36">
        <f>INDEX(K374:K376,$G373,0)</f>
        <v>0.02</v>
      </c>
      <c r="L373" s="36">
        <f t="shared" ref="L373:T373" si="63">INDEX(L374:L376,$G373,0)</f>
        <v>0.02</v>
      </c>
      <c r="M373" s="36">
        <f t="shared" si="63"/>
        <v>0.02</v>
      </c>
      <c r="N373" s="36">
        <f t="shared" si="63"/>
        <v>0.02</v>
      </c>
      <c r="O373" s="36">
        <f t="shared" si="63"/>
        <v>0.02</v>
      </c>
      <c r="P373" s="36">
        <f t="shared" si="63"/>
        <v>0.02</v>
      </c>
      <c r="Q373" s="36">
        <f t="shared" si="63"/>
        <v>0.02</v>
      </c>
      <c r="R373" s="36">
        <f t="shared" si="63"/>
        <v>0.02</v>
      </c>
      <c r="S373" s="36">
        <f t="shared" si="63"/>
        <v>0.02</v>
      </c>
      <c r="T373" s="36">
        <f t="shared" si="63"/>
        <v>0.02</v>
      </c>
      <c r="U373" s="36">
        <f>INDEX(U374:U376,$G373,0)</f>
        <v>0.02</v>
      </c>
      <c r="V373" s="36">
        <f>INDEX(V374:V376,$G373,0)</f>
        <v>0.02</v>
      </c>
      <c r="W373" s="36">
        <f>INDEX(W374:W376,$G373,0)</f>
        <v>0.02</v>
      </c>
    </row>
    <row r="374" spans="3:23" outlineLevel="1">
      <c r="C374" s="407" t="s">
        <v>840</v>
      </c>
      <c r="K374" s="26">
        <v>0.02</v>
      </c>
      <c r="L374" s="26">
        <v>0.02</v>
      </c>
      <c r="M374" s="26">
        <v>0.02</v>
      </c>
      <c r="N374" s="26">
        <v>0.02</v>
      </c>
      <c r="O374" s="26">
        <v>0.02</v>
      </c>
      <c r="P374" s="26">
        <v>0.02</v>
      </c>
      <c r="Q374" s="26">
        <v>0.02</v>
      </c>
      <c r="R374" s="26">
        <v>0.02</v>
      </c>
      <c r="S374" s="26">
        <v>0.02</v>
      </c>
      <c r="T374" s="26">
        <v>0.02</v>
      </c>
      <c r="U374" s="26">
        <v>0.02</v>
      </c>
      <c r="V374" s="26">
        <v>0.02</v>
      </c>
      <c r="W374" s="26">
        <v>0.02</v>
      </c>
    </row>
    <row r="375" spans="3:23" outlineLevel="1"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</row>
    <row r="376" spans="3:23" outlineLevel="1"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</row>
    <row r="377" spans="3:23" outlineLevel="1"/>
    <row r="378" spans="3:23" outlineLevel="1">
      <c r="C378" s="407" t="s">
        <v>862</v>
      </c>
      <c r="G378" s="6">
        <f>$G$32</f>
        <v>1</v>
      </c>
      <c r="H378" s="17" t="s">
        <v>325</v>
      </c>
      <c r="I378" s="17"/>
      <c r="K378" s="36">
        <f>INDEX(K379:K381,$G378,0)</f>
        <v>0.02</v>
      </c>
      <c r="L378" s="36">
        <f t="shared" ref="L378:T378" si="64">INDEX(L379:L381,$G378,0)</f>
        <v>0.02</v>
      </c>
      <c r="M378" s="36">
        <f t="shared" si="64"/>
        <v>0.02</v>
      </c>
      <c r="N378" s="36">
        <f t="shared" si="64"/>
        <v>0.02</v>
      </c>
      <c r="O378" s="36">
        <f t="shared" si="64"/>
        <v>0.02</v>
      </c>
      <c r="P378" s="36">
        <f t="shared" si="64"/>
        <v>0.02</v>
      </c>
      <c r="Q378" s="36">
        <f t="shared" si="64"/>
        <v>0.02</v>
      </c>
      <c r="R378" s="36">
        <f t="shared" si="64"/>
        <v>0.02</v>
      </c>
      <c r="S378" s="36">
        <f t="shared" si="64"/>
        <v>0.02</v>
      </c>
      <c r="T378" s="36">
        <f t="shared" si="64"/>
        <v>0.02</v>
      </c>
      <c r="U378" s="36">
        <f>INDEX(U379:U381,$G378,0)</f>
        <v>0.02</v>
      </c>
      <c r="V378" s="36">
        <f>INDEX(V379:V381,$G378,0)</f>
        <v>0.02</v>
      </c>
      <c r="W378" s="36">
        <f>INDEX(W379:W381,$G378,0)</f>
        <v>0.02</v>
      </c>
    </row>
    <row r="379" spans="3:23" outlineLevel="1">
      <c r="C379" s="407" t="s">
        <v>840</v>
      </c>
      <c r="K379" s="26">
        <v>0.02</v>
      </c>
      <c r="L379" s="26">
        <v>0.02</v>
      </c>
      <c r="M379" s="26">
        <v>0.02</v>
      </c>
      <c r="N379" s="26">
        <v>0.02</v>
      </c>
      <c r="O379" s="26">
        <v>0.02</v>
      </c>
      <c r="P379" s="26">
        <v>0.02</v>
      </c>
      <c r="Q379" s="26">
        <v>0.02</v>
      </c>
      <c r="R379" s="26">
        <v>0.02</v>
      </c>
      <c r="S379" s="26">
        <v>0.02</v>
      </c>
      <c r="T379" s="26">
        <v>0.02</v>
      </c>
      <c r="U379" s="26">
        <v>0.02</v>
      </c>
      <c r="V379" s="26">
        <v>0.02</v>
      </c>
      <c r="W379" s="26">
        <v>0.02</v>
      </c>
    </row>
    <row r="380" spans="3:23" outlineLevel="1"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</row>
    <row r="381" spans="3:23" outlineLevel="1"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</row>
    <row r="382" spans="3:23" outlineLevel="1"/>
    <row r="383" spans="3:23" outlineLevel="1">
      <c r="C383" s="407" t="s">
        <v>860</v>
      </c>
      <c r="G383" s="6">
        <f>$G$32</f>
        <v>1</v>
      </c>
      <c r="H383" s="17" t="s">
        <v>325</v>
      </c>
      <c r="I383" s="17"/>
      <c r="K383" s="36">
        <f>INDEX(K384:K386,$G383,0)</f>
        <v>0.02</v>
      </c>
      <c r="L383" s="36">
        <f t="shared" ref="L383:T383" si="65">INDEX(L384:L386,$G383,0)</f>
        <v>0.02</v>
      </c>
      <c r="M383" s="36">
        <f t="shared" si="65"/>
        <v>0.02</v>
      </c>
      <c r="N383" s="36">
        <f t="shared" si="65"/>
        <v>0.02</v>
      </c>
      <c r="O383" s="36">
        <f t="shared" si="65"/>
        <v>0.02</v>
      </c>
      <c r="P383" s="36">
        <f t="shared" si="65"/>
        <v>0.02</v>
      </c>
      <c r="Q383" s="36">
        <f t="shared" si="65"/>
        <v>0.02</v>
      </c>
      <c r="R383" s="36">
        <f t="shared" si="65"/>
        <v>0.02</v>
      </c>
      <c r="S383" s="36">
        <f t="shared" si="65"/>
        <v>0.02</v>
      </c>
      <c r="T383" s="36">
        <f t="shared" si="65"/>
        <v>0.02</v>
      </c>
      <c r="U383" s="36">
        <f>INDEX(U384:U386,$G383,0)</f>
        <v>0.02</v>
      </c>
      <c r="V383" s="36">
        <f>INDEX(V384:V386,$G383,0)</f>
        <v>0.02</v>
      </c>
      <c r="W383" s="36">
        <f>INDEX(W384:W386,$G383,0)</f>
        <v>0.02</v>
      </c>
    </row>
    <row r="384" spans="3:23" outlineLevel="1">
      <c r="C384" s="407" t="s">
        <v>840</v>
      </c>
      <c r="K384" s="26">
        <v>0.02</v>
      </c>
      <c r="L384" s="26">
        <v>0.02</v>
      </c>
      <c r="M384" s="26">
        <v>0.02</v>
      </c>
      <c r="N384" s="26">
        <v>0.02</v>
      </c>
      <c r="O384" s="26">
        <v>0.02</v>
      </c>
      <c r="P384" s="26">
        <v>0.02</v>
      </c>
      <c r="Q384" s="26">
        <v>0.02</v>
      </c>
      <c r="R384" s="26">
        <v>0.02</v>
      </c>
      <c r="S384" s="26">
        <v>0.02</v>
      </c>
      <c r="T384" s="26">
        <v>0.02</v>
      </c>
      <c r="U384" s="26">
        <v>0.02</v>
      </c>
      <c r="V384" s="26">
        <v>0.02</v>
      </c>
      <c r="W384" s="26">
        <v>0.02</v>
      </c>
    </row>
    <row r="385" spans="3:23" outlineLevel="1"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</row>
    <row r="386" spans="3:23" outlineLevel="1"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</row>
    <row r="387" spans="3:23" outlineLevel="1"/>
    <row r="388" spans="3:23" outlineLevel="1">
      <c r="C388" s="407" t="s">
        <v>874</v>
      </c>
      <c r="G388" s="6">
        <f>$G$32</f>
        <v>1</v>
      </c>
      <c r="H388" s="17" t="s">
        <v>325</v>
      </c>
      <c r="I388" s="17"/>
      <c r="K388" s="36">
        <f>INDEX(K389:K391,$G388,0)</f>
        <v>5.4709055176610004</v>
      </c>
      <c r="L388" s="36">
        <f t="shared" ref="L388:T388" si="66">INDEX(L389:L391,$G388,0)</f>
        <v>1.942171458769655</v>
      </c>
      <c r="M388" s="36">
        <f t="shared" si="66"/>
        <v>0</v>
      </c>
      <c r="N388" s="36">
        <f t="shared" si="66"/>
        <v>0</v>
      </c>
      <c r="O388" s="36">
        <f t="shared" si="66"/>
        <v>0</v>
      </c>
      <c r="P388" s="36">
        <f t="shared" si="66"/>
        <v>0</v>
      </c>
      <c r="Q388" s="36">
        <f t="shared" si="66"/>
        <v>0</v>
      </c>
      <c r="R388" s="36">
        <f t="shared" si="66"/>
        <v>0</v>
      </c>
      <c r="S388" s="36">
        <f t="shared" si="66"/>
        <v>0</v>
      </c>
      <c r="T388" s="36">
        <f t="shared" si="66"/>
        <v>0</v>
      </c>
      <c r="U388" s="36">
        <f>INDEX(U389:U391,$G388,0)</f>
        <v>0</v>
      </c>
      <c r="V388" s="36">
        <f>INDEX(V389:V391,$G388,0)</f>
        <v>0</v>
      </c>
      <c r="W388" s="36">
        <f>INDEX(W389:W391,$G388,0)</f>
        <v>0</v>
      </c>
    </row>
    <row r="389" spans="3:23" outlineLevel="1">
      <c r="C389" s="407" t="s">
        <v>840</v>
      </c>
      <c r="K389" s="26">
        <v>5.4709055176610004</v>
      </c>
      <c r="L389" s="26">
        <v>1.942171458769655</v>
      </c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</row>
    <row r="390" spans="3:23" outlineLevel="1"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</row>
    <row r="391" spans="3:23" outlineLevel="1"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</row>
    <row r="393" spans="3:23" ht="20.25" thickBot="1">
      <c r="C393" s="66" t="s">
        <v>294</v>
      </c>
      <c r="D393" s="66"/>
      <c r="E393" s="66"/>
      <c r="F393" s="66"/>
      <c r="G393" s="66"/>
      <c r="H393" s="66"/>
      <c r="I393" s="66"/>
      <c r="J393" s="66"/>
      <c r="K393" s="66"/>
      <c r="L393" s="66"/>
      <c r="M393" s="66"/>
      <c r="N393" s="66"/>
      <c r="O393" s="66"/>
      <c r="P393" s="66"/>
      <c r="Q393" s="66"/>
      <c r="R393" s="66"/>
      <c r="S393" s="66"/>
      <c r="T393" s="66"/>
      <c r="U393" s="66"/>
      <c r="V393" s="66"/>
      <c r="W393" s="66"/>
    </row>
    <row r="394" spans="3:23" ht="15.75" thickTop="1"/>
    <row r="395" spans="3:23" ht="23.25" outlineLevel="1">
      <c r="C395" s="61" t="s">
        <v>9</v>
      </c>
    </row>
    <row r="396" spans="3:23" outlineLevel="1">
      <c r="C396" t="s">
        <v>29</v>
      </c>
      <c r="G396" s="6">
        <v>1</v>
      </c>
    </row>
    <row r="397" spans="3:23" outlineLevel="1"/>
    <row r="398" spans="3:23" outlineLevel="1"/>
    <row r="399" spans="3:23" outlineLevel="1">
      <c r="C399" s="2" t="s">
        <v>868</v>
      </c>
      <c r="K399" s="9">
        <f>$K$8</f>
        <v>2024</v>
      </c>
      <c r="L399" s="9">
        <f t="shared" ref="L399:U399" si="67">K399+1</f>
        <v>2025</v>
      </c>
      <c r="M399" s="9">
        <f t="shared" si="67"/>
        <v>2026</v>
      </c>
      <c r="N399" s="9">
        <f t="shared" si="67"/>
        <v>2027</v>
      </c>
      <c r="O399" s="9">
        <f t="shared" si="67"/>
        <v>2028</v>
      </c>
      <c r="P399" s="9">
        <f t="shared" si="67"/>
        <v>2029</v>
      </c>
      <c r="Q399" s="9">
        <f t="shared" si="67"/>
        <v>2030</v>
      </c>
      <c r="R399" s="9">
        <f t="shared" si="67"/>
        <v>2031</v>
      </c>
      <c r="S399" s="9">
        <f t="shared" si="67"/>
        <v>2032</v>
      </c>
      <c r="T399" s="9">
        <f t="shared" si="67"/>
        <v>2033</v>
      </c>
      <c r="U399" s="9">
        <f t="shared" si="67"/>
        <v>2034</v>
      </c>
      <c r="V399" s="9">
        <f>U399+1</f>
        <v>2035</v>
      </c>
      <c r="W399" s="9">
        <f>V399+1</f>
        <v>2036</v>
      </c>
    </row>
    <row r="400" spans="3:23" outlineLevel="1">
      <c r="C400" s="407" t="s">
        <v>839</v>
      </c>
      <c r="G400" s="6">
        <f>$G$32</f>
        <v>1</v>
      </c>
      <c r="H400" s="17" t="s">
        <v>325</v>
      </c>
      <c r="I400" s="17"/>
      <c r="K400" s="36">
        <f>INDEX(K401:K403,$G400,0)</f>
        <v>0</v>
      </c>
      <c r="L400" s="36">
        <f t="shared" ref="L400:T400" si="68">INDEX(L401:L403,$G400,0)</f>
        <v>0.03</v>
      </c>
      <c r="M400" s="36">
        <f t="shared" si="68"/>
        <v>0.03</v>
      </c>
      <c r="N400" s="36">
        <f t="shared" si="68"/>
        <v>0.03</v>
      </c>
      <c r="O400" s="36">
        <f t="shared" si="68"/>
        <v>0.03</v>
      </c>
      <c r="P400" s="36">
        <f t="shared" si="68"/>
        <v>0.03</v>
      </c>
      <c r="Q400" s="36">
        <f t="shared" si="68"/>
        <v>0.03</v>
      </c>
      <c r="R400" s="36">
        <f t="shared" si="68"/>
        <v>0.03</v>
      </c>
      <c r="S400" s="36">
        <f t="shared" si="68"/>
        <v>0.03</v>
      </c>
      <c r="T400" s="36">
        <f t="shared" si="68"/>
        <v>0.03</v>
      </c>
      <c r="U400" s="36">
        <f>INDEX(U401:U403,$G400,0)</f>
        <v>0.03</v>
      </c>
      <c r="V400" s="36">
        <f>INDEX(V401:V403,$G400,0)</f>
        <v>0.03</v>
      </c>
      <c r="W400" s="36">
        <f>INDEX(W401:W403,$G400,0)</f>
        <v>0.03</v>
      </c>
    </row>
    <row r="401" spans="3:23" outlineLevel="1">
      <c r="C401" s="407" t="s">
        <v>840</v>
      </c>
      <c r="K401" s="24"/>
      <c r="L401" s="26">
        <v>0.03</v>
      </c>
      <c r="M401" s="26">
        <v>0.03</v>
      </c>
      <c r="N401" s="26">
        <v>0.03</v>
      </c>
      <c r="O401" s="26">
        <v>0.03</v>
      </c>
      <c r="P401" s="26">
        <v>0.03</v>
      </c>
      <c r="Q401" s="26">
        <v>0.03</v>
      </c>
      <c r="R401" s="26">
        <v>0.03</v>
      </c>
      <c r="S401" s="26">
        <v>0.03</v>
      </c>
      <c r="T401" s="26">
        <v>0.03</v>
      </c>
      <c r="U401" s="26">
        <v>0.03</v>
      </c>
      <c r="V401" s="26">
        <v>0.03</v>
      </c>
      <c r="W401" s="26">
        <v>0.03</v>
      </c>
    </row>
    <row r="402" spans="3:23" outlineLevel="1"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</row>
    <row r="403" spans="3:23" outlineLevel="1"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</row>
    <row r="404" spans="3:23" outlineLevel="1"/>
    <row r="405" spans="3:23" outlineLevel="1">
      <c r="C405" s="407" t="s">
        <v>875</v>
      </c>
      <c r="G405" s="6">
        <f>$G$32</f>
        <v>1</v>
      </c>
      <c r="J405" s="20">
        <f>INDEX(K405:P405,,$G405)</f>
        <v>2449985.568</v>
      </c>
      <c r="K405" s="19">
        <f>3049985.568-600000</f>
        <v>2449985.568</v>
      </c>
      <c r="L405" s="19"/>
      <c r="M405" s="19"/>
      <c r="N405" s="19"/>
      <c r="O405" s="19"/>
      <c r="P405" s="19"/>
    </row>
    <row r="406" spans="3:23" outlineLevel="1"/>
    <row r="407" spans="3:23" outlineLevel="1">
      <c r="C407" s="407" t="s">
        <v>842</v>
      </c>
      <c r="G407" s="6">
        <f>$G$32</f>
        <v>1</v>
      </c>
      <c r="H407" s="17" t="s">
        <v>325</v>
      </c>
      <c r="I407" s="17"/>
      <c r="K407" s="36">
        <f>INDEX(K408:K410,$G407,0)</f>
        <v>0</v>
      </c>
      <c r="L407" s="36">
        <f t="shared" ref="L407:T407" si="69">INDEX(L408:L410,$G407,0)</f>
        <v>40944</v>
      </c>
      <c r="M407" s="36">
        <f t="shared" si="69"/>
        <v>40944</v>
      </c>
      <c r="N407" s="36">
        <f t="shared" si="69"/>
        <v>49132.80000000001</v>
      </c>
      <c r="O407" s="36">
        <f t="shared" si="69"/>
        <v>49132.80000000001</v>
      </c>
      <c r="P407" s="36">
        <f t="shared" si="69"/>
        <v>54046.080000000002</v>
      </c>
      <c r="Q407" s="36">
        <f t="shared" si="69"/>
        <v>54046.080000000002</v>
      </c>
      <c r="R407" s="36">
        <f t="shared" si="69"/>
        <v>57288.844800000006</v>
      </c>
      <c r="S407" s="36">
        <f t="shared" si="69"/>
        <v>57288.844800000006</v>
      </c>
      <c r="T407" s="36">
        <f t="shared" si="69"/>
        <v>60726.175488000008</v>
      </c>
      <c r="U407" s="36">
        <f>INDEX(U408:U410,$G407,0)</f>
        <v>60726.175488000008</v>
      </c>
      <c r="V407" s="36">
        <f>INDEX(V408:V410,$G407,0)</f>
        <v>60726.175488000008</v>
      </c>
      <c r="W407" s="36">
        <f>INDEX(W408:W410,$G407,0)</f>
        <v>60726.175488000008</v>
      </c>
    </row>
    <row r="408" spans="3:23" outlineLevel="1">
      <c r="C408" s="407" t="s">
        <v>840</v>
      </c>
      <c r="K408" s="26"/>
      <c r="L408" s="26">
        <v>40944</v>
      </c>
      <c r="M408" s="26">
        <v>40944</v>
      </c>
      <c r="N408" s="26">
        <v>49132.80000000001</v>
      </c>
      <c r="O408" s="26">
        <v>49132.80000000001</v>
      </c>
      <c r="P408" s="26">
        <v>54046.080000000002</v>
      </c>
      <c r="Q408" s="26">
        <v>54046.080000000002</v>
      </c>
      <c r="R408" s="26">
        <v>57288.844800000006</v>
      </c>
      <c r="S408" s="26">
        <v>57288.844800000006</v>
      </c>
      <c r="T408" s="26">
        <v>60726.175488000008</v>
      </c>
      <c r="U408" s="26">
        <v>60726.175488000008</v>
      </c>
      <c r="V408" s="26">
        <v>60726.175488000008</v>
      </c>
      <c r="W408" s="26">
        <v>60726.175488000008</v>
      </c>
    </row>
    <row r="409" spans="3:23" outlineLevel="1"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</row>
    <row r="410" spans="3:23" outlineLevel="1"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</row>
    <row r="411" spans="3:23" ht="23.25" outlineLevel="1">
      <c r="C411" s="61" t="s">
        <v>473</v>
      </c>
    </row>
    <row r="412" spans="3:23" outlineLevel="1"/>
    <row r="413" spans="3:23" outlineLevel="1">
      <c r="C413" s="2" t="s">
        <v>492</v>
      </c>
      <c r="K413" s="407"/>
    </row>
    <row r="414" spans="3:23" outlineLevel="1">
      <c r="C414" s="407" t="s">
        <v>869</v>
      </c>
      <c r="G414" s="6">
        <f>$G$32</f>
        <v>1</v>
      </c>
      <c r="H414" s="17" t="s">
        <v>325</v>
      </c>
      <c r="I414" s="17"/>
      <c r="K414" s="36">
        <f>INDEX(K415:K417,$G414,0)</f>
        <v>0</v>
      </c>
      <c r="L414" s="36">
        <f t="shared" ref="L414:T414" si="70">INDEX(L415:L417,$G414,0)</f>
        <v>0</v>
      </c>
      <c r="M414" s="36">
        <f t="shared" si="70"/>
        <v>1</v>
      </c>
      <c r="N414" s="36">
        <f t="shared" si="70"/>
        <v>0</v>
      </c>
      <c r="O414" s="36">
        <f t="shared" si="70"/>
        <v>0</v>
      </c>
      <c r="P414" s="36">
        <f t="shared" si="70"/>
        <v>1</v>
      </c>
      <c r="Q414" s="36">
        <f t="shared" si="70"/>
        <v>0</v>
      </c>
      <c r="R414" s="36">
        <f t="shared" si="70"/>
        <v>0</v>
      </c>
      <c r="S414" s="36">
        <f t="shared" si="70"/>
        <v>1</v>
      </c>
      <c r="T414" s="36">
        <f t="shared" si="70"/>
        <v>0</v>
      </c>
      <c r="U414" s="36">
        <f>INDEX(U415:U417,$G414,0)</f>
        <v>0</v>
      </c>
      <c r="V414" s="36">
        <f>INDEX(V415:V417,$G414,0)</f>
        <v>0</v>
      </c>
      <c r="W414" s="36">
        <f>INDEX(W415:W417,$G414,0)</f>
        <v>0</v>
      </c>
    </row>
    <row r="415" spans="3:23" outlineLevel="1">
      <c r="C415" s="407" t="s">
        <v>840</v>
      </c>
      <c r="K415" s="26">
        <v>0</v>
      </c>
      <c r="L415" s="26">
        <v>0</v>
      </c>
      <c r="M415" s="26">
        <v>1</v>
      </c>
      <c r="N415" s="26">
        <v>0</v>
      </c>
      <c r="O415" s="26">
        <v>0</v>
      </c>
      <c r="P415" s="26">
        <v>1</v>
      </c>
      <c r="Q415" s="26">
        <v>0</v>
      </c>
      <c r="R415" s="26">
        <v>0</v>
      </c>
      <c r="S415" s="26">
        <v>1</v>
      </c>
      <c r="T415" s="26">
        <v>0</v>
      </c>
      <c r="U415" s="26">
        <v>0</v>
      </c>
      <c r="V415" s="26">
        <v>0</v>
      </c>
      <c r="W415" s="26">
        <v>0</v>
      </c>
    </row>
    <row r="416" spans="3:23" outlineLevel="1"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</row>
    <row r="417" spans="3:23" outlineLevel="1"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</row>
    <row r="418" spans="3:23" outlineLevel="1"/>
    <row r="419" spans="3:23" ht="23.25" outlineLevel="1">
      <c r="C419" s="61"/>
    </row>
    <row r="420" spans="3:23" outlineLevel="1">
      <c r="C420" s="407" t="s">
        <v>324</v>
      </c>
      <c r="G420" s="6">
        <f>$G$32</f>
        <v>1</v>
      </c>
      <c r="H420" s="17" t="s">
        <v>325</v>
      </c>
      <c r="I420" s="17"/>
      <c r="J420">
        <v>10</v>
      </c>
      <c r="K420" s="36">
        <f>INDEX(K421:K423,$G420,0)</f>
        <v>2.2999999999999998</v>
      </c>
      <c r="L420" s="36">
        <f t="shared" ref="L420:T420" si="71">INDEX(L421:L423,$G420,0)</f>
        <v>0.5</v>
      </c>
      <c r="M420" s="36">
        <f t="shared" si="71"/>
        <v>0</v>
      </c>
      <c r="N420" s="36">
        <f t="shared" si="71"/>
        <v>0</v>
      </c>
      <c r="O420" s="36">
        <f t="shared" si="71"/>
        <v>0</v>
      </c>
      <c r="P420" s="36">
        <f t="shared" si="71"/>
        <v>0</v>
      </c>
      <c r="Q420" s="36">
        <f t="shared" si="71"/>
        <v>0</v>
      </c>
      <c r="R420" s="36">
        <f t="shared" si="71"/>
        <v>0</v>
      </c>
      <c r="S420" s="36">
        <f t="shared" si="71"/>
        <v>0</v>
      </c>
      <c r="T420" s="36">
        <f t="shared" si="71"/>
        <v>0</v>
      </c>
      <c r="U420" s="36">
        <f>INDEX(U421:U423,$G420,0)</f>
        <v>0</v>
      </c>
      <c r="V420" s="36">
        <f>INDEX(V421:V423,$G420,0)</f>
        <v>0</v>
      </c>
      <c r="W420" s="36">
        <f>INDEX(W421:W423,$G420,0)</f>
        <v>0</v>
      </c>
    </row>
    <row r="421" spans="3:23" outlineLevel="1">
      <c r="C421" s="407" t="s">
        <v>840</v>
      </c>
      <c r="K421" s="26">
        <v>2.2999999999999998</v>
      </c>
      <c r="L421" s="26">
        <v>0.5</v>
      </c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</row>
    <row r="422" spans="3:23" outlineLevel="1"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</row>
    <row r="423" spans="3:23" outlineLevel="1"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</row>
    <row r="424" spans="3:23" outlineLevel="1"/>
    <row r="425" spans="3:23" outlineLevel="1">
      <c r="C425" s="407" t="s">
        <v>876</v>
      </c>
      <c r="G425" s="6">
        <f>$G$32</f>
        <v>1</v>
      </c>
      <c r="J425" s="20">
        <f>INDEX(K425:P425,,$G425)</f>
        <v>0.52678707711330686</v>
      </c>
      <c r="K425" s="39">
        <v>0.52678707711330686</v>
      </c>
      <c r="L425" s="19"/>
      <c r="M425" s="19"/>
      <c r="N425" s="19"/>
      <c r="O425" s="19"/>
      <c r="P425" s="19"/>
    </row>
    <row r="426" spans="3:23" outlineLevel="1">
      <c r="C426" s="407" t="s">
        <v>877</v>
      </c>
      <c r="G426" s="6">
        <f>$G$32</f>
        <v>1</v>
      </c>
      <c r="J426" s="20">
        <f>INDEX(K426:P426,,$G426)</f>
        <v>0.47321292288669314</v>
      </c>
      <c r="K426" s="39">
        <v>0.47321292288669314</v>
      </c>
      <c r="L426" s="19"/>
      <c r="M426" s="19"/>
      <c r="N426" s="19"/>
      <c r="O426" s="19"/>
      <c r="P426" s="19"/>
    </row>
    <row r="427" spans="3:23" ht="23.25" outlineLevel="1">
      <c r="C427" s="61"/>
    </row>
    <row r="428" spans="3:23" outlineLevel="1">
      <c r="C428" s="407" t="s">
        <v>878</v>
      </c>
      <c r="G428" s="6">
        <f>$G$32</f>
        <v>1</v>
      </c>
      <c r="J428" s="20">
        <f>INDEX(K428:P428,,$G428)</f>
        <v>20</v>
      </c>
      <c r="K428" s="30">
        <v>20</v>
      </c>
      <c r="L428" s="19"/>
      <c r="M428" s="19"/>
      <c r="N428" s="19"/>
      <c r="O428" s="19"/>
      <c r="P428" s="19"/>
    </row>
    <row r="429" spans="3:23" outlineLevel="1">
      <c r="C429" s="407" t="s">
        <v>879</v>
      </c>
      <c r="G429" s="6">
        <f>$G$32</f>
        <v>1</v>
      </c>
      <c r="J429" s="20">
        <f>INDEX(K429:P429,,$G429)</f>
        <v>8</v>
      </c>
      <c r="K429" s="30">
        <v>8</v>
      </c>
      <c r="L429" s="19"/>
      <c r="M429" s="19"/>
      <c r="N429" s="19"/>
      <c r="O429" s="19"/>
      <c r="P429" s="19"/>
    </row>
    <row r="430" spans="3:23" outlineLevel="1"/>
    <row r="431" spans="3:23" outlineLevel="1">
      <c r="C431" s="407" t="s">
        <v>586</v>
      </c>
      <c r="G431" s="6">
        <f>$G$32</f>
        <v>1</v>
      </c>
      <c r="H431" s="17" t="s">
        <v>880</v>
      </c>
      <c r="J431" s="67">
        <f>INDEX(K431:P431,,$G431)</f>
        <v>2E-3</v>
      </c>
      <c r="K431" s="40">
        <v>2E-3</v>
      </c>
      <c r="L431" s="19"/>
      <c r="M431" s="19"/>
      <c r="N431" s="19"/>
      <c r="O431" s="19"/>
      <c r="P431" s="19"/>
    </row>
    <row r="432" spans="3:23" outlineLevel="1">
      <c r="C432" s="407"/>
    </row>
    <row r="433" spans="3:23" outlineLevel="1">
      <c r="C433" s="407" t="s">
        <v>881</v>
      </c>
      <c r="K433" s="57"/>
      <c r="L433" s="57">
        <f>L434</f>
        <v>13.331278719000002</v>
      </c>
      <c r="M433" s="57">
        <v>0</v>
      </c>
      <c r="N433" s="57">
        <v>0</v>
      </c>
      <c r="O433" s="57">
        <v>0</v>
      </c>
      <c r="P433" s="57">
        <v>0</v>
      </c>
      <c r="Q433" s="57"/>
      <c r="R433" s="57"/>
      <c r="S433" s="57"/>
      <c r="T433" s="57"/>
      <c r="U433" s="57"/>
      <c r="V433" s="57"/>
      <c r="W433" s="57"/>
    </row>
    <row r="434" spans="3:23" outlineLevel="1">
      <c r="C434" s="407"/>
      <c r="K434" s="57"/>
      <c r="L434" s="57">
        <v>13.331278719000002</v>
      </c>
      <c r="M434" s="57">
        <v>11.181072474000004</v>
      </c>
      <c r="N434" s="57">
        <v>7.5973953990000025</v>
      </c>
      <c r="O434" s="57">
        <v>2.5802474940000018</v>
      </c>
      <c r="P434" s="57">
        <v>0.64506187350000044</v>
      </c>
      <c r="Q434" s="57"/>
      <c r="R434" s="57"/>
      <c r="S434" s="57"/>
      <c r="T434" s="57"/>
      <c r="U434" s="57"/>
      <c r="V434" s="57"/>
      <c r="W434" s="57"/>
    </row>
    <row r="436" spans="3:23" ht="20.25" thickBot="1">
      <c r="C436" s="66" t="s">
        <v>539</v>
      </c>
      <c r="D436" s="66"/>
      <c r="E436" s="66"/>
      <c r="F436" s="66"/>
      <c r="G436" s="66"/>
      <c r="H436" s="66"/>
      <c r="I436" s="66"/>
      <c r="J436" s="66"/>
      <c r="K436" s="66"/>
      <c r="L436" s="66"/>
      <c r="M436" s="66"/>
      <c r="N436" s="66"/>
      <c r="O436" s="66"/>
      <c r="P436" s="66"/>
      <c r="Q436" s="66"/>
      <c r="R436" s="66"/>
      <c r="S436" s="66"/>
      <c r="T436" s="66"/>
      <c r="U436" s="66"/>
      <c r="V436" s="66"/>
      <c r="W436" s="66"/>
    </row>
    <row r="437" spans="3:23" ht="15.75" thickTop="1"/>
    <row r="438" spans="3:23" ht="23.25" outlineLevel="1">
      <c r="C438" s="60" t="s">
        <v>9</v>
      </c>
    </row>
    <row r="439" spans="3:23" outlineLevel="1">
      <c r="C439" s="407" t="s">
        <v>407</v>
      </c>
      <c r="G439" s="6">
        <f>$G$32</f>
        <v>1</v>
      </c>
      <c r="H439" s="17" t="s">
        <v>608</v>
      </c>
      <c r="I439" s="17"/>
      <c r="K439" s="36">
        <f>INDEX(K440:K442,$G439,0)</f>
        <v>0</v>
      </c>
      <c r="L439" s="36">
        <f t="shared" ref="L439:T439" si="72">INDEX(L440:L442,$G439,0)</f>
        <v>2100000</v>
      </c>
      <c r="M439" s="36">
        <f t="shared" si="72"/>
        <v>2100000</v>
      </c>
      <c r="N439" s="36">
        <f t="shared" si="72"/>
        <v>2100000</v>
      </c>
      <c r="O439" s="36">
        <f t="shared" si="72"/>
        <v>2100000</v>
      </c>
      <c r="P439" s="36">
        <f t="shared" si="72"/>
        <v>2350000</v>
      </c>
      <c r="Q439" s="36">
        <f t="shared" si="72"/>
        <v>2350000</v>
      </c>
      <c r="R439" s="36">
        <f t="shared" si="72"/>
        <v>2350000</v>
      </c>
      <c r="S439" s="36">
        <f t="shared" si="72"/>
        <v>2350000</v>
      </c>
      <c r="T439" s="36">
        <f t="shared" si="72"/>
        <v>2350000</v>
      </c>
      <c r="U439" s="36">
        <f>INDEX(U440:U442,$G439,0)</f>
        <v>2350000</v>
      </c>
      <c r="V439" s="36">
        <f>INDEX(V440:V442,$G439,0)</f>
        <v>2350000</v>
      </c>
      <c r="W439" s="36">
        <f>INDEX(W440:W442,$G439,0)</f>
        <v>2350000</v>
      </c>
    </row>
    <row r="440" spans="3:23" outlineLevel="1">
      <c r="C440" s="407" t="s">
        <v>840</v>
      </c>
      <c r="K440" s="26"/>
      <c r="L440" s="26">
        <f>2.1*Million</f>
        <v>2100000</v>
      </c>
      <c r="M440" s="26">
        <f>2.1*Million</f>
        <v>2100000</v>
      </c>
      <c r="N440" s="26">
        <f>2.1*Million</f>
        <v>2100000</v>
      </c>
      <c r="O440" s="26">
        <f>2.1*Million</f>
        <v>2100000</v>
      </c>
      <c r="P440" s="26">
        <f>2.35*Million</f>
        <v>2350000</v>
      </c>
      <c r="Q440" s="26">
        <f t="shared" ref="Q440:W440" si="73">P440</f>
        <v>2350000</v>
      </c>
      <c r="R440" s="26">
        <f t="shared" si="73"/>
        <v>2350000</v>
      </c>
      <c r="S440" s="26">
        <f t="shared" si="73"/>
        <v>2350000</v>
      </c>
      <c r="T440" s="26">
        <f t="shared" si="73"/>
        <v>2350000</v>
      </c>
      <c r="U440" s="26">
        <f t="shared" si="73"/>
        <v>2350000</v>
      </c>
      <c r="V440" s="26">
        <f t="shared" si="73"/>
        <v>2350000</v>
      </c>
      <c r="W440" s="26">
        <f t="shared" si="73"/>
        <v>2350000</v>
      </c>
    </row>
    <row r="441" spans="3:23" outlineLevel="1"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</row>
    <row r="442" spans="3:23" outlineLevel="1"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</row>
    <row r="443" spans="3:23" outlineLevel="1"/>
    <row r="444" spans="3:23" outlineLevel="1"/>
    <row r="445" spans="3:23" outlineLevel="1">
      <c r="C445" s="407" t="s">
        <v>882</v>
      </c>
      <c r="G445" s="6">
        <f>$G$32</f>
        <v>1</v>
      </c>
      <c r="H445" s="17" t="s">
        <v>485</v>
      </c>
      <c r="I445" s="17"/>
      <c r="K445" s="36">
        <f>INDEX(K446:K448,$G445,0)</f>
        <v>0</v>
      </c>
      <c r="L445" s="36">
        <f t="shared" ref="L445:T445" si="74">INDEX(L446:L448,$G445,0)</f>
        <v>15000</v>
      </c>
      <c r="M445" s="36">
        <f t="shared" si="74"/>
        <v>15000</v>
      </c>
      <c r="N445" s="36">
        <f t="shared" si="74"/>
        <v>15000</v>
      </c>
      <c r="O445" s="36">
        <f t="shared" si="74"/>
        <v>15000</v>
      </c>
      <c r="P445" s="36">
        <f t="shared" si="74"/>
        <v>15000</v>
      </c>
      <c r="Q445" s="36">
        <f t="shared" si="74"/>
        <v>15000</v>
      </c>
      <c r="R445" s="36">
        <f t="shared" si="74"/>
        <v>15000</v>
      </c>
      <c r="S445" s="36">
        <f t="shared" si="74"/>
        <v>15000</v>
      </c>
      <c r="T445" s="36">
        <f t="shared" si="74"/>
        <v>15000</v>
      </c>
      <c r="U445" s="36">
        <f>INDEX(U446:U448,$G445,0)</f>
        <v>15000</v>
      </c>
      <c r="V445" s="36">
        <f>INDEX(V446:V448,$G445,0)</f>
        <v>15000</v>
      </c>
      <c r="W445" s="36">
        <f>INDEX(W446:W448,$G445,0)</f>
        <v>15000</v>
      </c>
    </row>
    <row r="446" spans="3:23" outlineLevel="1">
      <c r="C446" s="407" t="s">
        <v>840</v>
      </c>
      <c r="K446" s="26"/>
      <c r="L446" s="26">
        <v>15000</v>
      </c>
      <c r="M446" s="26">
        <v>15000</v>
      </c>
      <c r="N446" s="26">
        <v>15000</v>
      </c>
      <c r="O446" s="26">
        <v>15000</v>
      </c>
      <c r="P446" s="26">
        <v>15000</v>
      </c>
      <c r="Q446" s="26">
        <v>15000</v>
      </c>
      <c r="R446" s="26">
        <v>15000</v>
      </c>
      <c r="S446" s="26">
        <v>15000</v>
      </c>
      <c r="T446" s="26">
        <v>15000</v>
      </c>
      <c r="U446" s="26">
        <v>15000</v>
      </c>
      <c r="V446" s="26">
        <v>15000</v>
      </c>
      <c r="W446" s="26">
        <v>15000</v>
      </c>
    </row>
    <row r="447" spans="3:23" outlineLevel="1"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</row>
    <row r="448" spans="3:23" outlineLevel="1"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</row>
    <row r="449" spans="3:23" outlineLevel="1"/>
    <row r="450" spans="3:23" ht="23.25" outlineLevel="1">
      <c r="C450" s="60" t="s">
        <v>473</v>
      </c>
    </row>
    <row r="451" spans="3:23" outlineLevel="1"/>
    <row r="452" spans="3:23" outlineLevel="1">
      <c r="C452" s="407" t="s">
        <v>324</v>
      </c>
      <c r="G452" s="6">
        <f>$G$32</f>
        <v>1</v>
      </c>
      <c r="H452" s="17" t="s">
        <v>325</v>
      </c>
      <c r="I452" s="17"/>
      <c r="J452">
        <v>2.2000000000000002</v>
      </c>
      <c r="K452" s="36">
        <f>INDEX(K453:K455,$G452,0)</f>
        <v>5.4</v>
      </c>
      <c r="L452" s="36">
        <f t="shared" ref="L452:T452" si="75">INDEX(L453:L455,$G452,0)</f>
        <v>0.4</v>
      </c>
      <c r="M452" s="36">
        <f t="shared" si="75"/>
        <v>0</v>
      </c>
      <c r="N452" s="36">
        <f t="shared" si="75"/>
        <v>0</v>
      </c>
      <c r="O452" s="36">
        <f t="shared" si="75"/>
        <v>0</v>
      </c>
      <c r="P452" s="36">
        <f t="shared" si="75"/>
        <v>0</v>
      </c>
      <c r="Q452" s="36">
        <f t="shared" si="75"/>
        <v>0</v>
      </c>
      <c r="R452" s="36">
        <f t="shared" si="75"/>
        <v>0</v>
      </c>
      <c r="S452" s="36">
        <f t="shared" si="75"/>
        <v>0</v>
      </c>
      <c r="T452" s="36">
        <f t="shared" si="75"/>
        <v>0</v>
      </c>
      <c r="U452" s="36">
        <f>INDEX(U453:U455,$G452,0)</f>
        <v>0</v>
      </c>
      <c r="V452" s="36">
        <f>INDEX(V453:V455,$G452,0)</f>
        <v>0</v>
      </c>
      <c r="W452" s="36">
        <f>INDEX(W453:W455,$G452,0)</f>
        <v>0</v>
      </c>
    </row>
    <row r="453" spans="3:23" outlineLevel="1">
      <c r="C453" s="407" t="s">
        <v>840</v>
      </c>
      <c r="K453" s="26">
        <v>5.4</v>
      </c>
      <c r="L453" s="26">
        <v>0.4</v>
      </c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</row>
    <row r="454" spans="3:23" outlineLevel="1"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</row>
    <row r="455" spans="3:23" outlineLevel="1"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</row>
    <row r="456" spans="3:23" outlineLevel="1"/>
    <row r="457" spans="3:23" outlineLevel="1">
      <c r="C457" s="407" t="s">
        <v>876</v>
      </c>
      <c r="G457" s="6">
        <f>$G$32</f>
        <v>1</v>
      </c>
      <c r="J457" s="20">
        <f>INDEX(K457:P457,,$G457)</f>
        <v>0.90634083357247652</v>
      </c>
      <c r="K457" s="39">
        <v>0.90634083357247652</v>
      </c>
      <c r="L457" s="19"/>
      <c r="M457" s="19"/>
      <c r="N457" s="19"/>
      <c r="O457" s="19"/>
      <c r="P457" s="19"/>
    </row>
    <row r="458" spans="3:23" outlineLevel="1">
      <c r="C458" s="407" t="s">
        <v>877</v>
      </c>
      <c r="G458" s="6">
        <f>$G$32</f>
        <v>1</v>
      </c>
      <c r="J458" s="20">
        <f>INDEX(K458:P458,,$G458)</f>
        <v>9.3659166427523463E-2</v>
      </c>
      <c r="K458" s="39">
        <v>9.3659166427523463E-2</v>
      </c>
      <c r="L458" s="19"/>
      <c r="M458" s="19"/>
      <c r="N458" s="19"/>
      <c r="O458" s="19"/>
      <c r="P458" s="19"/>
    </row>
    <row r="459" spans="3:23" ht="23.25" outlineLevel="1">
      <c r="C459" s="61"/>
    </row>
    <row r="460" spans="3:23" outlineLevel="1">
      <c r="C460" s="407" t="s">
        <v>878</v>
      </c>
      <c r="G460" s="6">
        <f>$G$32</f>
        <v>1</v>
      </c>
      <c r="J460" s="20">
        <f>INDEX(K460:P460,,$G460)</f>
        <v>20</v>
      </c>
      <c r="K460" s="30">
        <v>20</v>
      </c>
      <c r="L460" s="19"/>
      <c r="M460" s="19"/>
      <c r="N460" s="19"/>
      <c r="O460" s="19"/>
      <c r="P460" s="19"/>
    </row>
    <row r="461" spans="3:23" outlineLevel="1">
      <c r="C461" s="407" t="s">
        <v>879</v>
      </c>
      <c r="G461" s="6">
        <f>$G$32</f>
        <v>1</v>
      </c>
      <c r="J461" s="20">
        <f>INDEX(K461:P461,,$G461)</f>
        <v>8</v>
      </c>
      <c r="K461" s="30">
        <v>8</v>
      </c>
      <c r="L461" s="19"/>
      <c r="M461" s="19"/>
      <c r="N461" s="19"/>
      <c r="O461" s="19"/>
      <c r="P461" s="19"/>
    </row>
    <row r="462" spans="3:23" outlineLevel="1"/>
    <row r="463" spans="3:23" outlineLevel="1"/>
    <row r="464" spans="3:23" outlineLevel="1">
      <c r="C464" s="407" t="s">
        <v>845</v>
      </c>
      <c r="G464" s="6">
        <f>$G$32</f>
        <v>1</v>
      </c>
      <c r="H464" s="17" t="s">
        <v>325</v>
      </c>
      <c r="I464" s="17"/>
      <c r="K464" s="36">
        <f>INDEX(K465:K467,$G464,0)</f>
        <v>0</v>
      </c>
      <c r="L464" s="36">
        <f t="shared" ref="L464:T464" si="76">INDEX(L465:L467,$G464,0)</f>
        <v>0.3</v>
      </c>
      <c r="M464" s="36">
        <f t="shared" si="76"/>
        <v>0.3</v>
      </c>
      <c r="N464" s="36">
        <f t="shared" si="76"/>
        <v>0.3</v>
      </c>
      <c r="O464" s="36">
        <f t="shared" si="76"/>
        <v>0.3</v>
      </c>
      <c r="P464" s="36">
        <f t="shared" si="76"/>
        <v>0.3</v>
      </c>
      <c r="Q464" s="36">
        <f t="shared" si="76"/>
        <v>0.3</v>
      </c>
      <c r="R464" s="36">
        <f t="shared" si="76"/>
        <v>0.3</v>
      </c>
      <c r="S464" s="36">
        <f t="shared" si="76"/>
        <v>0.3</v>
      </c>
      <c r="T464" s="36">
        <f t="shared" si="76"/>
        <v>0.3</v>
      </c>
      <c r="U464" s="36">
        <f>INDEX(U465:U467,$G464,0)</f>
        <v>0.3</v>
      </c>
      <c r="V464" s="36">
        <f>INDEX(V465:V467,$G464,0)</f>
        <v>0.3</v>
      </c>
      <c r="W464" s="36">
        <f>INDEX(W465:W467,$G464,0)</f>
        <v>0.3</v>
      </c>
    </row>
    <row r="465" spans="3:23" outlineLevel="1">
      <c r="C465" s="407" t="s">
        <v>883</v>
      </c>
      <c r="K465" s="26"/>
      <c r="L465" s="26">
        <v>0.3</v>
      </c>
      <c r="M465" s="26">
        <v>0.3</v>
      </c>
      <c r="N465" s="26">
        <v>0.3</v>
      </c>
      <c r="O465" s="26">
        <v>0.3</v>
      </c>
      <c r="P465" s="26">
        <v>0.3</v>
      </c>
      <c r="Q465" s="26">
        <v>0.3</v>
      </c>
      <c r="R465" s="26">
        <v>0.3</v>
      </c>
      <c r="S465" s="26">
        <v>0.3</v>
      </c>
      <c r="T465" s="26">
        <v>0.3</v>
      </c>
      <c r="U465" s="26">
        <v>0.3</v>
      </c>
      <c r="V465" s="26">
        <v>0.3</v>
      </c>
      <c r="W465" s="26">
        <v>0.3</v>
      </c>
    </row>
    <row r="466" spans="3:23" outlineLevel="1"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</row>
    <row r="467" spans="3:23" outlineLevel="1"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</row>
    <row r="468" spans="3:23" outlineLevel="1"/>
    <row r="469" spans="3:23" outlineLevel="1"/>
    <row r="470" spans="3:23" outlineLevel="1">
      <c r="C470" s="407" t="s">
        <v>848</v>
      </c>
      <c r="G470" s="6">
        <f>$G$32</f>
        <v>1</v>
      </c>
      <c r="H470" s="17" t="s">
        <v>325</v>
      </c>
      <c r="I470" s="17"/>
      <c r="K470" s="36">
        <f>INDEX(K471:K473,$G470,0)</f>
        <v>0</v>
      </c>
      <c r="L470" s="36">
        <f t="shared" ref="L470:T470" si="77">INDEX(L471:L473,$G470,0)</f>
        <v>0.3</v>
      </c>
      <c r="M470" s="36">
        <f t="shared" si="77"/>
        <v>0.3</v>
      </c>
      <c r="N470" s="36">
        <f t="shared" si="77"/>
        <v>0.3</v>
      </c>
      <c r="O470" s="36">
        <f t="shared" si="77"/>
        <v>0.3</v>
      </c>
      <c r="P470" s="36">
        <f t="shared" si="77"/>
        <v>0.3</v>
      </c>
      <c r="Q470" s="36">
        <f t="shared" si="77"/>
        <v>0.3</v>
      </c>
      <c r="R470" s="36">
        <f t="shared" si="77"/>
        <v>0.3</v>
      </c>
      <c r="S470" s="36">
        <f t="shared" si="77"/>
        <v>0.3</v>
      </c>
      <c r="T470" s="36">
        <f t="shared" si="77"/>
        <v>0.3</v>
      </c>
      <c r="U470" s="36">
        <f>INDEX(U471:U473,$G470,0)</f>
        <v>0.3</v>
      </c>
      <c r="V470" s="36">
        <f>INDEX(V471:V473,$G470,0)</f>
        <v>0.3</v>
      </c>
      <c r="W470" s="36">
        <f>INDEX(W471:W473,$G470,0)</f>
        <v>0.3</v>
      </c>
    </row>
    <row r="471" spans="3:23" outlineLevel="1">
      <c r="C471" s="407" t="s">
        <v>883</v>
      </c>
      <c r="K471" s="26"/>
      <c r="L471" s="26">
        <v>0.3</v>
      </c>
      <c r="M471" s="26">
        <v>0.3</v>
      </c>
      <c r="N471" s="26">
        <v>0.3</v>
      </c>
      <c r="O471" s="26">
        <v>0.3</v>
      </c>
      <c r="P471" s="26">
        <v>0.3</v>
      </c>
      <c r="Q471" s="26">
        <v>0.3</v>
      </c>
      <c r="R471" s="26">
        <v>0.3</v>
      </c>
      <c r="S471" s="26">
        <v>0.3</v>
      </c>
      <c r="T471" s="26">
        <v>0.3</v>
      </c>
      <c r="U471" s="26">
        <v>0.3</v>
      </c>
      <c r="V471" s="26">
        <v>0.3</v>
      </c>
      <c r="W471" s="26">
        <v>0.3</v>
      </c>
    </row>
    <row r="472" spans="3:23" outlineLevel="1"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</row>
    <row r="473" spans="3:23" outlineLevel="1"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</row>
    <row r="474" spans="3:23" outlineLevel="1"/>
    <row r="475" spans="3:23" outlineLevel="1">
      <c r="C475" s="407" t="s">
        <v>586</v>
      </c>
      <c r="G475" s="6">
        <f>$G$32</f>
        <v>1</v>
      </c>
      <c r="J475" s="67">
        <f>INDEX(K475:P475,,$G475)</f>
        <v>2E-3</v>
      </c>
      <c r="K475" s="40">
        <v>2E-3</v>
      </c>
      <c r="L475" s="19"/>
      <c r="M475" s="19"/>
      <c r="N475" s="19"/>
      <c r="O475" s="19"/>
      <c r="P475" s="19"/>
    </row>
    <row r="476" spans="3:23" outlineLevel="1"/>
    <row r="477" spans="3:23" outlineLevel="1">
      <c r="C477" s="407" t="s">
        <v>881</v>
      </c>
      <c r="G477" s="6">
        <f>$G$32</f>
        <v>1</v>
      </c>
      <c r="H477" s="17" t="s">
        <v>325</v>
      </c>
      <c r="I477" s="17"/>
      <c r="K477" s="36">
        <f>INDEX(K478:K480,$G477,0)</f>
        <v>0</v>
      </c>
      <c r="L477" s="36">
        <f t="shared" ref="L477:T477" si="78">INDEX(L478:L480,$G477,0)</f>
        <v>0</v>
      </c>
      <c r="M477" s="36">
        <f t="shared" si="78"/>
        <v>0</v>
      </c>
      <c r="N477" s="36">
        <f t="shared" si="78"/>
        <v>0</v>
      </c>
      <c r="O477" s="36">
        <f t="shared" si="78"/>
        <v>0</v>
      </c>
      <c r="P477" s="36">
        <f t="shared" si="78"/>
        <v>0</v>
      </c>
      <c r="Q477" s="36">
        <f t="shared" si="78"/>
        <v>0</v>
      </c>
      <c r="R477" s="36">
        <f t="shared" si="78"/>
        <v>0</v>
      </c>
      <c r="S477" s="36">
        <f t="shared" si="78"/>
        <v>0</v>
      </c>
      <c r="T477" s="36">
        <f t="shared" si="78"/>
        <v>0</v>
      </c>
      <c r="U477" s="36">
        <f>INDEX(U478:U480,$G477,0)</f>
        <v>0</v>
      </c>
      <c r="V477" s="36">
        <f>INDEX(V478:V480,$G477,0)</f>
        <v>0</v>
      </c>
      <c r="W477" s="36">
        <f>INDEX(W478:W480,$G477,0)</f>
        <v>0</v>
      </c>
    </row>
    <row r="478" spans="3:23" outlineLevel="1">
      <c r="C478" s="407" t="s">
        <v>840</v>
      </c>
      <c r="K478" s="26"/>
      <c r="L478" s="26"/>
      <c r="M478" s="26">
        <v>0</v>
      </c>
      <c r="N478" s="26">
        <v>0</v>
      </c>
      <c r="O478" s="26">
        <v>0</v>
      </c>
      <c r="P478" s="26">
        <v>0</v>
      </c>
      <c r="Q478" s="26">
        <v>0</v>
      </c>
      <c r="R478" s="26"/>
      <c r="S478" s="26"/>
      <c r="T478" s="26"/>
      <c r="U478" s="26"/>
      <c r="V478" s="26"/>
      <c r="W478" s="26"/>
    </row>
    <row r="479" spans="3:23" outlineLevel="1">
      <c r="K479" s="26"/>
      <c r="L479" s="26"/>
      <c r="M479" s="26">
        <v>9.1913760000000018</v>
      </c>
      <c r="N479" s="26">
        <v>7.7088960000000011</v>
      </c>
      <c r="O479" s="26">
        <v>5.2380960000000014</v>
      </c>
      <c r="P479" s="26">
        <v>1.7789760000000006</v>
      </c>
      <c r="Q479" s="26">
        <v>0.44474400000000014</v>
      </c>
      <c r="R479" s="26"/>
      <c r="S479" s="26"/>
      <c r="T479" s="26"/>
      <c r="U479" s="26"/>
      <c r="V479" s="26"/>
      <c r="W479" s="26"/>
    </row>
    <row r="480" spans="3:23" outlineLevel="1"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</row>
    <row r="482" spans="3:23" ht="20.25" thickBot="1">
      <c r="C482" s="66" t="s">
        <v>884</v>
      </c>
      <c r="D482" s="66"/>
      <c r="E482" s="66"/>
      <c r="F482" s="66"/>
      <c r="G482" s="66"/>
      <c r="H482" s="66"/>
      <c r="I482" s="66"/>
      <c r="J482" s="66"/>
      <c r="K482" s="66"/>
      <c r="L482" s="66"/>
      <c r="M482" s="66"/>
      <c r="N482" s="66"/>
      <c r="O482" s="66"/>
      <c r="P482" s="66"/>
      <c r="Q482" s="66"/>
      <c r="R482" s="66"/>
      <c r="S482" s="66"/>
      <c r="T482" s="66"/>
      <c r="U482" s="66"/>
      <c r="V482" s="66"/>
      <c r="W482" s="66"/>
    </row>
    <row r="483" spans="3:23" ht="15.75" thickTop="1"/>
    <row r="484" spans="3:23" ht="23.25" outlineLevel="1">
      <c r="C484" s="60" t="s">
        <v>9</v>
      </c>
    </row>
    <row r="485" spans="3:23" outlineLevel="1">
      <c r="C485" s="407" t="s">
        <v>839</v>
      </c>
      <c r="G485" s="6">
        <f>$G$32</f>
        <v>1</v>
      </c>
      <c r="H485" s="17" t="s">
        <v>325</v>
      </c>
      <c r="I485" s="17"/>
      <c r="K485" s="36">
        <f>INDEX(K486:K488,$G485,0)</f>
        <v>0</v>
      </c>
      <c r="L485" s="36">
        <f t="shared" ref="L485:T485" si="79">INDEX(L486:L488,$G485,0)</f>
        <v>0</v>
      </c>
      <c r="M485" s="36">
        <f t="shared" si="79"/>
        <v>0</v>
      </c>
      <c r="N485" s="36">
        <f t="shared" si="79"/>
        <v>0.1</v>
      </c>
      <c r="O485" s="36">
        <f t="shared" si="79"/>
        <v>0.1</v>
      </c>
      <c r="P485" s="36">
        <f t="shared" si="79"/>
        <v>0.1</v>
      </c>
      <c r="Q485" s="36">
        <f t="shared" si="79"/>
        <v>0.1</v>
      </c>
      <c r="R485" s="36">
        <f t="shared" si="79"/>
        <v>0.1</v>
      </c>
      <c r="S485" s="36">
        <f t="shared" si="79"/>
        <v>0.06</v>
      </c>
      <c r="T485" s="36">
        <f t="shared" si="79"/>
        <v>0.06</v>
      </c>
      <c r="U485" s="36">
        <f>INDEX(U486:U488,$G485,0)</f>
        <v>0.06</v>
      </c>
      <c r="V485" s="36">
        <f>INDEX(V486:V488,$G485,0)</f>
        <v>0.06</v>
      </c>
      <c r="W485" s="36">
        <f>INDEX(W486:W488,$G485,0)</f>
        <v>0.06</v>
      </c>
    </row>
    <row r="486" spans="3:23" outlineLevel="1">
      <c r="C486" s="407" t="s">
        <v>840</v>
      </c>
      <c r="K486" s="26"/>
      <c r="L486" s="26"/>
      <c r="M486" s="26"/>
      <c r="N486" s="24">
        <v>0.1</v>
      </c>
      <c r="O486" s="24">
        <v>0.1</v>
      </c>
      <c r="P486" s="24">
        <v>0.1</v>
      </c>
      <c r="Q486" s="24">
        <v>0.1</v>
      </c>
      <c r="R486" s="24">
        <v>0.1</v>
      </c>
      <c r="S486" s="26">
        <v>0.06</v>
      </c>
      <c r="T486" s="26">
        <v>0.06</v>
      </c>
      <c r="U486" s="26">
        <v>0.06</v>
      </c>
      <c r="V486" s="26">
        <v>0.06</v>
      </c>
      <c r="W486" s="26">
        <v>0.06</v>
      </c>
    </row>
    <row r="487" spans="3:23" outlineLevel="1"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</row>
    <row r="488" spans="3:23" outlineLevel="1"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</row>
    <row r="489" spans="3:23" outlineLevel="1"/>
    <row r="490" spans="3:23" outlineLevel="1">
      <c r="C490" s="407" t="s">
        <v>885</v>
      </c>
      <c r="G490" s="6">
        <f>$G$32</f>
        <v>1</v>
      </c>
      <c r="H490" s="17" t="s">
        <v>543</v>
      </c>
      <c r="J490" s="20">
        <f>INDEX(K490:P490,,$G490)</f>
        <v>1900000</v>
      </c>
      <c r="K490" s="30">
        <v>1900000</v>
      </c>
      <c r="L490" s="19"/>
      <c r="M490" s="19"/>
      <c r="N490" s="19"/>
      <c r="O490" s="19"/>
      <c r="P490" s="19"/>
    </row>
    <row r="491" spans="3:23" outlineLevel="1"/>
    <row r="492" spans="3:23" outlineLevel="1">
      <c r="C492" s="407" t="s">
        <v>882</v>
      </c>
      <c r="G492" s="6">
        <v>2</v>
      </c>
      <c r="H492" s="17" t="s">
        <v>485</v>
      </c>
      <c r="I492" s="17"/>
      <c r="K492" s="36">
        <f>INDEX(K493:K495,$G492,0)</f>
        <v>0</v>
      </c>
      <c r="L492" s="36">
        <f t="shared" ref="L492:T492" si="80">INDEX(L493:L495,$G492,0)</f>
        <v>0</v>
      </c>
      <c r="M492" s="36">
        <f t="shared" si="80"/>
        <v>0</v>
      </c>
      <c r="N492" s="36">
        <f t="shared" si="80"/>
        <v>0</v>
      </c>
      <c r="O492" s="36">
        <f t="shared" si="80"/>
        <v>36411.149742396541</v>
      </c>
      <c r="P492" s="36">
        <f t="shared" si="80"/>
        <v>43693.379690875852</v>
      </c>
      <c r="Q492" s="36">
        <f t="shared" si="80"/>
        <v>43693.379690875852</v>
      </c>
      <c r="R492" s="36">
        <f t="shared" si="80"/>
        <v>48062.717659963433</v>
      </c>
      <c r="S492" s="36">
        <f t="shared" si="80"/>
        <v>48062.717659963433</v>
      </c>
      <c r="T492" s="36">
        <f t="shared" si="80"/>
        <v>50946.480719561245</v>
      </c>
      <c r="U492" s="36">
        <f>INDEX(U493:U495,$G492,0)</f>
        <v>50946.480719561245</v>
      </c>
      <c r="V492" s="36">
        <f>INDEX(V493:V495,$G492,0)</f>
        <v>54003.269562734924</v>
      </c>
      <c r="W492" s="36">
        <f>INDEX(W493:W495,$G492,0)</f>
        <v>54003.269562734924</v>
      </c>
    </row>
    <row r="493" spans="3:23" outlineLevel="1">
      <c r="C493" s="407" t="s">
        <v>840</v>
      </c>
      <c r="K493" s="26"/>
      <c r="L493" s="26"/>
      <c r="M493" s="26">
        <v>40944</v>
      </c>
      <c r="N493" s="26">
        <v>49132.80000000001</v>
      </c>
      <c r="O493" s="26">
        <v>49132.80000000001</v>
      </c>
      <c r="P493" s="26">
        <v>54046.080000000002</v>
      </c>
      <c r="Q493" s="26">
        <v>54046.080000000002</v>
      </c>
      <c r="R493" s="26">
        <v>57288.844800000006</v>
      </c>
      <c r="S493" s="26">
        <v>57288.844800000006</v>
      </c>
      <c r="T493" s="26">
        <v>60726.175488000008</v>
      </c>
      <c r="U493" s="26">
        <v>60726.175488000008</v>
      </c>
      <c r="V493" s="26">
        <v>60726.175488000008</v>
      </c>
      <c r="W493" s="26">
        <v>60726.175488000008</v>
      </c>
    </row>
    <row r="494" spans="3:23" outlineLevel="1">
      <c r="K494" s="26"/>
      <c r="L494" s="26"/>
      <c r="M494" s="26"/>
      <c r="N494" s="26"/>
      <c r="O494" s="26">
        <v>36411.149742396541</v>
      </c>
      <c r="P494" s="26">
        <f t="shared" ref="P494:U494" si="81">O494*(1+N496)</f>
        <v>43693.379690875852</v>
      </c>
      <c r="Q494" s="26">
        <f t="shared" si="81"/>
        <v>43693.379690875852</v>
      </c>
      <c r="R494" s="26">
        <f t="shared" si="81"/>
        <v>48062.717659963433</v>
      </c>
      <c r="S494" s="26">
        <f t="shared" si="81"/>
        <v>48062.717659963433</v>
      </c>
      <c r="T494" s="26">
        <f t="shared" si="81"/>
        <v>50946.480719561245</v>
      </c>
      <c r="U494" s="26">
        <f t="shared" si="81"/>
        <v>50946.480719561245</v>
      </c>
      <c r="V494" s="26">
        <f>U494*(1+T496)</f>
        <v>54003.269562734924</v>
      </c>
      <c r="W494" s="26">
        <f>V494*(1+U496)</f>
        <v>54003.269562734924</v>
      </c>
    </row>
    <row r="495" spans="3:23" outlineLevel="1"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</row>
    <row r="496" spans="3:23" outlineLevel="1">
      <c r="N496" s="31">
        <f>N493/M493-1</f>
        <v>0.20000000000000018</v>
      </c>
      <c r="O496" s="31">
        <f t="shared" ref="O496:U496" si="82">O493/N493-1</f>
        <v>0</v>
      </c>
      <c r="P496" s="31">
        <f t="shared" si="82"/>
        <v>9.9999999999999867E-2</v>
      </c>
      <c r="Q496" s="31">
        <f t="shared" si="82"/>
        <v>0</v>
      </c>
      <c r="R496" s="31">
        <f t="shared" si="82"/>
        <v>6.0000000000000053E-2</v>
      </c>
      <c r="S496" s="31">
        <f t="shared" si="82"/>
        <v>0</v>
      </c>
      <c r="T496" s="31">
        <f t="shared" si="82"/>
        <v>6.0000000000000053E-2</v>
      </c>
      <c r="U496" s="31">
        <f t="shared" si="82"/>
        <v>0</v>
      </c>
      <c r="V496" s="31">
        <f>V493/U493-1</f>
        <v>0</v>
      </c>
      <c r="W496" s="31">
        <f>W493/V493-1</f>
        <v>0</v>
      </c>
    </row>
    <row r="497" spans="3:23" ht="23.25" outlineLevel="1">
      <c r="C497" s="60" t="s">
        <v>473</v>
      </c>
    </row>
    <row r="498" spans="3:23" outlineLevel="1"/>
    <row r="499" spans="3:23" outlineLevel="1">
      <c r="C499" s="407" t="s">
        <v>324</v>
      </c>
      <c r="G499" s="6">
        <f>$G$32</f>
        <v>1</v>
      </c>
      <c r="H499" s="17" t="s">
        <v>325</v>
      </c>
      <c r="I499" s="17"/>
      <c r="K499" s="36">
        <f>INDEX(K500:K502,$G499,0)</f>
        <v>0</v>
      </c>
      <c r="L499" s="36">
        <f t="shared" ref="L499:T499" si="83">INDEX(L500:L502,$G499,0)</f>
        <v>0</v>
      </c>
      <c r="M499" s="36">
        <f t="shared" si="83"/>
        <v>2.5122963418383031</v>
      </c>
      <c r="N499" s="36">
        <f t="shared" si="83"/>
        <v>2.5122963418383031</v>
      </c>
      <c r="O499" s="36">
        <f t="shared" si="83"/>
        <v>0</v>
      </c>
      <c r="P499" s="36">
        <f t="shared" si="83"/>
        <v>0</v>
      </c>
      <c r="Q499" s="36">
        <f t="shared" si="83"/>
        <v>0</v>
      </c>
      <c r="R499" s="36">
        <f t="shared" si="83"/>
        <v>0</v>
      </c>
      <c r="S499" s="36">
        <f t="shared" si="83"/>
        <v>0</v>
      </c>
      <c r="T499" s="36">
        <f t="shared" si="83"/>
        <v>0</v>
      </c>
      <c r="U499" s="36">
        <f>INDEX(U500:U502,$G499,0)</f>
        <v>0</v>
      </c>
      <c r="V499" s="36">
        <f>INDEX(V500:V502,$G499,0)</f>
        <v>0</v>
      </c>
      <c r="W499" s="36">
        <f>INDEX(W500:W502,$G499,0)</f>
        <v>0</v>
      </c>
    </row>
    <row r="500" spans="3:23" outlineLevel="1">
      <c r="C500" s="407" t="s">
        <v>840</v>
      </c>
      <c r="K500" s="26"/>
      <c r="L500" s="26"/>
      <c r="M500" s="26">
        <f>(5+K1276)/2</f>
        <v>2.5122963418383031</v>
      </c>
      <c r="N500" s="26">
        <f>M500</f>
        <v>2.5122963418383031</v>
      </c>
      <c r="O500" s="26"/>
      <c r="P500" s="26"/>
      <c r="Q500" s="26"/>
      <c r="R500" s="26"/>
      <c r="S500" s="26"/>
      <c r="T500" s="26"/>
      <c r="U500" s="26"/>
      <c r="V500" s="26"/>
      <c r="W500" s="26"/>
    </row>
    <row r="501" spans="3:23" outlineLevel="1">
      <c r="K501" s="26"/>
      <c r="L501" s="26">
        <v>5</v>
      </c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</row>
    <row r="502" spans="3:23" outlineLevel="1"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</row>
    <row r="503" spans="3:23" outlineLevel="1"/>
    <row r="504" spans="3:23" outlineLevel="1">
      <c r="C504" s="407" t="s">
        <v>876</v>
      </c>
      <c r="G504" s="6">
        <f>$G$32</f>
        <v>1</v>
      </c>
      <c r="J504" s="20">
        <f>INDEX(K504:P504,,$G504)</f>
        <v>0.5</v>
      </c>
      <c r="K504" s="39">
        <v>0.5</v>
      </c>
      <c r="L504" s="19"/>
      <c r="M504" s="19"/>
      <c r="N504" s="19"/>
      <c r="O504" s="19"/>
      <c r="P504" s="19"/>
    </row>
    <row r="505" spans="3:23" outlineLevel="1">
      <c r="C505" s="407" t="s">
        <v>877</v>
      </c>
      <c r="G505" s="6">
        <f>$G$32</f>
        <v>1</v>
      </c>
      <c r="J505" s="20">
        <f>INDEX(K505:P505,,$G505)</f>
        <v>0.5</v>
      </c>
      <c r="K505" s="39">
        <v>0.5</v>
      </c>
      <c r="L505" s="19"/>
      <c r="M505" s="19"/>
      <c r="N505" s="19"/>
      <c r="O505" s="19"/>
      <c r="P505" s="19"/>
    </row>
    <row r="506" spans="3:23" ht="23.25" outlineLevel="1">
      <c r="C506" s="61"/>
    </row>
    <row r="507" spans="3:23" outlineLevel="1">
      <c r="C507" s="407" t="s">
        <v>878</v>
      </c>
      <c r="G507" s="6">
        <f>$G$32</f>
        <v>1</v>
      </c>
      <c r="J507" s="20">
        <f>INDEX(K507:P507,,$G507)</f>
        <v>20</v>
      </c>
      <c r="K507" s="30">
        <v>20</v>
      </c>
      <c r="L507" s="19"/>
      <c r="M507" s="19"/>
      <c r="N507" s="19"/>
      <c r="O507" s="19"/>
      <c r="P507" s="19"/>
    </row>
    <row r="508" spans="3:23" outlineLevel="1">
      <c r="C508" s="407" t="s">
        <v>879</v>
      </c>
      <c r="G508" s="6">
        <f>$G$32</f>
        <v>1</v>
      </c>
      <c r="J508" s="20">
        <f>INDEX(K508:P508,,$G508)</f>
        <v>8</v>
      </c>
      <c r="K508" s="30">
        <v>8</v>
      </c>
      <c r="L508" s="19"/>
      <c r="M508" s="19"/>
      <c r="N508" s="19"/>
      <c r="O508" s="19"/>
      <c r="P508" s="19"/>
    </row>
    <row r="509" spans="3:23" outlineLevel="1"/>
    <row r="510" spans="3:23" outlineLevel="1"/>
    <row r="511" spans="3:23" outlineLevel="1">
      <c r="C511" s="407" t="s">
        <v>845</v>
      </c>
      <c r="G511" s="6">
        <f>$G$32</f>
        <v>1</v>
      </c>
      <c r="H511" s="17" t="s">
        <v>325</v>
      </c>
      <c r="I511" s="17"/>
      <c r="K511" s="36">
        <f>INDEX(K512:K514,$G511,0)</f>
        <v>0</v>
      </c>
      <c r="L511" s="36">
        <f t="shared" ref="L511:T511" si="84">INDEX(L512:L514,$G511,0)</f>
        <v>0</v>
      </c>
      <c r="M511" s="36">
        <f t="shared" si="84"/>
        <v>0</v>
      </c>
      <c r="N511" s="36">
        <f t="shared" si="84"/>
        <v>0</v>
      </c>
      <c r="O511" s="36">
        <f t="shared" si="84"/>
        <v>0</v>
      </c>
      <c r="P511" s="36">
        <f t="shared" si="84"/>
        <v>0</v>
      </c>
      <c r="Q511" s="36">
        <f t="shared" si="84"/>
        <v>0</v>
      </c>
      <c r="R511" s="36">
        <f t="shared" si="84"/>
        <v>0</v>
      </c>
      <c r="S511" s="36">
        <f t="shared" si="84"/>
        <v>0</v>
      </c>
      <c r="T511" s="36">
        <f t="shared" si="84"/>
        <v>0</v>
      </c>
      <c r="U511" s="36">
        <f>INDEX(U512:U514,$G511,0)</f>
        <v>0</v>
      </c>
      <c r="V511" s="36">
        <f>INDEX(V512:V514,$G511,0)</f>
        <v>0</v>
      </c>
      <c r="W511" s="36">
        <f>INDEX(W512:W514,$G511,0)</f>
        <v>0</v>
      </c>
    </row>
    <row r="512" spans="3:23" outlineLevel="1">
      <c r="C512" s="407" t="s">
        <v>883</v>
      </c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</row>
    <row r="513" spans="3:23" outlineLevel="1"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</row>
    <row r="514" spans="3:23" outlineLevel="1"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</row>
    <row r="515" spans="3:23" outlineLevel="1"/>
    <row r="516" spans="3:23" outlineLevel="1"/>
    <row r="517" spans="3:23" outlineLevel="1">
      <c r="C517" s="407" t="s">
        <v>848</v>
      </c>
      <c r="G517" s="6">
        <f>$G$32</f>
        <v>1</v>
      </c>
      <c r="H517" s="17" t="s">
        <v>325</v>
      </c>
      <c r="I517" s="17"/>
      <c r="K517" s="36">
        <f>INDEX(K518:K520,$G517,0)</f>
        <v>0</v>
      </c>
      <c r="L517" s="36">
        <f t="shared" ref="L517:T517" si="85">INDEX(L518:L520,$G517,0)</f>
        <v>0</v>
      </c>
      <c r="M517" s="36">
        <f t="shared" si="85"/>
        <v>0</v>
      </c>
      <c r="N517" s="36">
        <f t="shared" si="85"/>
        <v>0</v>
      </c>
      <c r="O517" s="36">
        <f t="shared" si="85"/>
        <v>0</v>
      </c>
      <c r="P517" s="36">
        <f t="shared" si="85"/>
        <v>0</v>
      </c>
      <c r="Q517" s="36">
        <f t="shared" si="85"/>
        <v>0</v>
      </c>
      <c r="R517" s="36">
        <f t="shared" si="85"/>
        <v>0</v>
      </c>
      <c r="S517" s="36">
        <f t="shared" si="85"/>
        <v>0</v>
      </c>
      <c r="T517" s="36">
        <f t="shared" si="85"/>
        <v>0</v>
      </c>
      <c r="U517" s="36">
        <f>INDEX(U518:U520,$G517,0)</f>
        <v>0</v>
      </c>
      <c r="V517" s="36">
        <f>INDEX(V518:V520,$G517,0)</f>
        <v>0</v>
      </c>
      <c r="W517" s="36">
        <f>INDEX(W518:W520,$G517,0)</f>
        <v>0</v>
      </c>
    </row>
    <row r="518" spans="3:23" outlineLevel="1">
      <c r="C518" s="407" t="s">
        <v>883</v>
      </c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</row>
    <row r="519" spans="3:23" outlineLevel="1"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</row>
    <row r="520" spans="3:23" outlineLevel="1"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</row>
    <row r="521" spans="3:23" outlineLevel="1"/>
    <row r="522" spans="3:23" outlineLevel="1">
      <c r="C522" s="407" t="s">
        <v>586</v>
      </c>
      <c r="G522" s="6">
        <f>$G$32</f>
        <v>1</v>
      </c>
      <c r="J522" s="67">
        <f>INDEX(K522:P522,,$G522)</f>
        <v>0</v>
      </c>
      <c r="K522" s="40"/>
      <c r="L522" s="19"/>
      <c r="M522" s="19"/>
      <c r="N522" s="19"/>
      <c r="O522" s="19"/>
      <c r="P522" s="19"/>
    </row>
    <row r="523" spans="3:23" outlineLevel="1"/>
    <row r="524" spans="3:23" outlineLevel="1">
      <c r="C524" s="407" t="s">
        <v>881</v>
      </c>
      <c r="G524" s="6">
        <f>$G$32</f>
        <v>1</v>
      </c>
      <c r="H524" s="17" t="s">
        <v>325</v>
      </c>
      <c r="I524" s="17"/>
      <c r="K524" s="36">
        <f>INDEX(K525:K527,$G524,0)</f>
        <v>0</v>
      </c>
      <c r="L524" s="36">
        <f t="shared" ref="L524:T524" si="86">INDEX(L525:L527,$G524,0)</f>
        <v>0</v>
      </c>
      <c r="M524" s="36">
        <f t="shared" si="86"/>
        <v>0</v>
      </c>
      <c r="N524" s="36">
        <f t="shared" si="86"/>
        <v>0</v>
      </c>
      <c r="O524" s="36">
        <f t="shared" si="86"/>
        <v>0</v>
      </c>
      <c r="P524" s="36">
        <f t="shared" si="86"/>
        <v>0</v>
      </c>
      <c r="Q524" s="36">
        <f t="shared" si="86"/>
        <v>0</v>
      </c>
      <c r="R524" s="36">
        <f t="shared" si="86"/>
        <v>0</v>
      </c>
      <c r="S524" s="36">
        <f t="shared" si="86"/>
        <v>0</v>
      </c>
      <c r="T524" s="36">
        <f t="shared" si="86"/>
        <v>0</v>
      </c>
      <c r="U524" s="36">
        <f>INDEX(U525:U527,$G524,0)</f>
        <v>0</v>
      </c>
      <c r="V524" s="36">
        <f>INDEX(V525:V527,$G524,0)</f>
        <v>0</v>
      </c>
      <c r="W524" s="36">
        <f>INDEX(W525:W527,$G524,0)</f>
        <v>0</v>
      </c>
    </row>
    <row r="525" spans="3:23" outlineLevel="1">
      <c r="C525" s="407" t="s">
        <v>840</v>
      </c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</row>
    <row r="526" spans="3:23" outlineLevel="1"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</row>
    <row r="527" spans="3:23" outlineLevel="1"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</row>
    <row r="529" spans="3:23" ht="20.25" thickBot="1">
      <c r="C529" s="66" t="s">
        <v>553</v>
      </c>
      <c r="D529" s="66"/>
      <c r="E529" s="66"/>
      <c r="F529" s="66"/>
      <c r="G529" s="66"/>
      <c r="H529" s="66"/>
      <c r="I529" s="66"/>
      <c r="J529" s="66"/>
      <c r="K529" s="66"/>
      <c r="L529" s="66"/>
      <c r="M529" s="66"/>
      <c r="N529" s="66"/>
      <c r="O529" s="66"/>
      <c r="P529" s="66"/>
      <c r="Q529" s="66"/>
      <c r="R529" s="66"/>
      <c r="S529" s="66"/>
      <c r="T529" s="66"/>
      <c r="U529" s="66"/>
      <c r="V529" s="66"/>
      <c r="W529" s="66"/>
    </row>
    <row r="530" spans="3:23" ht="15.75" thickTop="1"/>
    <row r="531" spans="3:23" ht="23.25" outlineLevel="3">
      <c r="C531" s="60" t="s">
        <v>9</v>
      </c>
    </row>
    <row r="532" spans="3:23" outlineLevel="3">
      <c r="C532" s="407" t="s">
        <v>839</v>
      </c>
      <c r="G532" s="6">
        <f>$G$32</f>
        <v>1</v>
      </c>
      <c r="H532" s="17" t="s">
        <v>325</v>
      </c>
      <c r="I532" s="17"/>
      <c r="K532" s="36">
        <f>INDEX(K533:K535,$G532,0)</f>
        <v>0</v>
      </c>
      <c r="L532" s="36">
        <f t="shared" ref="L532:T532" si="87">INDEX(L533:L535,$G532,0)</f>
        <v>0.03</v>
      </c>
      <c r="M532" s="36">
        <f t="shared" si="87"/>
        <v>0.03</v>
      </c>
      <c r="N532" s="36">
        <f t="shared" si="87"/>
        <v>0.03</v>
      </c>
      <c r="O532" s="36">
        <f t="shared" si="87"/>
        <v>0.03</v>
      </c>
      <c r="P532" s="36">
        <f t="shared" si="87"/>
        <v>0.03</v>
      </c>
      <c r="Q532" s="36">
        <f t="shared" si="87"/>
        <v>0.03</v>
      </c>
      <c r="R532" s="36">
        <f t="shared" si="87"/>
        <v>0.03</v>
      </c>
      <c r="S532" s="36">
        <f t="shared" si="87"/>
        <v>0.03</v>
      </c>
      <c r="T532" s="36">
        <f t="shared" si="87"/>
        <v>0.03</v>
      </c>
      <c r="U532" s="36">
        <f>INDEX(U533:U535,$G532,0)</f>
        <v>0.03</v>
      </c>
      <c r="V532" s="36">
        <f>INDEX(V533:V535,$G532,0)</f>
        <v>0.03</v>
      </c>
      <c r="W532" s="36">
        <f>INDEX(W533:W535,$G532,0)</f>
        <v>0.03</v>
      </c>
    </row>
    <row r="533" spans="3:23" outlineLevel="3">
      <c r="C533" s="407" t="s">
        <v>840</v>
      </c>
      <c r="J533" s="21">
        <f>SUM(L533:U533)</f>
        <v>0.30000000000000004</v>
      </c>
      <c r="K533" s="26"/>
      <c r="L533" s="39">
        <v>0.03</v>
      </c>
      <c r="M533" s="39">
        <v>0.03</v>
      </c>
      <c r="N533" s="39">
        <v>0.03</v>
      </c>
      <c r="O533" s="39">
        <v>0.03</v>
      </c>
      <c r="P533" s="39">
        <v>0.03</v>
      </c>
      <c r="Q533" s="39">
        <v>0.03</v>
      </c>
      <c r="R533" s="39">
        <v>0.03</v>
      </c>
      <c r="S533" s="39">
        <v>0.03</v>
      </c>
      <c r="T533" s="39">
        <v>0.03</v>
      </c>
      <c r="U533" s="39">
        <v>0.03</v>
      </c>
      <c r="V533" s="39">
        <v>0.03</v>
      </c>
      <c r="W533" s="39">
        <v>0.03</v>
      </c>
    </row>
    <row r="534" spans="3:23" outlineLevel="3">
      <c r="K534" s="26"/>
      <c r="L534" s="39">
        <v>0.1</v>
      </c>
      <c r="M534" s="39">
        <f>L534</f>
        <v>0.1</v>
      </c>
      <c r="N534" s="39">
        <f>M534</f>
        <v>0.1</v>
      </c>
      <c r="O534" s="39">
        <f>N534</f>
        <v>0.1</v>
      </c>
      <c r="P534" s="39">
        <v>0.01</v>
      </c>
      <c r="Q534" s="39">
        <f t="shared" ref="Q534:W534" si="88">P534</f>
        <v>0.01</v>
      </c>
      <c r="R534" s="39">
        <f t="shared" si="88"/>
        <v>0.01</v>
      </c>
      <c r="S534" s="39">
        <f t="shared" si="88"/>
        <v>0.01</v>
      </c>
      <c r="T534" s="39">
        <f t="shared" si="88"/>
        <v>0.01</v>
      </c>
      <c r="U534" s="39">
        <f t="shared" si="88"/>
        <v>0.01</v>
      </c>
      <c r="V534" s="39">
        <f t="shared" si="88"/>
        <v>0.01</v>
      </c>
      <c r="W534" s="39">
        <f t="shared" si="88"/>
        <v>0.01</v>
      </c>
    </row>
    <row r="535" spans="3:23" outlineLevel="3"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</row>
    <row r="536" spans="3:23" outlineLevel="3"/>
    <row r="537" spans="3:23" outlineLevel="3">
      <c r="C537" s="407" t="s">
        <v>886</v>
      </c>
      <c r="G537" s="6">
        <f>$G$32</f>
        <v>1</v>
      </c>
      <c r="H537" s="17" t="s">
        <v>543</v>
      </c>
      <c r="J537" s="20">
        <f>INDEX(K537:P537,,$G537)</f>
        <v>750000</v>
      </c>
      <c r="K537" s="30">
        <v>750000</v>
      </c>
      <c r="L537" s="30">
        <v>922782</v>
      </c>
      <c r="M537" s="19"/>
      <c r="N537" s="19"/>
      <c r="O537" s="19"/>
      <c r="P537" s="19"/>
    </row>
    <row r="538" spans="3:23" outlineLevel="3"/>
    <row r="539" spans="3:23" outlineLevel="3">
      <c r="C539" s="407" t="s">
        <v>882</v>
      </c>
      <c r="G539" s="6">
        <f>$G$32</f>
        <v>1</v>
      </c>
      <c r="H539" s="17" t="s">
        <v>485</v>
      </c>
      <c r="I539" s="17"/>
      <c r="K539" s="36">
        <f>INDEX(K540:K542,$G539,0)</f>
        <v>29658</v>
      </c>
      <c r="L539" s="36">
        <f t="shared" ref="L539:T539" si="89">INDEX(L540:L542,$G539,0)</f>
        <v>29658</v>
      </c>
      <c r="M539" s="36">
        <f t="shared" si="89"/>
        <v>43947.5</v>
      </c>
      <c r="N539" s="36">
        <f t="shared" si="89"/>
        <v>43947.5</v>
      </c>
      <c r="O539" s="36">
        <f t="shared" si="89"/>
        <v>45265.925000000003</v>
      </c>
      <c r="P539" s="36">
        <f t="shared" si="89"/>
        <v>46623.902750000001</v>
      </c>
      <c r="Q539" s="36">
        <f t="shared" si="89"/>
        <v>48022.6198325</v>
      </c>
      <c r="R539" s="36">
        <f t="shared" si="89"/>
        <v>49463.298427475005</v>
      </c>
      <c r="S539" s="36">
        <f t="shared" si="89"/>
        <v>50947.197380299258</v>
      </c>
      <c r="T539" s="36">
        <f t="shared" si="89"/>
        <v>52475.613301708239</v>
      </c>
      <c r="U539" s="36">
        <f>INDEX(U540:U542,$G539,0)</f>
        <v>54049.881700759484</v>
      </c>
      <c r="V539" s="36">
        <f>INDEX(V540:V542,$G539,0)</f>
        <v>55671.378151782272</v>
      </c>
      <c r="W539" s="36">
        <f>INDEX(W540:W542,$G539,0)</f>
        <v>57341.519496335743</v>
      </c>
    </row>
    <row r="540" spans="3:23" outlineLevel="3">
      <c r="C540" s="407" t="s">
        <v>840</v>
      </c>
      <c r="K540" s="26">
        <v>29658</v>
      </c>
      <c r="L540" s="26">
        <f>K540</f>
        <v>29658</v>
      </c>
      <c r="M540" s="26">
        <v>43947.5</v>
      </c>
      <c r="N540" s="26">
        <v>43947.5</v>
      </c>
      <c r="O540" s="26">
        <f>N540*(1+3%)</f>
        <v>45265.925000000003</v>
      </c>
      <c r="P540" s="26">
        <f t="shared" ref="P540:U540" si="90">O540*(1+3%)</f>
        <v>46623.902750000001</v>
      </c>
      <c r="Q540" s="26">
        <f t="shared" si="90"/>
        <v>48022.6198325</v>
      </c>
      <c r="R540" s="26">
        <f t="shared" si="90"/>
        <v>49463.298427475005</v>
      </c>
      <c r="S540" s="26">
        <f t="shared" si="90"/>
        <v>50947.197380299258</v>
      </c>
      <c r="T540" s="26">
        <f t="shared" si="90"/>
        <v>52475.613301708239</v>
      </c>
      <c r="U540" s="26">
        <f t="shared" si="90"/>
        <v>54049.881700759484</v>
      </c>
      <c r="V540" s="26">
        <f>U540*(1+3%)</f>
        <v>55671.378151782272</v>
      </c>
      <c r="W540" s="26">
        <f>V540*(1+3%)</f>
        <v>57341.519496335743</v>
      </c>
    </row>
    <row r="541" spans="3:23" outlineLevel="3">
      <c r="K541" s="26"/>
      <c r="L541" s="26"/>
      <c r="M541" s="26"/>
      <c r="N541" s="26">
        <v>43947.5</v>
      </c>
      <c r="O541" s="26">
        <v>52737</v>
      </c>
      <c r="P541" s="26">
        <v>52737</v>
      </c>
      <c r="Q541" s="26">
        <v>59065.440000000002</v>
      </c>
      <c r="R541" s="26">
        <v>59065.440000000002</v>
      </c>
      <c r="S541" s="26">
        <v>62609.366400000006</v>
      </c>
      <c r="T541" s="26">
        <v>62609.366400000006</v>
      </c>
      <c r="U541" s="26">
        <v>62609.366400000006</v>
      </c>
      <c r="V541" s="26">
        <v>62609.366400000006</v>
      </c>
      <c r="W541" s="26">
        <v>62609.366400000006</v>
      </c>
    </row>
    <row r="542" spans="3:23" outlineLevel="3"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</row>
    <row r="543" spans="3:23" outlineLevel="3">
      <c r="O543" s="31">
        <f>O541/N541-1</f>
        <v>0.19999999999999996</v>
      </c>
      <c r="P543" s="31">
        <f t="shared" ref="P543:U543" si="91">P541/O541-1</f>
        <v>0</v>
      </c>
      <c r="Q543" s="31">
        <f t="shared" si="91"/>
        <v>0.12000000000000011</v>
      </c>
      <c r="R543" s="31">
        <f t="shared" si="91"/>
        <v>0</v>
      </c>
      <c r="S543" s="31">
        <f t="shared" si="91"/>
        <v>6.0000000000000053E-2</v>
      </c>
      <c r="T543" s="31">
        <f t="shared" si="91"/>
        <v>0</v>
      </c>
      <c r="U543" s="31">
        <f t="shared" si="91"/>
        <v>0</v>
      </c>
      <c r="V543" s="31">
        <f>V541/U541-1</f>
        <v>0</v>
      </c>
      <c r="W543" s="31">
        <f>W541/V541-1</f>
        <v>0</v>
      </c>
    </row>
    <row r="544" spans="3:23" ht="23.25" outlineLevel="3">
      <c r="C544" s="60" t="s">
        <v>473</v>
      </c>
    </row>
    <row r="545" spans="3:23" outlineLevel="3">
      <c r="C545" s="407" t="s">
        <v>492</v>
      </c>
    </row>
    <row r="546" spans="3:23" outlineLevel="3">
      <c r="C546" s="407" t="s">
        <v>870</v>
      </c>
      <c r="G546" s="6">
        <f>$G$32</f>
        <v>1</v>
      </c>
      <c r="H546" s="17" t="s">
        <v>325</v>
      </c>
      <c r="I546" s="17"/>
      <c r="K546" s="36">
        <f>INDEX(K547:K549,$G546,0)</f>
        <v>5.2339742134300007</v>
      </c>
      <c r="L546" s="36">
        <f t="shared" ref="L546:T546" si="92">INDEX(L547:L549,$G546,0)</f>
        <v>5.2339742134300007</v>
      </c>
      <c r="M546" s="36">
        <f t="shared" si="92"/>
        <v>2.6169871067150003</v>
      </c>
      <c r="N546" s="36">
        <f t="shared" si="92"/>
        <v>0</v>
      </c>
      <c r="O546" s="36">
        <f t="shared" si="92"/>
        <v>0</v>
      </c>
      <c r="P546" s="36">
        <f t="shared" si="92"/>
        <v>0</v>
      </c>
      <c r="Q546" s="36">
        <f t="shared" si="92"/>
        <v>0</v>
      </c>
      <c r="R546" s="36">
        <f t="shared" si="92"/>
        <v>0</v>
      </c>
      <c r="S546" s="36">
        <f t="shared" si="92"/>
        <v>0</v>
      </c>
      <c r="T546" s="36">
        <f t="shared" si="92"/>
        <v>0</v>
      </c>
      <c r="U546" s="36">
        <f>INDEX(U547:U549,$G546,0)</f>
        <v>0</v>
      </c>
      <c r="V546" s="36">
        <f>INDEX(V547:V549,$G546,0)</f>
        <v>0</v>
      </c>
      <c r="W546" s="36">
        <f>INDEX(W547:W549,$G546,0)</f>
        <v>0</v>
      </c>
    </row>
    <row r="547" spans="3:23" outlineLevel="3">
      <c r="C547" s="407" t="s">
        <v>840</v>
      </c>
      <c r="K547" s="26">
        <v>5.2339742134300007</v>
      </c>
      <c r="L547" s="26">
        <v>5.2339742134300007</v>
      </c>
      <c r="M547" s="26">
        <v>2.6169871067150003</v>
      </c>
      <c r="N547" s="26"/>
      <c r="O547" s="26"/>
      <c r="P547" s="26"/>
      <c r="Q547" s="26"/>
      <c r="R547" s="26"/>
      <c r="S547" s="26"/>
      <c r="T547" s="26"/>
      <c r="U547" s="26"/>
      <c r="V547" s="26"/>
      <c r="W547" s="26"/>
    </row>
    <row r="548" spans="3:23" outlineLevel="3"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</row>
    <row r="549" spans="3:23" outlineLevel="3"/>
    <row r="550" spans="3:23" outlineLevel="3"/>
    <row r="551" spans="3:23" outlineLevel="3">
      <c r="C551" s="407" t="s">
        <v>324</v>
      </c>
      <c r="G551" s="6">
        <f>$G$32</f>
        <v>1</v>
      </c>
      <c r="H551" s="17" t="s">
        <v>325</v>
      </c>
      <c r="I551" s="17"/>
      <c r="K551" s="36">
        <f>INDEX(K552:K554,$G551,0)</f>
        <v>0</v>
      </c>
      <c r="L551" s="36">
        <f t="shared" ref="L551:T551" si="93">INDEX(L552:L554,$G551,0)</f>
        <v>0</v>
      </c>
      <c r="M551" s="36">
        <f t="shared" si="93"/>
        <v>7.0245926836766062</v>
      </c>
      <c r="N551" s="36">
        <f t="shared" si="93"/>
        <v>7</v>
      </c>
      <c r="O551" s="36">
        <f t="shared" si="93"/>
        <v>0</v>
      </c>
      <c r="P551" s="36">
        <f t="shared" si="93"/>
        <v>0</v>
      </c>
      <c r="Q551" s="36">
        <f t="shared" si="93"/>
        <v>0</v>
      </c>
      <c r="R551" s="36">
        <f t="shared" si="93"/>
        <v>0</v>
      </c>
      <c r="S551" s="36">
        <f t="shared" si="93"/>
        <v>0</v>
      </c>
      <c r="T551" s="36">
        <f t="shared" si="93"/>
        <v>0</v>
      </c>
      <c r="U551" s="36">
        <f>INDEX(U552:U554,$G551,0)</f>
        <v>0</v>
      </c>
      <c r="V551" s="36">
        <f>INDEX(V552:V554,$G551,0)</f>
        <v>0</v>
      </c>
      <c r="W551" s="36">
        <f>INDEX(W552:W554,$G551,0)</f>
        <v>0</v>
      </c>
    </row>
    <row r="552" spans="3:23" outlineLevel="3">
      <c r="C552" s="407" t="s">
        <v>840</v>
      </c>
      <c r="J552">
        <f>SUM(K552:W552)</f>
        <v>14.024592683676605</v>
      </c>
      <c r="K552" s="26"/>
      <c r="L552" s="26"/>
      <c r="M552" s="404">
        <f>7+K1276</f>
        <v>7.0245926836766062</v>
      </c>
      <c r="N552" s="26">
        <v>7</v>
      </c>
      <c r="O552" s="26"/>
      <c r="P552" s="26"/>
      <c r="Q552" s="26"/>
      <c r="R552" s="26"/>
      <c r="S552" s="26"/>
      <c r="T552" s="26"/>
      <c r="U552" s="26"/>
      <c r="V552" s="26"/>
      <c r="W552" s="26"/>
    </row>
    <row r="553" spans="3:23" outlineLevel="3">
      <c r="K553" s="26"/>
      <c r="L553" s="26">
        <f>2+K1277</f>
        <v>2</v>
      </c>
      <c r="M553" s="26">
        <v>9</v>
      </c>
      <c r="N553" s="26">
        <v>3</v>
      </c>
      <c r="O553" s="26"/>
      <c r="P553" s="26"/>
      <c r="Q553" s="26"/>
      <c r="R553" s="26"/>
      <c r="S553" s="26"/>
      <c r="T553" s="26"/>
      <c r="U553" s="26"/>
      <c r="V553" s="26"/>
      <c r="W553" s="26"/>
    </row>
    <row r="554" spans="3:23" outlineLevel="3"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</row>
    <row r="555" spans="3:23" outlineLevel="3"/>
    <row r="556" spans="3:23" outlineLevel="3">
      <c r="C556" s="407" t="s">
        <v>876</v>
      </c>
      <c r="G556" s="6">
        <f>$G$32</f>
        <v>1</v>
      </c>
      <c r="J556" s="20">
        <f>INDEX(K556:P556,,$G556)</f>
        <v>0.9</v>
      </c>
      <c r="K556" s="39">
        <v>0.9</v>
      </c>
      <c r="L556" s="19"/>
      <c r="M556" s="19"/>
      <c r="N556" s="19"/>
      <c r="O556" s="19"/>
      <c r="P556" s="19"/>
    </row>
    <row r="557" spans="3:23" outlineLevel="3">
      <c r="C557" s="407" t="s">
        <v>877</v>
      </c>
      <c r="G557" s="6">
        <f>$G$32</f>
        <v>1</v>
      </c>
      <c r="J557" s="20">
        <f>INDEX(K557:P557,,$G557)</f>
        <v>9.9999999999999978E-2</v>
      </c>
      <c r="K557" s="39">
        <f>100%-K556</f>
        <v>9.9999999999999978E-2</v>
      </c>
      <c r="L557" s="19"/>
      <c r="M557" s="19"/>
      <c r="N557" s="19"/>
      <c r="O557" s="19"/>
      <c r="P557" s="19"/>
    </row>
    <row r="558" spans="3:23" ht="23.25" outlineLevel="3">
      <c r="C558" s="61"/>
      <c r="K558" s="407"/>
    </row>
    <row r="559" spans="3:23" outlineLevel="3">
      <c r="C559" s="407" t="s">
        <v>878</v>
      </c>
      <c r="G559" s="6">
        <f>$G$32</f>
        <v>1</v>
      </c>
      <c r="J559" s="20">
        <f>INDEX(K559:P559,,$G559)</f>
        <v>20</v>
      </c>
      <c r="K559" s="30">
        <v>20</v>
      </c>
      <c r="L559" s="19"/>
      <c r="M559" s="19"/>
      <c r="N559" s="19"/>
      <c r="O559" s="19"/>
      <c r="P559" s="19"/>
    </row>
    <row r="560" spans="3:23" outlineLevel="3">
      <c r="C560" s="407" t="s">
        <v>879</v>
      </c>
      <c r="G560" s="6">
        <f>$G$32</f>
        <v>1</v>
      </c>
      <c r="J560" s="20">
        <f>INDEX(K560:P560,,$G560)</f>
        <v>8</v>
      </c>
      <c r="K560" s="30">
        <v>8</v>
      </c>
      <c r="L560" s="19"/>
      <c r="M560" s="19"/>
      <c r="N560" s="19"/>
      <c r="O560" s="19"/>
      <c r="P560" s="19"/>
    </row>
    <row r="561" spans="3:23" outlineLevel="3"/>
    <row r="562" spans="3:23" outlineLevel="3"/>
    <row r="563" spans="3:23" outlineLevel="3">
      <c r="C563" s="407" t="s">
        <v>887</v>
      </c>
      <c r="G563" s="6">
        <f>$G$32</f>
        <v>1</v>
      </c>
      <c r="H563" s="17" t="s">
        <v>325</v>
      </c>
      <c r="I563" s="17"/>
      <c r="K563" s="36">
        <f>INDEX(K564:K566,$G563,0)</f>
        <v>3.5000000000000003E-2</v>
      </c>
      <c r="L563" s="36">
        <f t="shared" ref="L563:T563" si="94">INDEX(L564:L566,$G563,0)</f>
        <v>3.5000000000000003E-2</v>
      </c>
      <c r="M563" s="36">
        <f t="shared" si="94"/>
        <v>3.5000000000000003E-2</v>
      </c>
      <c r="N563" s="36">
        <f t="shared" si="94"/>
        <v>3.5000000000000003E-2</v>
      </c>
      <c r="O563" s="36">
        <f t="shared" si="94"/>
        <v>3.5000000000000003E-2</v>
      </c>
      <c r="P563" s="36">
        <f t="shared" si="94"/>
        <v>3.5000000000000003E-2</v>
      </c>
      <c r="Q563" s="36">
        <f t="shared" si="94"/>
        <v>3.5000000000000003E-2</v>
      </c>
      <c r="R563" s="36">
        <f t="shared" si="94"/>
        <v>3.5000000000000003E-2</v>
      </c>
      <c r="S563" s="36">
        <f t="shared" si="94"/>
        <v>3.5000000000000003E-2</v>
      </c>
      <c r="T563" s="36">
        <f t="shared" si="94"/>
        <v>3.5000000000000003E-2</v>
      </c>
      <c r="U563" s="36">
        <f>INDEX(U564:U566,$G563,0)</f>
        <v>3.5000000000000003E-2</v>
      </c>
      <c r="V563" s="36">
        <f>INDEX(V564:V566,$G563,0)</f>
        <v>3.5000000000000003E-2</v>
      </c>
      <c r="W563" s="36">
        <f>INDEX(W564:W566,$G563,0)</f>
        <v>3.5000000000000003E-2</v>
      </c>
    </row>
    <row r="564" spans="3:23" outlineLevel="3">
      <c r="C564" s="407" t="s">
        <v>840</v>
      </c>
      <c r="K564" s="26">
        <v>3.5000000000000003E-2</v>
      </c>
      <c r="L564" s="26">
        <v>3.5000000000000003E-2</v>
      </c>
      <c r="M564" s="26">
        <v>3.5000000000000003E-2</v>
      </c>
      <c r="N564" s="26">
        <v>3.5000000000000003E-2</v>
      </c>
      <c r="O564" s="26">
        <v>3.5000000000000003E-2</v>
      </c>
      <c r="P564" s="26">
        <v>3.5000000000000003E-2</v>
      </c>
      <c r="Q564" s="26">
        <v>3.5000000000000003E-2</v>
      </c>
      <c r="R564" s="26">
        <v>3.5000000000000003E-2</v>
      </c>
      <c r="S564" s="26">
        <v>3.5000000000000003E-2</v>
      </c>
      <c r="T564" s="26">
        <v>3.5000000000000003E-2</v>
      </c>
      <c r="U564" s="26">
        <v>3.5000000000000003E-2</v>
      </c>
      <c r="V564" s="26">
        <v>3.5000000000000003E-2</v>
      </c>
      <c r="W564" s="26">
        <v>3.5000000000000003E-2</v>
      </c>
    </row>
    <row r="565" spans="3:23" outlineLevel="3"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</row>
    <row r="566" spans="3:23" outlineLevel="3"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</row>
    <row r="567" spans="3:23" outlineLevel="3"/>
    <row r="568" spans="3:23" outlineLevel="3">
      <c r="C568" s="407" t="s">
        <v>870</v>
      </c>
      <c r="G568" s="6">
        <f>$G$32</f>
        <v>1</v>
      </c>
      <c r="H568" s="17" t="s">
        <v>315</v>
      </c>
      <c r="J568" s="20">
        <f>INDEX(K568:P568,,$G568)</f>
        <v>3.2796205180000002</v>
      </c>
      <c r="K568" s="19">
        <v>3.2796205180000002</v>
      </c>
      <c r="L568" s="19"/>
      <c r="M568" s="19"/>
      <c r="N568" s="19"/>
      <c r="O568" s="19"/>
      <c r="P568" s="19"/>
    </row>
    <row r="569" spans="3:23" outlineLevel="3"/>
    <row r="570" spans="3:23" outlineLevel="3">
      <c r="C570" s="407" t="s">
        <v>888</v>
      </c>
      <c r="G570" s="6">
        <f>$G$32</f>
        <v>1</v>
      </c>
      <c r="H570" s="17" t="s">
        <v>325</v>
      </c>
      <c r="I570" s="17"/>
      <c r="K570" s="36">
        <f>INDEX(K571:K573,$G570,0)</f>
        <v>3.5000000000000003E-2</v>
      </c>
      <c r="L570" s="36">
        <f t="shared" ref="L570:T570" si="95">INDEX(L571:L573,$G570,0)</f>
        <v>3.5000000000000003E-2</v>
      </c>
      <c r="M570" s="36">
        <f t="shared" si="95"/>
        <v>3.5000000000000003E-2</v>
      </c>
      <c r="N570" s="36">
        <f t="shared" si="95"/>
        <v>3.5000000000000003E-2</v>
      </c>
      <c r="O570" s="36">
        <f t="shared" si="95"/>
        <v>3.5000000000000003E-2</v>
      </c>
      <c r="P570" s="36">
        <f t="shared" si="95"/>
        <v>3.5000000000000003E-2</v>
      </c>
      <c r="Q570" s="36">
        <f t="shared" si="95"/>
        <v>3.5000000000000003E-2</v>
      </c>
      <c r="R570" s="36">
        <f t="shared" si="95"/>
        <v>3.5000000000000003E-2</v>
      </c>
      <c r="S570" s="36">
        <f t="shared" si="95"/>
        <v>3.5000000000000003E-2</v>
      </c>
      <c r="T570" s="36">
        <f t="shared" si="95"/>
        <v>3.5000000000000003E-2</v>
      </c>
      <c r="U570" s="36">
        <f>INDEX(U571:U573,$G570,0)</f>
        <v>3.5000000000000003E-2</v>
      </c>
      <c r="V570" s="36">
        <f>INDEX(V571:V573,$G570,0)</f>
        <v>3.5000000000000003E-2</v>
      </c>
      <c r="W570" s="36">
        <f>INDEX(W571:W573,$G570,0)</f>
        <v>3.5000000000000003E-2</v>
      </c>
    </row>
    <row r="571" spans="3:23" outlineLevel="3">
      <c r="C571" s="407" t="s">
        <v>840</v>
      </c>
      <c r="K571" s="26">
        <v>3.5000000000000003E-2</v>
      </c>
      <c r="L571" s="26">
        <v>3.5000000000000003E-2</v>
      </c>
      <c r="M571" s="26">
        <v>3.5000000000000003E-2</v>
      </c>
      <c r="N571" s="26">
        <v>3.5000000000000003E-2</v>
      </c>
      <c r="O571" s="26">
        <v>3.5000000000000003E-2</v>
      </c>
      <c r="P571" s="26">
        <v>3.5000000000000003E-2</v>
      </c>
      <c r="Q571" s="26">
        <v>3.5000000000000003E-2</v>
      </c>
      <c r="R571" s="26">
        <v>3.5000000000000003E-2</v>
      </c>
      <c r="S571" s="26">
        <v>3.5000000000000003E-2</v>
      </c>
      <c r="T571" s="26">
        <v>3.5000000000000003E-2</v>
      </c>
      <c r="U571" s="26">
        <v>3.5000000000000003E-2</v>
      </c>
      <c r="V571" s="26">
        <v>3.5000000000000003E-2</v>
      </c>
      <c r="W571" s="26">
        <v>3.5000000000000003E-2</v>
      </c>
    </row>
    <row r="572" spans="3:23" outlineLevel="3"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</row>
    <row r="573" spans="3:23" outlineLevel="3"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</row>
    <row r="574" spans="3:23" outlineLevel="3"/>
    <row r="575" spans="3:23" outlineLevel="3">
      <c r="C575" s="407" t="s">
        <v>870</v>
      </c>
      <c r="G575" s="6">
        <f>$G$32</f>
        <v>1</v>
      </c>
      <c r="J575" s="20">
        <f>INDEX(K575:P575,,$G575)</f>
        <v>1.9301774279999999</v>
      </c>
      <c r="K575" s="19">
        <v>1.9301774279999999</v>
      </c>
      <c r="L575" s="19"/>
      <c r="M575" s="19"/>
      <c r="N575" s="19"/>
      <c r="O575" s="19"/>
      <c r="P575" s="19"/>
    </row>
    <row r="576" spans="3:23" outlineLevel="3"/>
    <row r="577" spans="3:23" outlineLevel="3">
      <c r="C577" s="407" t="s">
        <v>889</v>
      </c>
      <c r="G577" s="6">
        <f>$G$32</f>
        <v>1</v>
      </c>
      <c r="H577" s="17" t="s">
        <v>325</v>
      </c>
      <c r="I577" s="17"/>
      <c r="K577" s="36">
        <f>INDEX(K578:K580,$G577,0)</f>
        <v>0.03</v>
      </c>
      <c r="L577" s="36">
        <f t="shared" ref="L577:T577" si="96">INDEX(L578:L580,$G577,0)</f>
        <v>0.03</v>
      </c>
      <c r="M577" s="36">
        <f t="shared" si="96"/>
        <v>0.03</v>
      </c>
      <c r="N577" s="36">
        <f t="shared" si="96"/>
        <v>0.03</v>
      </c>
      <c r="O577" s="36">
        <f t="shared" si="96"/>
        <v>0.03</v>
      </c>
      <c r="P577" s="36">
        <f t="shared" si="96"/>
        <v>0.03</v>
      </c>
      <c r="Q577" s="36">
        <f t="shared" si="96"/>
        <v>0.03</v>
      </c>
      <c r="R577" s="36">
        <f t="shared" si="96"/>
        <v>0.03</v>
      </c>
      <c r="S577" s="36">
        <f t="shared" si="96"/>
        <v>0.03</v>
      </c>
      <c r="T577" s="36">
        <f t="shared" si="96"/>
        <v>0.03</v>
      </c>
      <c r="U577" s="36">
        <f>INDEX(U578:U580,$G577,0)</f>
        <v>0.03</v>
      </c>
      <c r="V577" s="36">
        <f>INDEX(V578:V580,$G577,0)</f>
        <v>0.03</v>
      </c>
      <c r="W577" s="36">
        <f>INDEX(W578:W580,$G577,0)</f>
        <v>0.03</v>
      </c>
    </row>
    <row r="578" spans="3:23" outlineLevel="3">
      <c r="C578" s="407" t="s">
        <v>840</v>
      </c>
      <c r="K578" s="26">
        <v>0.03</v>
      </c>
      <c r="L578" s="26">
        <v>0.03</v>
      </c>
      <c r="M578" s="26">
        <v>0.03</v>
      </c>
      <c r="N578" s="26">
        <v>0.03</v>
      </c>
      <c r="O578" s="26">
        <v>0.03</v>
      </c>
      <c r="P578" s="26">
        <v>0.03</v>
      </c>
      <c r="Q578" s="26">
        <v>0.03</v>
      </c>
      <c r="R578" s="26">
        <v>0.03</v>
      </c>
      <c r="S578" s="26">
        <v>0.03</v>
      </c>
      <c r="T578" s="26">
        <v>0.03</v>
      </c>
      <c r="U578" s="26">
        <v>0.03</v>
      </c>
      <c r="V578" s="26">
        <v>0.03</v>
      </c>
      <c r="W578" s="26">
        <v>0.03</v>
      </c>
    </row>
    <row r="579" spans="3:23" outlineLevel="3"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</row>
    <row r="580" spans="3:23" outlineLevel="3"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</row>
    <row r="581" spans="3:23" outlineLevel="3"/>
    <row r="582" spans="3:23" outlineLevel="3">
      <c r="C582" s="407" t="s">
        <v>870</v>
      </c>
      <c r="G582" s="6">
        <f>$G$32</f>
        <v>1</v>
      </c>
      <c r="J582" s="20">
        <f>INDEX(K582:P582,,$G582)</f>
        <v>0.82569621187999998</v>
      </c>
      <c r="K582" s="19">
        <v>0.82569621187999998</v>
      </c>
      <c r="L582" s="19"/>
      <c r="M582" s="19"/>
      <c r="N582" s="19"/>
      <c r="O582" s="19"/>
      <c r="P582" s="19"/>
    </row>
    <row r="583" spans="3:23" outlineLevel="3"/>
    <row r="584" spans="3:23" outlineLevel="3">
      <c r="C584" s="407" t="s">
        <v>890</v>
      </c>
      <c r="G584" s="6">
        <f>$G$32</f>
        <v>1</v>
      </c>
      <c r="H584" s="17" t="s">
        <v>325</v>
      </c>
      <c r="I584" s="17"/>
      <c r="K584" s="36">
        <f>INDEX(K585:K587,$G584,0)</f>
        <v>0.03</v>
      </c>
      <c r="L584" s="36">
        <f t="shared" ref="L584:T584" si="97">INDEX(L585:L587,$G584,0)</f>
        <v>0.03</v>
      </c>
      <c r="M584" s="36">
        <f t="shared" si="97"/>
        <v>0.03</v>
      </c>
      <c r="N584" s="36">
        <f t="shared" si="97"/>
        <v>0.03</v>
      </c>
      <c r="O584" s="36">
        <f t="shared" si="97"/>
        <v>0.03</v>
      </c>
      <c r="P584" s="36">
        <f t="shared" si="97"/>
        <v>0.03</v>
      </c>
      <c r="Q584" s="36">
        <f t="shared" si="97"/>
        <v>0.03</v>
      </c>
      <c r="R584" s="36">
        <f t="shared" si="97"/>
        <v>0.03</v>
      </c>
      <c r="S584" s="36">
        <f t="shared" si="97"/>
        <v>0.03</v>
      </c>
      <c r="T584" s="36">
        <f t="shared" si="97"/>
        <v>0.03</v>
      </c>
      <c r="U584" s="36">
        <f>INDEX(U585:U587,$G584,0)</f>
        <v>0.03</v>
      </c>
      <c r="V584" s="36">
        <f>INDEX(V585:V587,$G584,0)</f>
        <v>0.03</v>
      </c>
      <c r="W584" s="36">
        <f>INDEX(W585:W587,$G584,0)</f>
        <v>0.03</v>
      </c>
    </row>
    <row r="585" spans="3:23" outlineLevel="3">
      <c r="C585" s="407" t="s">
        <v>840</v>
      </c>
      <c r="K585" s="26">
        <v>0.03</v>
      </c>
      <c r="L585" s="26">
        <v>0.03</v>
      </c>
      <c r="M585" s="26">
        <v>0.03</v>
      </c>
      <c r="N585" s="26">
        <v>0.03</v>
      </c>
      <c r="O585" s="26">
        <v>0.03</v>
      </c>
      <c r="P585" s="26">
        <v>0.03</v>
      </c>
      <c r="Q585" s="26">
        <v>0.03</v>
      </c>
      <c r="R585" s="26">
        <v>0.03</v>
      </c>
      <c r="S585" s="26">
        <v>0.03</v>
      </c>
      <c r="T585" s="26">
        <v>0.03</v>
      </c>
      <c r="U585" s="26">
        <v>0.03</v>
      </c>
      <c r="V585" s="26">
        <v>0.03</v>
      </c>
      <c r="W585" s="26">
        <v>0.03</v>
      </c>
    </row>
    <row r="586" spans="3:23" outlineLevel="3"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</row>
    <row r="587" spans="3:23" outlineLevel="3"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</row>
    <row r="588" spans="3:23" outlineLevel="3"/>
    <row r="589" spans="3:23" outlineLevel="3">
      <c r="C589" s="407" t="s">
        <v>870</v>
      </c>
      <c r="G589" s="6">
        <f>$G$32</f>
        <v>1</v>
      </c>
      <c r="J589" s="20">
        <f>INDEX(K589:P589,,$G589)</f>
        <v>0.63102144100000002</v>
      </c>
      <c r="K589" s="19">
        <v>0.63102144100000002</v>
      </c>
      <c r="L589" s="19"/>
      <c r="M589" s="19"/>
      <c r="N589" s="19"/>
      <c r="O589" s="19"/>
      <c r="P589" s="19"/>
    </row>
    <row r="590" spans="3:23" outlineLevel="3"/>
    <row r="591" spans="3:23" outlineLevel="3">
      <c r="C591" s="407" t="s">
        <v>891</v>
      </c>
      <c r="G591" s="6">
        <f>$G$32</f>
        <v>1</v>
      </c>
      <c r="H591" s="17" t="s">
        <v>325</v>
      </c>
      <c r="I591" s="17"/>
      <c r="K591" s="36">
        <f>INDEX(K592:K594,$G591,0)</f>
        <v>2.5000000000000001E-2</v>
      </c>
      <c r="L591" s="36">
        <f t="shared" ref="L591:T591" si="98">INDEX(L592:L594,$G591,0)</f>
        <v>2.5000000000000001E-2</v>
      </c>
      <c r="M591" s="36">
        <f t="shared" si="98"/>
        <v>2.5000000000000001E-2</v>
      </c>
      <c r="N591" s="36">
        <f t="shared" si="98"/>
        <v>2.5000000000000001E-2</v>
      </c>
      <c r="O591" s="36">
        <f t="shared" si="98"/>
        <v>2.5000000000000001E-2</v>
      </c>
      <c r="P591" s="36">
        <f t="shared" si="98"/>
        <v>2.5000000000000001E-2</v>
      </c>
      <c r="Q591" s="36">
        <f t="shared" si="98"/>
        <v>2.5000000000000001E-2</v>
      </c>
      <c r="R591" s="36">
        <f t="shared" si="98"/>
        <v>2.5000000000000001E-2</v>
      </c>
      <c r="S591" s="36">
        <f t="shared" si="98"/>
        <v>2.5000000000000001E-2</v>
      </c>
      <c r="T591" s="36">
        <f t="shared" si="98"/>
        <v>2.5000000000000001E-2</v>
      </c>
      <c r="U591" s="36">
        <f>INDEX(U592:U594,$G591,0)</f>
        <v>2.5000000000000001E-2</v>
      </c>
      <c r="V591" s="36">
        <f>INDEX(V592:V594,$G591,0)</f>
        <v>2.5000000000000001E-2</v>
      </c>
      <c r="W591" s="36">
        <f>INDEX(W592:W594,$G591,0)</f>
        <v>2.5000000000000001E-2</v>
      </c>
    </row>
    <row r="592" spans="3:23" outlineLevel="3">
      <c r="C592" s="407" t="s">
        <v>840</v>
      </c>
      <c r="K592" s="26">
        <v>2.5000000000000001E-2</v>
      </c>
      <c r="L592" s="26">
        <v>2.5000000000000001E-2</v>
      </c>
      <c r="M592" s="26">
        <v>2.5000000000000001E-2</v>
      </c>
      <c r="N592" s="26">
        <v>2.5000000000000001E-2</v>
      </c>
      <c r="O592" s="26">
        <v>2.5000000000000001E-2</v>
      </c>
      <c r="P592" s="26">
        <v>2.5000000000000001E-2</v>
      </c>
      <c r="Q592" s="26">
        <v>2.5000000000000001E-2</v>
      </c>
      <c r="R592" s="26">
        <v>2.5000000000000001E-2</v>
      </c>
      <c r="S592" s="26">
        <v>2.5000000000000001E-2</v>
      </c>
      <c r="T592" s="26">
        <v>2.5000000000000001E-2</v>
      </c>
      <c r="U592" s="26">
        <v>2.5000000000000001E-2</v>
      </c>
      <c r="V592" s="26">
        <v>2.5000000000000001E-2</v>
      </c>
      <c r="W592" s="26">
        <v>2.5000000000000001E-2</v>
      </c>
    </row>
    <row r="593" spans="3:23" outlineLevel="3"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</row>
    <row r="594" spans="3:23" outlineLevel="3"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</row>
    <row r="595" spans="3:23" outlineLevel="3"/>
    <row r="596" spans="3:23" outlineLevel="3">
      <c r="C596" s="407" t="s">
        <v>870</v>
      </c>
      <c r="G596" s="6">
        <f>$G$32</f>
        <v>1</v>
      </c>
      <c r="J596" s="20">
        <f>INDEX(K596:P596,,$G596)</f>
        <v>0.55135566199999997</v>
      </c>
      <c r="K596" s="19">
        <v>0.55135566199999997</v>
      </c>
      <c r="L596" s="19"/>
      <c r="M596" s="19"/>
      <c r="N596" s="19"/>
      <c r="O596" s="19"/>
      <c r="P596" s="19"/>
    </row>
    <row r="597" spans="3:23" outlineLevel="3"/>
    <row r="598" spans="3:23" outlineLevel="3">
      <c r="C598" s="407" t="s">
        <v>851</v>
      </c>
      <c r="G598" s="6">
        <f>$G$32</f>
        <v>1</v>
      </c>
      <c r="H598" s="17" t="s">
        <v>325</v>
      </c>
      <c r="I598" s="17"/>
      <c r="K598" s="36">
        <f>INDEX(K599:K601,$G598,0)</f>
        <v>0.03</v>
      </c>
      <c r="L598" s="36">
        <f t="shared" ref="L598:T598" si="99">INDEX(L599:L601,$G598,0)</f>
        <v>0.03</v>
      </c>
      <c r="M598" s="36">
        <f t="shared" si="99"/>
        <v>0.03</v>
      </c>
      <c r="N598" s="36">
        <f t="shared" si="99"/>
        <v>0.03</v>
      </c>
      <c r="O598" s="36">
        <f t="shared" si="99"/>
        <v>0.03</v>
      </c>
      <c r="P598" s="36">
        <f t="shared" si="99"/>
        <v>0.03</v>
      </c>
      <c r="Q598" s="36">
        <f t="shared" si="99"/>
        <v>0.03</v>
      </c>
      <c r="R598" s="36">
        <f t="shared" si="99"/>
        <v>0.03</v>
      </c>
      <c r="S598" s="36">
        <f t="shared" si="99"/>
        <v>0.03</v>
      </c>
      <c r="T598" s="36">
        <f t="shared" si="99"/>
        <v>0.03</v>
      </c>
      <c r="U598" s="36">
        <f>INDEX(U599:U601,$G598,0)</f>
        <v>0.03</v>
      </c>
      <c r="V598" s="36">
        <f>INDEX(V599:V601,$G598,0)</f>
        <v>0.03</v>
      </c>
      <c r="W598" s="36">
        <f>INDEX(W599:W601,$G598,0)</f>
        <v>0.03</v>
      </c>
    </row>
    <row r="599" spans="3:23" outlineLevel="3">
      <c r="C599" s="407" t="s">
        <v>840</v>
      </c>
      <c r="K599" s="26">
        <v>0.03</v>
      </c>
      <c r="L599" s="26">
        <v>0.03</v>
      </c>
      <c r="M599" s="26">
        <v>0.03</v>
      </c>
      <c r="N599" s="26">
        <v>0.03</v>
      </c>
      <c r="O599" s="26">
        <v>0.03</v>
      </c>
      <c r="P599" s="26">
        <v>0.03</v>
      </c>
      <c r="Q599" s="26">
        <v>0.03</v>
      </c>
      <c r="R599" s="26">
        <v>0.03</v>
      </c>
      <c r="S599" s="26">
        <v>0.03</v>
      </c>
      <c r="T599" s="26">
        <v>0.03</v>
      </c>
      <c r="U599" s="26">
        <v>0.03</v>
      </c>
      <c r="V599" s="26">
        <v>0.03</v>
      </c>
      <c r="W599" s="26">
        <v>0.03</v>
      </c>
    </row>
    <row r="600" spans="3:23" outlineLevel="3"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</row>
    <row r="601" spans="3:23" outlineLevel="3"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</row>
    <row r="602" spans="3:23" outlineLevel="3"/>
    <row r="603" spans="3:23" outlineLevel="3">
      <c r="C603" s="407" t="s">
        <v>870</v>
      </c>
      <c r="G603" s="6">
        <f>$G$32</f>
        <v>1</v>
      </c>
      <c r="J603" s="20">
        <f>INDEX(K603:P603,,$G603)</f>
        <v>0.41230965056000002</v>
      </c>
      <c r="K603" s="19">
        <v>0.41230965056000002</v>
      </c>
      <c r="L603" s="19"/>
      <c r="M603" s="19"/>
      <c r="N603" s="19"/>
      <c r="O603" s="19"/>
      <c r="P603" s="19"/>
    </row>
    <row r="604" spans="3:23" outlineLevel="3"/>
    <row r="605" spans="3:23" outlineLevel="3">
      <c r="C605" s="407" t="s">
        <v>848</v>
      </c>
      <c r="G605" s="6">
        <f>$G$32</f>
        <v>1</v>
      </c>
      <c r="H605" s="17" t="s">
        <v>325</v>
      </c>
      <c r="I605" s="17"/>
      <c r="K605" s="36">
        <f>INDEX(K606:K608,$G605,0)</f>
        <v>0.03</v>
      </c>
      <c r="L605" s="36">
        <f t="shared" ref="L605:T605" si="100">INDEX(L606:L608,$G605,0)</f>
        <v>0.03</v>
      </c>
      <c r="M605" s="36">
        <f t="shared" si="100"/>
        <v>0.03</v>
      </c>
      <c r="N605" s="36">
        <f t="shared" si="100"/>
        <v>0.03</v>
      </c>
      <c r="O605" s="36">
        <f t="shared" si="100"/>
        <v>0.03</v>
      </c>
      <c r="P605" s="36">
        <f t="shared" si="100"/>
        <v>0.03</v>
      </c>
      <c r="Q605" s="36">
        <f t="shared" si="100"/>
        <v>0.03</v>
      </c>
      <c r="R605" s="36">
        <f t="shared" si="100"/>
        <v>0.03</v>
      </c>
      <c r="S605" s="36">
        <f t="shared" si="100"/>
        <v>0.03</v>
      </c>
      <c r="T605" s="36">
        <f t="shared" si="100"/>
        <v>0.03</v>
      </c>
      <c r="U605" s="36">
        <f>INDEX(U606:U608,$G605,0)</f>
        <v>0.03</v>
      </c>
      <c r="V605" s="36">
        <f>INDEX(V606:V608,$G605,0)</f>
        <v>0.03</v>
      </c>
      <c r="W605" s="36">
        <f>INDEX(W606:W608,$G605,0)</f>
        <v>0.03</v>
      </c>
    </row>
    <row r="606" spans="3:23" outlineLevel="3">
      <c r="C606" s="407" t="s">
        <v>840</v>
      </c>
      <c r="K606" s="26">
        <v>0.03</v>
      </c>
      <c r="L606" s="26">
        <v>0.03</v>
      </c>
      <c r="M606" s="26">
        <v>0.03</v>
      </c>
      <c r="N606" s="26">
        <v>0.03</v>
      </c>
      <c r="O606" s="26">
        <v>0.03</v>
      </c>
      <c r="P606" s="26">
        <v>0.03</v>
      </c>
      <c r="Q606" s="26">
        <v>0.03</v>
      </c>
      <c r="R606" s="26">
        <v>0.03</v>
      </c>
      <c r="S606" s="26">
        <v>0.03</v>
      </c>
      <c r="T606" s="26">
        <v>0.03</v>
      </c>
      <c r="U606" s="26">
        <v>0.03</v>
      </c>
      <c r="V606" s="26">
        <v>0.03</v>
      </c>
      <c r="W606" s="26">
        <v>0.03</v>
      </c>
    </row>
    <row r="607" spans="3:23" outlineLevel="3"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</row>
    <row r="608" spans="3:23" outlineLevel="3"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</row>
    <row r="609" spans="3:23" outlineLevel="3"/>
    <row r="610" spans="3:23" outlineLevel="3">
      <c r="C610" s="407" t="s">
        <v>870</v>
      </c>
      <c r="G610" s="6">
        <f>$G$32</f>
        <v>1</v>
      </c>
      <c r="J610" s="20">
        <f>INDEX(K610:P610,,$G610)</f>
        <v>0.28658186343999997</v>
      </c>
      <c r="K610" s="19">
        <v>0.28658186343999997</v>
      </c>
      <c r="L610" s="19"/>
      <c r="M610" s="19"/>
      <c r="N610" s="19"/>
      <c r="O610" s="19"/>
      <c r="P610" s="19"/>
    </row>
    <row r="611" spans="3:23" outlineLevel="3"/>
    <row r="612" spans="3:23" outlineLevel="3">
      <c r="C612" s="407" t="s">
        <v>849</v>
      </c>
      <c r="G612" s="6">
        <f>$G$32</f>
        <v>1</v>
      </c>
      <c r="H612" s="17" t="s">
        <v>325</v>
      </c>
      <c r="I612" s="17"/>
      <c r="K612" s="36">
        <f>INDEX(K613:K615,$G612,0)</f>
        <v>3.5000000000000003E-2</v>
      </c>
      <c r="L612" s="36">
        <f t="shared" ref="L612:T612" si="101">INDEX(L613:L615,$G612,0)</f>
        <v>3.5000000000000003E-2</v>
      </c>
      <c r="M612" s="36">
        <f t="shared" si="101"/>
        <v>3.5000000000000003E-2</v>
      </c>
      <c r="N612" s="36">
        <f t="shared" si="101"/>
        <v>3.5000000000000003E-2</v>
      </c>
      <c r="O612" s="36">
        <f t="shared" si="101"/>
        <v>3.5000000000000003E-2</v>
      </c>
      <c r="P612" s="36">
        <f t="shared" si="101"/>
        <v>3.5000000000000003E-2</v>
      </c>
      <c r="Q612" s="36">
        <f t="shared" si="101"/>
        <v>3.5000000000000003E-2</v>
      </c>
      <c r="R612" s="36">
        <f t="shared" si="101"/>
        <v>3.5000000000000003E-2</v>
      </c>
      <c r="S612" s="36">
        <f t="shared" si="101"/>
        <v>3.5000000000000003E-2</v>
      </c>
      <c r="T612" s="36">
        <f t="shared" si="101"/>
        <v>3.5000000000000003E-2</v>
      </c>
      <c r="U612" s="36">
        <f>INDEX(U613:U615,$G612,0)</f>
        <v>3.5000000000000003E-2</v>
      </c>
      <c r="V612" s="36">
        <f>INDEX(V613:V615,$G612,0)</f>
        <v>3.5000000000000003E-2</v>
      </c>
      <c r="W612" s="36">
        <f>INDEX(W613:W615,$G612,0)</f>
        <v>3.5000000000000003E-2</v>
      </c>
    </row>
    <row r="613" spans="3:23" outlineLevel="3">
      <c r="C613" s="407" t="s">
        <v>840</v>
      </c>
      <c r="K613" s="26">
        <v>3.5000000000000003E-2</v>
      </c>
      <c r="L613" s="26">
        <v>3.5000000000000003E-2</v>
      </c>
      <c r="M613" s="26">
        <v>3.5000000000000003E-2</v>
      </c>
      <c r="N613" s="26">
        <v>3.5000000000000003E-2</v>
      </c>
      <c r="O613" s="26">
        <v>3.5000000000000003E-2</v>
      </c>
      <c r="P613" s="26">
        <v>3.5000000000000003E-2</v>
      </c>
      <c r="Q613" s="26">
        <v>3.5000000000000003E-2</v>
      </c>
      <c r="R613" s="26">
        <v>3.5000000000000003E-2</v>
      </c>
      <c r="S613" s="26">
        <v>3.5000000000000003E-2</v>
      </c>
      <c r="T613" s="26">
        <v>3.5000000000000003E-2</v>
      </c>
      <c r="U613" s="26">
        <v>3.5000000000000003E-2</v>
      </c>
      <c r="V613" s="26">
        <v>3.5000000000000003E-2</v>
      </c>
      <c r="W613" s="26">
        <v>3.5000000000000003E-2</v>
      </c>
    </row>
    <row r="614" spans="3:23" outlineLevel="3"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</row>
    <row r="615" spans="3:23" outlineLevel="3"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</row>
    <row r="616" spans="3:23" outlineLevel="3"/>
    <row r="617" spans="3:23" outlineLevel="3">
      <c r="C617" s="407" t="s">
        <v>870</v>
      </c>
      <c r="G617" s="6">
        <f>$G$32</f>
        <v>1</v>
      </c>
      <c r="J617" s="20">
        <f>INDEX(K617:P617,,$G617)</f>
        <v>0.24542317799999999</v>
      </c>
      <c r="K617" s="19">
        <v>0.24542317799999999</v>
      </c>
      <c r="L617" s="19"/>
      <c r="M617" s="19"/>
      <c r="N617" s="19"/>
      <c r="O617" s="19"/>
      <c r="P617" s="19"/>
    </row>
    <row r="618" spans="3:23" outlineLevel="3"/>
    <row r="619" spans="3:23" outlineLevel="3">
      <c r="C619" s="407" t="s">
        <v>586</v>
      </c>
      <c r="G619" s="6">
        <f>$G$32</f>
        <v>1</v>
      </c>
      <c r="H619" s="17" t="s">
        <v>892</v>
      </c>
      <c r="I619" s="17"/>
      <c r="K619" s="36">
        <f>INDEX(K620:K622,$G619,0)</f>
        <v>0</v>
      </c>
      <c r="L619" s="36">
        <f t="shared" ref="L619:T619" si="102">INDEX(L620:L622,$G619,0)</f>
        <v>0</v>
      </c>
      <c r="M619" s="36">
        <f t="shared" si="102"/>
        <v>2E-3</v>
      </c>
      <c r="N619" s="36">
        <f t="shared" si="102"/>
        <v>2E-3</v>
      </c>
      <c r="O619" s="36">
        <f t="shared" si="102"/>
        <v>2E-3</v>
      </c>
      <c r="P619" s="36">
        <f t="shared" si="102"/>
        <v>2E-3</v>
      </c>
      <c r="Q619" s="36">
        <f t="shared" si="102"/>
        <v>2E-3</v>
      </c>
      <c r="R619" s="36">
        <f t="shared" si="102"/>
        <v>2E-3</v>
      </c>
      <c r="S619" s="36">
        <f t="shared" si="102"/>
        <v>2E-3</v>
      </c>
      <c r="T619" s="36">
        <f t="shared" si="102"/>
        <v>2E-3</v>
      </c>
      <c r="U619" s="36">
        <f>INDEX(U620:U622,$G619,0)</f>
        <v>2E-3</v>
      </c>
      <c r="V619" s="36">
        <f>INDEX(V620:V622,$G619,0)</f>
        <v>2E-3</v>
      </c>
      <c r="W619" s="36">
        <f>INDEX(W620:W622,$G619,0)</f>
        <v>2E-3</v>
      </c>
    </row>
    <row r="620" spans="3:23" outlineLevel="3">
      <c r="C620" s="407" t="s">
        <v>840</v>
      </c>
      <c r="K620" s="26"/>
      <c r="L620" s="26"/>
      <c r="M620" s="26">
        <v>2E-3</v>
      </c>
      <c r="N620" s="26">
        <v>2E-3</v>
      </c>
      <c r="O620" s="26">
        <v>2E-3</v>
      </c>
      <c r="P620" s="26">
        <v>2E-3</v>
      </c>
      <c r="Q620" s="26">
        <v>2E-3</v>
      </c>
      <c r="R620" s="26">
        <v>2E-3</v>
      </c>
      <c r="S620" s="26">
        <v>2E-3</v>
      </c>
      <c r="T620" s="26">
        <v>2E-3</v>
      </c>
      <c r="U620" s="26">
        <v>2E-3</v>
      </c>
      <c r="V620" s="26">
        <v>2E-3</v>
      </c>
      <c r="W620" s="26">
        <v>2E-3</v>
      </c>
    </row>
    <row r="621" spans="3:23" outlineLevel="3"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</row>
    <row r="622" spans="3:23" outlineLevel="3"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</row>
    <row r="623" spans="3:23" outlineLevel="3"/>
    <row r="624" spans="3:23" outlineLevel="3">
      <c r="C624" s="407" t="s">
        <v>893</v>
      </c>
      <c r="G624" s="6">
        <f>$G$32</f>
        <v>1</v>
      </c>
      <c r="J624" s="20">
        <f>INDEX(K624:P624,,$G624)</f>
        <v>5.7151225E-2</v>
      </c>
      <c r="K624" s="19">
        <v>5.7151225E-2</v>
      </c>
      <c r="L624" s="19"/>
      <c r="M624" s="19"/>
      <c r="N624" s="19"/>
      <c r="O624" s="19"/>
      <c r="P624" s="19"/>
    </row>
    <row r="625" spans="3:23" outlineLevel="3"/>
    <row r="626" spans="3:23" outlineLevel="3">
      <c r="C626" s="407" t="s">
        <v>850</v>
      </c>
      <c r="G626" s="6">
        <f>$G$32</f>
        <v>1</v>
      </c>
      <c r="H626" s="17" t="s">
        <v>325</v>
      </c>
      <c r="I626" s="17"/>
      <c r="K626" s="36">
        <f>INDEX(K627:K629,$G626,0)</f>
        <v>3.5000000000000003E-2</v>
      </c>
      <c r="L626" s="36">
        <f t="shared" ref="L626:T626" si="103">INDEX(L627:L629,$G626,0)</f>
        <v>3.5000000000000003E-2</v>
      </c>
      <c r="M626" s="36">
        <f t="shared" si="103"/>
        <v>3.5000000000000003E-2</v>
      </c>
      <c r="N626" s="36">
        <f t="shared" si="103"/>
        <v>3.5000000000000003E-2</v>
      </c>
      <c r="O626" s="36">
        <f t="shared" si="103"/>
        <v>3.5000000000000003E-2</v>
      </c>
      <c r="P626" s="36">
        <f t="shared" si="103"/>
        <v>3.5000000000000003E-2</v>
      </c>
      <c r="Q626" s="36">
        <f t="shared" si="103"/>
        <v>3.5000000000000003E-2</v>
      </c>
      <c r="R626" s="36">
        <f t="shared" si="103"/>
        <v>3.5000000000000003E-2</v>
      </c>
      <c r="S626" s="36">
        <f t="shared" si="103"/>
        <v>3.5000000000000003E-2</v>
      </c>
      <c r="T626" s="36">
        <f t="shared" si="103"/>
        <v>3.5000000000000003E-2</v>
      </c>
      <c r="U626" s="36">
        <f>INDEX(U627:U629,$G626,0)</f>
        <v>3.5000000000000003E-2</v>
      </c>
      <c r="V626" s="36">
        <f>INDEX(V627:V629,$G626,0)</f>
        <v>3.5000000000000003E-2</v>
      </c>
      <c r="W626" s="36">
        <f>INDEX(W627:W629,$G626,0)</f>
        <v>3.5000000000000003E-2</v>
      </c>
    </row>
    <row r="627" spans="3:23" outlineLevel="3">
      <c r="C627" s="407" t="s">
        <v>840</v>
      </c>
      <c r="K627" s="26">
        <v>3.5000000000000003E-2</v>
      </c>
      <c r="L627" s="26">
        <v>3.5000000000000003E-2</v>
      </c>
      <c r="M627" s="26">
        <v>3.5000000000000003E-2</v>
      </c>
      <c r="N627" s="26">
        <v>3.5000000000000003E-2</v>
      </c>
      <c r="O627" s="26">
        <v>3.5000000000000003E-2</v>
      </c>
      <c r="P627" s="26">
        <v>3.5000000000000003E-2</v>
      </c>
      <c r="Q627" s="26">
        <v>3.5000000000000003E-2</v>
      </c>
      <c r="R627" s="26">
        <v>3.5000000000000003E-2</v>
      </c>
      <c r="S627" s="26">
        <v>3.5000000000000003E-2</v>
      </c>
      <c r="T627" s="26">
        <v>3.5000000000000003E-2</v>
      </c>
      <c r="U627" s="26">
        <v>3.5000000000000003E-2</v>
      </c>
      <c r="V627" s="26">
        <v>3.5000000000000003E-2</v>
      </c>
      <c r="W627" s="26">
        <v>3.5000000000000003E-2</v>
      </c>
    </row>
    <row r="628" spans="3:23" outlineLevel="3"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</row>
    <row r="629" spans="3:23" outlineLevel="3"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</row>
    <row r="630" spans="3:23" outlineLevel="3"/>
    <row r="631" spans="3:23" outlineLevel="3">
      <c r="C631" s="407" t="s">
        <v>870</v>
      </c>
      <c r="G631" s="6">
        <f>$G$32</f>
        <v>1</v>
      </c>
      <c r="J631" s="20">
        <f>INDEX(K631:P631,,$G631)</f>
        <v>1.1599999999999999E-2</v>
      </c>
      <c r="K631" s="19">
        <v>1.1599999999999999E-2</v>
      </c>
      <c r="L631" s="19"/>
      <c r="M631" s="19"/>
      <c r="N631" s="19"/>
      <c r="O631" s="19"/>
      <c r="P631" s="19"/>
    </row>
    <row r="632" spans="3:23" outlineLevel="3"/>
    <row r="633" spans="3:23" ht="23.25" outlineLevel="3">
      <c r="C633" s="61" t="s">
        <v>852</v>
      </c>
    </row>
    <row r="634" spans="3:23" outlineLevel="3"/>
    <row r="635" spans="3:23" ht="15.75" outlineLevel="3">
      <c r="C635" s="15" t="s">
        <v>853</v>
      </c>
    </row>
    <row r="636" spans="3:23" ht="15.75" outlineLevel="3">
      <c r="C636" s="15"/>
    </row>
    <row r="637" spans="3:23" outlineLevel="3">
      <c r="C637" t="s">
        <v>854</v>
      </c>
      <c r="G637" s="6">
        <f t="shared" ref="G637:G645" si="104">$G$32</f>
        <v>1</v>
      </c>
      <c r="H637" s="17" t="s">
        <v>315</v>
      </c>
      <c r="J637" s="62">
        <f t="shared" ref="J637:J645" si="105">INDEX(K637:P637,,$G637)</f>
        <v>1.7023670040000001</v>
      </c>
      <c r="K637" s="63">
        <v>1.7023670040000001</v>
      </c>
      <c r="L637" s="19"/>
      <c r="M637" s="19"/>
      <c r="N637" s="19"/>
      <c r="O637" s="19"/>
      <c r="P637" s="19"/>
    </row>
    <row r="638" spans="3:23" outlineLevel="3">
      <c r="C638" t="s">
        <v>858</v>
      </c>
      <c r="G638" s="6">
        <f t="shared" si="104"/>
        <v>1</v>
      </c>
      <c r="H638" s="17" t="s">
        <v>315</v>
      </c>
      <c r="J638" s="62">
        <f t="shared" si="105"/>
        <v>0.25867063399000001</v>
      </c>
      <c r="K638" s="63">
        <v>0.25867063399000001</v>
      </c>
      <c r="L638" s="19"/>
      <c r="M638" s="19"/>
      <c r="N638" s="19"/>
      <c r="O638" s="19"/>
      <c r="P638" s="19"/>
    </row>
    <row r="639" spans="3:23" outlineLevel="3">
      <c r="C639" t="s">
        <v>857</v>
      </c>
      <c r="G639" s="6">
        <f t="shared" si="104"/>
        <v>1</v>
      </c>
      <c r="H639" s="17" t="s">
        <v>315</v>
      </c>
      <c r="J639" s="62">
        <f t="shared" si="105"/>
        <v>0.23960182307999997</v>
      </c>
      <c r="K639" s="63">
        <v>0.23960182307999997</v>
      </c>
      <c r="L639" s="19"/>
      <c r="M639" s="19"/>
      <c r="N639" s="19"/>
      <c r="O639" s="19"/>
      <c r="P639" s="19"/>
    </row>
    <row r="640" spans="3:23" outlineLevel="3">
      <c r="C640" t="s">
        <v>864</v>
      </c>
      <c r="G640" s="6">
        <f t="shared" si="104"/>
        <v>1</v>
      </c>
      <c r="H640" s="17" t="s">
        <v>315</v>
      </c>
      <c r="J640" s="62">
        <f t="shared" si="105"/>
        <v>0.17580518881999999</v>
      </c>
      <c r="K640" s="63">
        <v>0.17580518881999999</v>
      </c>
      <c r="L640" s="19"/>
      <c r="M640" s="19"/>
      <c r="N640" s="19"/>
      <c r="O640" s="19"/>
      <c r="P640" s="19"/>
    </row>
    <row r="641" spans="3:23" outlineLevel="3">
      <c r="C641" t="s">
        <v>860</v>
      </c>
      <c r="G641" s="6">
        <f t="shared" si="104"/>
        <v>1</v>
      </c>
      <c r="H641" s="17" t="s">
        <v>315</v>
      </c>
      <c r="J641" s="62">
        <f t="shared" si="105"/>
        <v>0.14777611399999999</v>
      </c>
      <c r="K641" s="63">
        <v>0.14777611399999999</v>
      </c>
      <c r="L641" s="19"/>
      <c r="M641" s="19"/>
      <c r="N641" s="19"/>
      <c r="O641" s="19"/>
      <c r="P641" s="19"/>
    </row>
    <row r="642" spans="3:23" outlineLevel="3">
      <c r="C642" t="s">
        <v>862</v>
      </c>
      <c r="G642" s="6">
        <f t="shared" si="104"/>
        <v>1</v>
      </c>
      <c r="H642" s="17" t="s">
        <v>315</v>
      </c>
      <c r="J642" s="62">
        <f t="shared" si="105"/>
        <v>0.146392455</v>
      </c>
      <c r="K642" s="63">
        <v>0.146392455</v>
      </c>
      <c r="L642" s="19"/>
      <c r="M642" s="19"/>
      <c r="N642" s="19"/>
      <c r="O642" s="19"/>
      <c r="P642" s="19"/>
    </row>
    <row r="643" spans="3:23" outlineLevel="3">
      <c r="C643" t="s">
        <v>855</v>
      </c>
      <c r="G643" s="6">
        <f t="shared" si="104"/>
        <v>1</v>
      </c>
      <c r="H643" s="17" t="s">
        <v>315</v>
      </c>
      <c r="J643" s="62">
        <f t="shared" si="105"/>
        <v>0.14099321300000001</v>
      </c>
      <c r="K643" s="63">
        <v>0.14099321300000001</v>
      </c>
      <c r="L643" s="19"/>
      <c r="M643" s="19"/>
      <c r="N643" s="19"/>
      <c r="O643" s="19"/>
      <c r="P643" s="19"/>
    </row>
    <row r="644" spans="3:23" outlineLevel="3">
      <c r="C644" t="s">
        <v>863</v>
      </c>
      <c r="G644" s="6">
        <f t="shared" si="104"/>
        <v>1</v>
      </c>
      <c r="H644" s="17" t="s">
        <v>315</v>
      </c>
      <c r="J644" s="62">
        <f t="shared" si="105"/>
        <v>0.13922671138000001</v>
      </c>
      <c r="K644" s="63">
        <v>0.13922671138000001</v>
      </c>
      <c r="L644" s="19"/>
      <c r="M644" s="19"/>
      <c r="N644" s="19"/>
      <c r="O644" s="19"/>
      <c r="P644" s="19"/>
    </row>
    <row r="645" spans="3:23" outlineLevel="3">
      <c r="C645" t="s">
        <v>894</v>
      </c>
      <c r="G645" s="6">
        <f t="shared" si="104"/>
        <v>1</v>
      </c>
      <c r="H645" s="17" t="s">
        <v>315</v>
      </c>
      <c r="J645" s="62">
        <f t="shared" si="105"/>
        <v>3.6134991999999998E-2</v>
      </c>
      <c r="K645" s="63">
        <v>3.6134991999999998E-2</v>
      </c>
      <c r="L645" s="19"/>
      <c r="M645" s="19"/>
      <c r="N645" s="19"/>
      <c r="O645" s="19"/>
      <c r="P645" s="19"/>
    </row>
    <row r="646" spans="3:23" outlineLevel="3"/>
    <row r="647" spans="3:23" outlineLevel="3"/>
    <row r="648" spans="3:23" ht="15.75" outlineLevel="3">
      <c r="C648" s="15" t="s">
        <v>866</v>
      </c>
    </row>
    <row r="649" spans="3:23" outlineLevel="3">
      <c r="C649" s="407" t="s">
        <v>854</v>
      </c>
      <c r="G649" s="6">
        <f>$G$32</f>
        <v>1</v>
      </c>
      <c r="H649" s="17" t="s">
        <v>325</v>
      </c>
      <c r="I649" s="17"/>
      <c r="K649" s="36">
        <f>INDEX(K650:K652,$G649,0)</f>
        <v>0.03</v>
      </c>
      <c r="L649" s="36">
        <f t="shared" ref="L649:T649" si="106">INDEX(L650:L652,$G649,0)</f>
        <v>0.03</v>
      </c>
      <c r="M649" s="36">
        <f t="shared" si="106"/>
        <v>0.03</v>
      </c>
      <c r="N649" s="36">
        <f t="shared" si="106"/>
        <v>0.03</v>
      </c>
      <c r="O649" s="36">
        <f t="shared" si="106"/>
        <v>0.03</v>
      </c>
      <c r="P649" s="36">
        <f t="shared" si="106"/>
        <v>0.03</v>
      </c>
      <c r="Q649" s="36">
        <f t="shared" si="106"/>
        <v>0.03</v>
      </c>
      <c r="R649" s="36">
        <f t="shared" si="106"/>
        <v>0.03</v>
      </c>
      <c r="S649" s="36">
        <f t="shared" si="106"/>
        <v>0.03</v>
      </c>
      <c r="T649" s="36">
        <f t="shared" si="106"/>
        <v>0.03</v>
      </c>
      <c r="U649" s="36">
        <f>INDEX(U650:U652,$G649,0)</f>
        <v>0.03</v>
      </c>
      <c r="V649" s="36">
        <f>INDEX(V650:V652,$G649,0)</f>
        <v>0.03</v>
      </c>
      <c r="W649" s="36">
        <f>INDEX(W650:W652,$G649,0)</f>
        <v>0.03</v>
      </c>
    </row>
    <row r="650" spans="3:23" outlineLevel="3">
      <c r="C650" s="407" t="s">
        <v>840</v>
      </c>
      <c r="K650" s="26">
        <v>0.03</v>
      </c>
      <c r="L650" s="26">
        <v>0.03</v>
      </c>
      <c r="M650" s="26">
        <v>0.03</v>
      </c>
      <c r="N650" s="26">
        <v>0.03</v>
      </c>
      <c r="O650" s="26">
        <v>0.03</v>
      </c>
      <c r="P650" s="26">
        <v>0.03</v>
      </c>
      <c r="Q650" s="26">
        <v>0.03</v>
      </c>
      <c r="R650" s="26">
        <v>0.03</v>
      </c>
      <c r="S650" s="26">
        <v>0.03</v>
      </c>
      <c r="T650" s="26">
        <v>0.03</v>
      </c>
      <c r="U650" s="26">
        <v>0.03</v>
      </c>
      <c r="V650" s="26">
        <v>0.03</v>
      </c>
      <c r="W650" s="26">
        <v>0.03</v>
      </c>
    </row>
    <row r="651" spans="3:23" outlineLevel="3"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</row>
    <row r="652" spans="3:23" outlineLevel="3"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</row>
    <row r="653" spans="3:23" ht="23.25" outlineLevel="3">
      <c r="C653" s="61"/>
    </row>
    <row r="654" spans="3:23" outlineLevel="3">
      <c r="C654" s="407" t="s">
        <v>858</v>
      </c>
      <c r="G654" s="6">
        <f>$G$32</f>
        <v>1</v>
      </c>
      <c r="H654" s="17" t="s">
        <v>325</v>
      </c>
      <c r="I654" s="17"/>
      <c r="K654" s="36">
        <f>INDEX(K655:K657,$G654,0)</f>
        <v>0.02</v>
      </c>
      <c r="L654" s="36">
        <f t="shared" ref="L654:T654" si="107">INDEX(L655:L657,$G654,0)</f>
        <v>0.02</v>
      </c>
      <c r="M654" s="36">
        <f t="shared" si="107"/>
        <v>0.02</v>
      </c>
      <c r="N654" s="36">
        <f t="shared" si="107"/>
        <v>0.02</v>
      </c>
      <c r="O654" s="36">
        <f t="shared" si="107"/>
        <v>0.02</v>
      </c>
      <c r="P654" s="36">
        <f t="shared" si="107"/>
        <v>0.02</v>
      </c>
      <c r="Q654" s="36">
        <f t="shared" si="107"/>
        <v>0.02</v>
      </c>
      <c r="R654" s="36">
        <f t="shared" si="107"/>
        <v>0.02</v>
      </c>
      <c r="S654" s="36">
        <f t="shared" si="107"/>
        <v>0.02</v>
      </c>
      <c r="T654" s="36">
        <f t="shared" si="107"/>
        <v>0.02</v>
      </c>
      <c r="U654" s="36">
        <f>INDEX(U655:U657,$G654,0)</f>
        <v>0.02</v>
      </c>
      <c r="V654" s="36">
        <f>INDEX(V655:V657,$G654,0)</f>
        <v>0.02</v>
      </c>
      <c r="W654" s="36">
        <f>INDEX(W655:W657,$G654,0)</f>
        <v>0.02</v>
      </c>
    </row>
    <row r="655" spans="3:23" outlineLevel="3">
      <c r="C655" s="407" t="s">
        <v>840</v>
      </c>
      <c r="K655" s="26">
        <v>0.02</v>
      </c>
      <c r="L655" s="26">
        <v>0.02</v>
      </c>
      <c r="M655" s="26">
        <v>0.02</v>
      </c>
      <c r="N655" s="26">
        <v>0.02</v>
      </c>
      <c r="O655" s="26">
        <v>0.02</v>
      </c>
      <c r="P655" s="26">
        <v>0.02</v>
      </c>
      <c r="Q655" s="26">
        <v>0.02</v>
      </c>
      <c r="R655" s="26">
        <v>0.02</v>
      </c>
      <c r="S655" s="26">
        <v>0.02</v>
      </c>
      <c r="T655" s="26">
        <v>0.02</v>
      </c>
      <c r="U655" s="26">
        <v>0.02</v>
      </c>
      <c r="V655" s="26">
        <v>0.02</v>
      </c>
      <c r="W655" s="26">
        <v>0.02</v>
      </c>
    </row>
    <row r="656" spans="3:23" outlineLevel="3"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</row>
    <row r="657" spans="3:23" outlineLevel="3"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</row>
    <row r="658" spans="3:23" ht="23.25" outlineLevel="3">
      <c r="C658" s="61"/>
    </row>
    <row r="659" spans="3:23" outlineLevel="3">
      <c r="C659" s="407" t="s">
        <v>857</v>
      </c>
      <c r="G659" s="6">
        <f>$G$32</f>
        <v>1</v>
      </c>
      <c r="H659" s="17" t="s">
        <v>325</v>
      </c>
      <c r="I659" s="17"/>
      <c r="K659" s="36">
        <f>INDEX(K660:K662,$G659,0)</f>
        <v>0.03</v>
      </c>
      <c r="L659" s="36">
        <f t="shared" ref="L659:T659" si="108">INDEX(L660:L662,$G659,0)</f>
        <v>0.03</v>
      </c>
      <c r="M659" s="36">
        <f t="shared" si="108"/>
        <v>0.03</v>
      </c>
      <c r="N659" s="36">
        <f t="shared" si="108"/>
        <v>0.03</v>
      </c>
      <c r="O659" s="36">
        <f t="shared" si="108"/>
        <v>0.03</v>
      </c>
      <c r="P659" s="36">
        <f t="shared" si="108"/>
        <v>0.03</v>
      </c>
      <c r="Q659" s="36">
        <f t="shared" si="108"/>
        <v>0.03</v>
      </c>
      <c r="R659" s="36">
        <f t="shared" si="108"/>
        <v>0.03</v>
      </c>
      <c r="S659" s="36">
        <f t="shared" si="108"/>
        <v>0.03</v>
      </c>
      <c r="T659" s="36">
        <f t="shared" si="108"/>
        <v>0.03</v>
      </c>
      <c r="U659" s="36">
        <f>INDEX(U660:U662,$G659,0)</f>
        <v>0.03</v>
      </c>
      <c r="V659" s="36">
        <f>INDEX(V660:V662,$G659,0)</f>
        <v>0.03</v>
      </c>
      <c r="W659" s="36">
        <f>INDEX(W660:W662,$G659,0)</f>
        <v>0.03</v>
      </c>
    </row>
    <row r="660" spans="3:23" outlineLevel="3">
      <c r="C660" s="407" t="s">
        <v>840</v>
      </c>
      <c r="K660" s="26">
        <v>0.03</v>
      </c>
      <c r="L660" s="26">
        <v>0.03</v>
      </c>
      <c r="M660" s="26">
        <v>0.03</v>
      </c>
      <c r="N660" s="26">
        <v>0.03</v>
      </c>
      <c r="O660" s="26">
        <v>0.03</v>
      </c>
      <c r="P660" s="26">
        <v>0.03</v>
      </c>
      <c r="Q660" s="26">
        <v>0.03</v>
      </c>
      <c r="R660" s="26">
        <v>0.03</v>
      </c>
      <c r="S660" s="26">
        <v>0.03</v>
      </c>
      <c r="T660" s="26">
        <v>0.03</v>
      </c>
      <c r="U660" s="26">
        <v>0.03</v>
      </c>
      <c r="V660" s="26">
        <v>0.03</v>
      </c>
      <c r="W660" s="26">
        <v>0.03</v>
      </c>
    </row>
    <row r="661" spans="3:23" outlineLevel="3"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</row>
    <row r="662" spans="3:23" outlineLevel="3"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</row>
    <row r="663" spans="3:23" ht="23.25" outlineLevel="3">
      <c r="C663" s="61"/>
    </row>
    <row r="664" spans="3:23" ht="23.25" outlineLevel="3">
      <c r="C664" s="61"/>
    </row>
    <row r="665" spans="3:23" outlineLevel="3">
      <c r="C665" s="407" t="s">
        <v>864</v>
      </c>
      <c r="G665" s="6">
        <f>$G$32</f>
        <v>1</v>
      </c>
      <c r="H665" s="17" t="s">
        <v>325</v>
      </c>
      <c r="I665" s="17"/>
      <c r="K665" s="36">
        <f>INDEX(K666:K668,$G665,0)</f>
        <v>0.03</v>
      </c>
      <c r="L665" s="36">
        <f t="shared" ref="L665:T665" si="109">INDEX(L666:L668,$G665,0)</f>
        <v>0.03</v>
      </c>
      <c r="M665" s="36">
        <f t="shared" si="109"/>
        <v>0.03</v>
      </c>
      <c r="N665" s="36">
        <f t="shared" si="109"/>
        <v>0.03</v>
      </c>
      <c r="O665" s="36">
        <f t="shared" si="109"/>
        <v>0.03</v>
      </c>
      <c r="P665" s="36">
        <f t="shared" si="109"/>
        <v>0.03</v>
      </c>
      <c r="Q665" s="36">
        <f t="shared" si="109"/>
        <v>0.03</v>
      </c>
      <c r="R665" s="36">
        <f t="shared" si="109"/>
        <v>0.03</v>
      </c>
      <c r="S665" s="36">
        <f t="shared" si="109"/>
        <v>0.03</v>
      </c>
      <c r="T665" s="36">
        <f t="shared" si="109"/>
        <v>0.03</v>
      </c>
      <c r="U665" s="36">
        <f>INDEX(U666:U668,$G665,0)</f>
        <v>0.03</v>
      </c>
      <c r="V665" s="36">
        <f>INDEX(V666:V668,$G665,0)</f>
        <v>0.03</v>
      </c>
      <c r="W665" s="36">
        <f>INDEX(W666:W668,$G665,0)</f>
        <v>0.03</v>
      </c>
    </row>
    <row r="666" spans="3:23" outlineLevel="3">
      <c r="C666" s="407" t="s">
        <v>840</v>
      </c>
      <c r="K666" s="26">
        <v>0.03</v>
      </c>
      <c r="L666" s="26">
        <v>0.03</v>
      </c>
      <c r="M666" s="26">
        <v>0.03</v>
      </c>
      <c r="N666" s="26">
        <v>0.03</v>
      </c>
      <c r="O666" s="26">
        <v>0.03</v>
      </c>
      <c r="P666" s="26">
        <v>0.03</v>
      </c>
      <c r="Q666" s="26">
        <v>0.03</v>
      </c>
      <c r="R666" s="26">
        <v>0.03</v>
      </c>
      <c r="S666" s="26">
        <v>0.03</v>
      </c>
      <c r="T666" s="26">
        <v>0.03</v>
      </c>
      <c r="U666" s="26">
        <v>0.03</v>
      </c>
      <c r="V666" s="26">
        <v>0.03</v>
      </c>
      <c r="W666" s="26">
        <v>0.03</v>
      </c>
    </row>
    <row r="667" spans="3:23" outlineLevel="3"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</row>
    <row r="668" spans="3:23" outlineLevel="3"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</row>
    <row r="669" spans="3:23" outlineLevel="3"/>
    <row r="670" spans="3:23" outlineLevel="3">
      <c r="C670" s="407" t="s">
        <v>860</v>
      </c>
      <c r="G670" s="6">
        <f>$G$32</f>
        <v>1</v>
      </c>
      <c r="H670" s="17" t="s">
        <v>325</v>
      </c>
      <c r="I670" s="17"/>
      <c r="K670" s="36">
        <f>INDEX(K671:K673,$G670,0)</f>
        <v>0.02</v>
      </c>
      <c r="L670" s="36">
        <f t="shared" ref="L670:T670" si="110">INDEX(L671:L673,$G670,0)</f>
        <v>0.02</v>
      </c>
      <c r="M670" s="36">
        <f t="shared" si="110"/>
        <v>0.02</v>
      </c>
      <c r="N670" s="36">
        <f t="shared" si="110"/>
        <v>0.02</v>
      </c>
      <c r="O670" s="36">
        <f t="shared" si="110"/>
        <v>0.02</v>
      </c>
      <c r="P670" s="36">
        <f t="shared" si="110"/>
        <v>0.02</v>
      </c>
      <c r="Q670" s="36">
        <f t="shared" si="110"/>
        <v>0.02</v>
      </c>
      <c r="R670" s="36">
        <f t="shared" si="110"/>
        <v>0.02</v>
      </c>
      <c r="S670" s="36">
        <f t="shared" si="110"/>
        <v>0.02</v>
      </c>
      <c r="T670" s="36">
        <f t="shared" si="110"/>
        <v>0.02</v>
      </c>
      <c r="U670" s="36">
        <f>INDEX(U671:U673,$G670,0)</f>
        <v>0.02</v>
      </c>
      <c r="V670" s="36">
        <f>INDEX(V671:V673,$G670,0)</f>
        <v>0.02</v>
      </c>
      <c r="W670" s="36">
        <f>INDEX(W671:W673,$G670,0)</f>
        <v>0.02</v>
      </c>
    </row>
    <row r="671" spans="3:23" outlineLevel="3">
      <c r="C671" s="407" t="s">
        <v>840</v>
      </c>
      <c r="K671" s="26">
        <v>0.02</v>
      </c>
      <c r="L671" s="26">
        <v>0.02</v>
      </c>
      <c r="M671" s="26">
        <v>0.02</v>
      </c>
      <c r="N671" s="26">
        <v>0.02</v>
      </c>
      <c r="O671" s="26">
        <v>0.02</v>
      </c>
      <c r="P671" s="26">
        <v>0.02</v>
      </c>
      <c r="Q671" s="26">
        <v>0.02</v>
      </c>
      <c r="R671" s="26">
        <v>0.02</v>
      </c>
      <c r="S671" s="26">
        <v>0.02</v>
      </c>
      <c r="T671" s="26">
        <v>0.02</v>
      </c>
      <c r="U671" s="26">
        <v>0.02</v>
      </c>
      <c r="V671" s="26">
        <v>0.02</v>
      </c>
      <c r="W671" s="26">
        <v>0.02</v>
      </c>
    </row>
    <row r="672" spans="3:23" outlineLevel="3"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</row>
    <row r="673" spans="3:23" outlineLevel="3"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</row>
    <row r="674" spans="3:23" outlineLevel="3"/>
    <row r="675" spans="3:23" outlineLevel="3">
      <c r="C675" s="407" t="s">
        <v>862</v>
      </c>
      <c r="G675" s="6">
        <f>$G$32</f>
        <v>1</v>
      </c>
      <c r="H675" s="17" t="s">
        <v>325</v>
      </c>
      <c r="I675" s="17"/>
      <c r="K675" s="36">
        <f>INDEX(K676:K678,$G675,0)</f>
        <v>0.02</v>
      </c>
      <c r="L675" s="36">
        <f t="shared" ref="L675:T675" si="111">INDEX(L676:L678,$G675,0)</f>
        <v>0.02</v>
      </c>
      <c r="M675" s="36">
        <f t="shared" si="111"/>
        <v>0.02</v>
      </c>
      <c r="N675" s="36">
        <f t="shared" si="111"/>
        <v>0.02</v>
      </c>
      <c r="O675" s="36">
        <f t="shared" si="111"/>
        <v>0.02</v>
      </c>
      <c r="P675" s="36">
        <f t="shared" si="111"/>
        <v>0.02</v>
      </c>
      <c r="Q675" s="36">
        <f t="shared" si="111"/>
        <v>0.02</v>
      </c>
      <c r="R675" s="36">
        <f t="shared" si="111"/>
        <v>0.02</v>
      </c>
      <c r="S675" s="36">
        <f t="shared" si="111"/>
        <v>0.02</v>
      </c>
      <c r="T675" s="36">
        <f t="shared" si="111"/>
        <v>0.02</v>
      </c>
      <c r="U675" s="36">
        <f>INDEX(U676:U678,$G675,0)</f>
        <v>0.02</v>
      </c>
      <c r="V675" s="36">
        <f>INDEX(V676:V678,$G675,0)</f>
        <v>0.02</v>
      </c>
      <c r="W675" s="36">
        <f>INDEX(W676:W678,$G675,0)</f>
        <v>0.02</v>
      </c>
    </row>
    <row r="676" spans="3:23" outlineLevel="3">
      <c r="C676" s="407" t="s">
        <v>840</v>
      </c>
      <c r="K676" s="26">
        <v>0.02</v>
      </c>
      <c r="L676" s="26">
        <v>0.02</v>
      </c>
      <c r="M676" s="26">
        <v>0.02</v>
      </c>
      <c r="N676" s="26">
        <v>0.02</v>
      </c>
      <c r="O676" s="26">
        <v>0.02</v>
      </c>
      <c r="P676" s="26">
        <v>0.02</v>
      </c>
      <c r="Q676" s="26">
        <v>0.02</v>
      </c>
      <c r="R676" s="26">
        <v>0.02</v>
      </c>
      <c r="S676" s="26">
        <v>0.02</v>
      </c>
      <c r="T676" s="26">
        <v>0.02</v>
      </c>
      <c r="U676" s="26">
        <v>0.02</v>
      </c>
      <c r="V676" s="26">
        <v>0.02</v>
      </c>
      <c r="W676" s="26">
        <v>0.02</v>
      </c>
    </row>
    <row r="677" spans="3:23" outlineLevel="3"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</row>
    <row r="678" spans="3:23" outlineLevel="3"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</row>
    <row r="679" spans="3:23" outlineLevel="3"/>
    <row r="680" spans="3:23" outlineLevel="3">
      <c r="C680" s="407" t="s">
        <v>855</v>
      </c>
      <c r="G680" s="6">
        <f>$G$32</f>
        <v>1</v>
      </c>
      <c r="H680" s="17" t="s">
        <v>325</v>
      </c>
      <c r="I680" s="17"/>
      <c r="K680" s="36">
        <f>INDEX(K681:K683,$G680,0)</f>
        <v>3.5000000000000003E-2</v>
      </c>
      <c r="L680" s="36">
        <f t="shared" ref="L680:T680" si="112">INDEX(L681:L683,$G680,0)</f>
        <v>3.5000000000000003E-2</v>
      </c>
      <c r="M680" s="36">
        <f t="shared" si="112"/>
        <v>3.5000000000000003E-2</v>
      </c>
      <c r="N680" s="36">
        <f t="shared" si="112"/>
        <v>3.5000000000000003E-2</v>
      </c>
      <c r="O680" s="36">
        <f t="shared" si="112"/>
        <v>3.5000000000000003E-2</v>
      </c>
      <c r="P680" s="36">
        <f t="shared" si="112"/>
        <v>3.5000000000000003E-2</v>
      </c>
      <c r="Q680" s="36">
        <f t="shared" si="112"/>
        <v>3.5000000000000003E-2</v>
      </c>
      <c r="R680" s="36">
        <f t="shared" si="112"/>
        <v>3.5000000000000003E-2</v>
      </c>
      <c r="S680" s="36">
        <f t="shared" si="112"/>
        <v>3.5000000000000003E-2</v>
      </c>
      <c r="T680" s="36">
        <f t="shared" si="112"/>
        <v>3.5000000000000003E-2</v>
      </c>
      <c r="U680" s="36">
        <f>INDEX(U681:U683,$G680,0)</f>
        <v>3.5000000000000003E-2</v>
      </c>
      <c r="V680" s="36">
        <f>INDEX(V681:V683,$G680,0)</f>
        <v>3.5000000000000003E-2</v>
      </c>
      <c r="W680" s="36">
        <f>INDEX(W681:W683,$G680,0)</f>
        <v>3.5000000000000003E-2</v>
      </c>
    </row>
    <row r="681" spans="3:23" outlineLevel="3">
      <c r="C681" s="407" t="s">
        <v>840</v>
      </c>
      <c r="K681" s="26">
        <v>3.5000000000000003E-2</v>
      </c>
      <c r="L681" s="26">
        <v>3.5000000000000003E-2</v>
      </c>
      <c r="M681" s="26">
        <v>3.5000000000000003E-2</v>
      </c>
      <c r="N681" s="26">
        <v>3.5000000000000003E-2</v>
      </c>
      <c r="O681" s="26">
        <v>3.5000000000000003E-2</v>
      </c>
      <c r="P681" s="26">
        <v>3.5000000000000003E-2</v>
      </c>
      <c r="Q681" s="26">
        <v>3.5000000000000003E-2</v>
      </c>
      <c r="R681" s="26">
        <v>3.5000000000000003E-2</v>
      </c>
      <c r="S681" s="26">
        <v>3.5000000000000003E-2</v>
      </c>
      <c r="T681" s="26">
        <v>3.5000000000000003E-2</v>
      </c>
      <c r="U681" s="26">
        <v>3.5000000000000003E-2</v>
      </c>
      <c r="V681" s="26">
        <v>3.5000000000000003E-2</v>
      </c>
      <c r="W681" s="26">
        <v>3.5000000000000003E-2</v>
      </c>
    </row>
    <row r="682" spans="3:23" outlineLevel="3"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</row>
    <row r="683" spans="3:23" outlineLevel="3"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</row>
    <row r="684" spans="3:23" outlineLevel="3"/>
    <row r="685" spans="3:23" outlineLevel="3">
      <c r="C685" s="407" t="s">
        <v>863</v>
      </c>
      <c r="G685" s="6">
        <f>$G$32</f>
        <v>1</v>
      </c>
      <c r="H685" s="17" t="s">
        <v>325</v>
      </c>
      <c r="I685" s="17"/>
      <c r="K685" s="36">
        <f>INDEX(K686:K688,$G685,0)</f>
        <v>0.03</v>
      </c>
      <c r="L685" s="36">
        <f t="shared" ref="L685:T685" si="113">INDEX(L686:L688,$G685,0)</f>
        <v>0.03</v>
      </c>
      <c r="M685" s="36">
        <f t="shared" si="113"/>
        <v>0.03</v>
      </c>
      <c r="N685" s="36">
        <f t="shared" si="113"/>
        <v>0.03</v>
      </c>
      <c r="O685" s="36">
        <f t="shared" si="113"/>
        <v>0.03</v>
      </c>
      <c r="P685" s="36">
        <f t="shared" si="113"/>
        <v>0.03</v>
      </c>
      <c r="Q685" s="36">
        <f t="shared" si="113"/>
        <v>0.03</v>
      </c>
      <c r="R685" s="36">
        <f t="shared" si="113"/>
        <v>0.03</v>
      </c>
      <c r="S685" s="36">
        <f t="shared" si="113"/>
        <v>0.03</v>
      </c>
      <c r="T685" s="36">
        <f t="shared" si="113"/>
        <v>0.03</v>
      </c>
      <c r="U685" s="36">
        <f>INDEX(U686:U688,$G685,0)</f>
        <v>0.03</v>
      </c>
      <c r="V685" s="36">
        <f>INDEX(V686:V688,$G685,0)</f>
        <v>0.03</v>
      </c>
      <c r="W685" s="36">
        <f>INDEX(W686:W688,$G685,0)</f>
        <v>0.03</v>
      </c>
    </row>
    <row r="686" spans="3:23" outlineLevel="3">
      <c r="C686" s="407" t="s">
        <v>840</v>
      </c>
      <c r="K686" s="26">
        <v>0.03</v>
      </c>
      <c r="L686" s="26">
        <v>0.03</v>
      </c>
      <c r="M686" s="26">
        <v>0.03</v>
      </c>
      <c r="N686" s="26">
        <v>0.03</v>
      </c>
      <c r="O686" s="26">
        <v>0.03</v>
      </c>
      <c r="P686" s="26">
        <v>0.03</v>
      </c>
      <c r="Q686" s="26">
        <v>0.03</v>
      </c>
      <c r="R686" s="26">
        <v>0.03</v>
      </c>
      <c r="S686" s="26">
        <v>0.03</v>
      </c>
      <c r="T686" s="26">
        <v>0.03</v>
      </c>
      <c r="U686" s="26">
        <v>0.03</v>
      </c>
      <c r="V686" s="26">
        <v>0.03</v>
      </c>
      <c r="W686" s="26">
        <v>0.03</v>
      </c>
    </row>
    <row r="687" spans="3:23" outlineLevel="3"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</row>
    <row r="688" spans="3:23" outlineLevel="3"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</row>
    <row r="689" spans="3:23" outlineLevel="3"/>
    <row r="690" spans="3:23" outlineLevel="3">
      <c r="C690" s="407" t="s">
        <v>894</v>
      </c>
      <c r="G690" s="6">
        <f>$G$32</f>
        <v>1</v>
      </c>
      <c r="H690" s="17" t="s">
        <v>325</v>
      </c>
      <c r="I690" s="17"/>
      <c r="K690" s="36">
        <f>INDEX(K691:K693,$G690,0)</f>
        <v>0.03</v>
      </c>
      <c r="L690" s="36">
        <f t="shared" ref="L690:T690" si="114">INDEX(L691:L693,$G690,0)</f>
        <v>0.03</v>
      </c>
      <c r="M690" s="36">
        <f t="shared" si="114"/>
        <v>0.03</v>
      </c>
      <c r="N690" s="36">
        <f t="shared" si="114"/>
        <v>0.03</v>
      </c>
      <c r="O690" s="36">
        <f t="shared" si="114"/>
        <v>0.03</v>
      </c>
      <c r="P690" s="36">
        <f t="shared" si="114"/>
        <v>0.03</v>
      </c>
      <c r="Q690" s="36">
        <f t="shared" si="114"/>
        <v>0.03</v>
      </c>
      <c r="R690" s="36">
        <f t="shared" si="114"/>
        <v>0.03</v>
      </c>
      <c r="S690" s="36">
        <f t="shared" si="114"/>
        <v>0.03</v>
      </c>
      <c r="T690" s="36">
        <f t="shared" si="114"/>
        <v>0.03</v>
      </c>
      <c r="U690" s="36">
        <f>INDEX(U691:U693,$G690,0)</f>
        <v>0.03</v>
      </c>
      <c r="V690" s="36">
        <f>INDEX(V691:V693,$G690,0)</f>
        <v>0.03</v>
      </c>
      <c r="W690" s="36">
        <f>INDEX(W691:W693,$G690,0)</f>
        <v>0.03</v>
      </c>
    </row>
    <row r="691" spans="3:23" outlineLevel="3">
      <c r="C691" s="407" t="s">
        <v>840</v>
      </c>
      <c r="K691" s="26">
        <v>0.03</v>
      </c>
      <c r="L691" s="26">
        <v>0.03</v>
      </c>
      <c r="M691" s="26">
        <v>0.03</v>
      </c>
      <c r="N691" s="26">
        <v>0.03</v>
      </c>
      <c r="O691" s="26">
        <v>0.03</v>
      </c>
      <c r="P691" s="26">
        <v>0.03</v>
      </c>
      <c r="Q691" s="26">
        <v>0.03</v>
      </c>
      <c r="R691" s="26">
        <v>0.03</v>
      </c>
      <c r="S691" s="26">
        <v>0.03</v>
      </c>
      <c r="T691" s="26">
        <v>0.03</v>
      </c>
      <c r="U691" s="26">
        <v>0.03</v>
      </c>
      <c r="V691" s="26">
        <v>0.03</v>
      </c>
      <c r="W691" s="26">
        <v>0.03</v>
      </c>
    </row>
    <row r="692" spans="3:23" outlineLevel="3"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</row>
    <row r="693" spans="3:23" outlineLevel="3"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</row>
    <row r="695" spans="3:23" ht="20.25" thickBot="1">
      <c r="C695" s="66" t="s">
        <v>571</v>
      </c>
      <c r="D695" s="66"/>
      <c r="E695" s="66"/>
      <c r="F695" s="66"/>
      <c r="G695" s="66"/>
      <c r="H695" s="66"/>
      <c r="I695" s="66"/>
      <c r="J695" s="66"/>
      <c r="K695" s="66"/>
      <c r="L695" s="66"/>
      <c r="M695" s="66"/>
      <c r="N695" s="66"/>
      <c r="O695" s="66"/>
      <c r="P695" s="66"/>
      <c r="Q695" s="66"/>
      <c r="R695" s="66"/>
      <c r="S695" s="66"/>
      <c r="T695" s="66"/>
      <c r="U695" s="66"/>
      <c r="V695" s="66"/>
      <c r="W695" s="66"/>
    </row>
    <row r="696" spans="3:23" ht="15.75" thickTop="1"/>
    <row r="697" spans="3:23" ht="23.25" outlineLevel="1">
      <c r="C697" s="60" t="s">
        <v>9</v>
      </c>
    </row>
    <row r="698" spans="3:23" ht="15.75" outlineLevel="1">
      <c r="C698" s="15" t="s">
        <v>573</v>
      </c>
    </row>
    <row r="699" spans="3:23" outlineLevel="1">
      <c r="C699" s="407" t="s">
        <v>839</v>
      </c>
      <c r="G699" s="6">
        <f>$G$32</f>
        <v>1</v>
      </c>
      <c r="H699" s="17" t="s">
        <v>325</v>
      </c>
      <c r="I699" s="17"/>
      <c r="K699" s="36">
        <f>INDEX(K700:K702,$G699,0)</f>
        <v>0.05</v>
      </c>
      <c r="L699" s="36">
        <f t="shared" ref="L699:T699" si="115">INDEX(L700:L702,$G699,0)</f>
        <v>0.05</v>
      </c>
      <c r="M699" s="36">
        <f t="shared" si="115"/>
        <v>0.05</v>
      </c>
      <c r="N699" s="36">
        <f t="shared" si="115"/>
        <v>0.05</v>
      </c>
      <c r="O699" s="36">
        <f t="shared" si="115"/>
        <v>0.05</v>
      </c>
      <c r="P699" s="36">
        <f t="shared" si="115"/>
        <v>0.05</v>
      </c>
      <c r="Q699" s="36">
        <f t="shared" si="115"/>
        <v>0.05</v>
      </c>
      <c r="R699" s="36">
        <f t="shared" si="115"/>
        <v>0.05</v>
      </c>
      <c r="S699" s="36">
        <f t="shared" si="115"/>
        <v>0.05</v>
      </c>
      <c r="T699" s="36">
        <f t="shared" si="115"/>
        <v>0.05</v>
      </c>
      <c r="U699" s="36">
        <f>INDEX(U700:U702,$G699,0)</f>
        <v>0.05</v>
      </c>
      <c r="V699" s="36">
        <f>INDEX(V700:V702,$G699,0)</f>
        <v>0.05</v>
      </c>
      <c r="W699" s="36">
        <f>INDEX(W700:W702,$G699,0)</f>
        <v>0.05</v>
      </c>
    </row>
    <row r="700" spans="3:23" outlineLevel="1">
      <c r="C700" s="407" t="s">
        <v>840</v>
      </c>
      <c r="K700" s="26">
        <v>0.05</v>
      </c>
      <c r="L700" s="26">
        <v>0.05</v>
      </c>
      <c r="M700" s="26">
        <v>0.05</v>
      </c>
      <c r="N700" s="26">
        <v>0.05</v>
      </c>
      <c r="O700" s="26">
        <v>0.05</v>
      </c>
      <c r="P700" s="26">
        <v>0.05</v>
      </c>
      <c r="Q700" s="26">
        <v>0.05</v>
      </c>
      <c r="R700" s="26">
        <v>0.05</v>
      </c>
      <c r="S700" s="26">
        <v>0.05</v>
      </c>
      <c r="T700" s="26">
        <v>0.05</v>
      </c>
      <c r="U700" s="26">
        <v>0.05</v>
      </c>
      <c r="V700" s="26">
        <v>0.05</v>
      </c>
      <c r="W700" s="26">
        <v>0.05</v>
      </c>
    </row>
    <row r="701" spans="3:23" outlineLevel="1"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</row>
    <row r="702" spans="3:23" outlineLevel="1"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</row>
    <row r="703" spans="3:23" outlineLevel="1"/>
    <row r="704" spans="3:23" outlineLevel="1">
      <c r="C704" s="407" t="s">
        <v>886</v>
      </c>
      <c r="G704" s="6">
        <f>$G$32</f>
        <v>1</v>
      </c>
      <c r="H704" s="17" t="s">
        <v>543</v>
      </c>
      <c r="J704" s="20">
        <f>INDEX(K704:P704,,$G704)</f>
        <v>346296.03600000002</v>
      </c>
      <c r="K704" s="30">
        <v>346296.03600000002</v>
      </c>
      <c r="L704" s="19"/>
      <c r="M704" s="19"/>
      <c r="N704" s="19"/>
      <c r="O704" s="19"/>
      <c r="P704" s="19"/>
    </row>
    <row r="705" spans="3:23" outlineLevel="1"/>
    <row r="706" spans="3:23" outlineLevel="1">
      <c r="C706" s="407" t="s">
        <v>882</v>
      </c>
      <c r="G706" s="6">
        <f>$G$32</f>
        <v>1</v>
      </c>
      <c r="H706" s="17" t="s">
        <v>485</v>
      </c>
      <c r="I706" s="17"/>
      <c r="K706" s="36">
        <f>INDEX(K707:K709,$G706,0)</f>
        <v>12328.621061691381</v>
      </c>
      <c r="L706" s="36">
        <f t="shared" ref="L706:T706" si="116">INDEX(L707:L709,$G706,0)</f>
        <v>2575</v>
      </c>
      <c r="M706" s="36">
        <f t="shared" si="116"/>
        <v>2652.25</v>
      </c>
      <c r="N706" s="36">
        <f t="shared" si="116"/>
        <v>2731.8175000000001</v>
      </c>
      <c r="O706" s="36">
        <f t="shared" si="116"/>
        <v>2813.7720250000002</v>
      </c>
      <c r="P706" s="36">
        <f t="shared" si="116"/>
        <v>2898.1851857500001</v>
      </c>
      <c r="Q706" s="36">
        <f t="shared" si="116"/>
        <v>2985.1307413224999</v>
      </c>
      <c r="R706" s="36">
        <f t="shared" si="116"/>
        <v>3074.684663562175</v>
      </c>
      <c r="S706" s="36">
        <f t="shared" si="116"/>
        <v>3166.9252034690403</v>
      </c>
      <c r="T706" s="36">
        <f t="shared" si="116"/>
        <v>3261.9329595731115</v>
      </c>
      <c r="U706" s="36">
        <f>INDEX(U707:U709,$G706,0)</f>
        <v>3261.9329595731115</v>
      </c>
      <c r="V706" s="36">
        <f>INDEX(V707:V709,$G706,0)</f>
        <v>3261.9329595731115</v>
      </c>
      <c r="W706" s="36">
        <f>INDEX(W707:W709,$G706,0)</f>
        <v>3261.9329595731115</v>
      </c>
    </row>
    <row r="707" spans="3:23" outlineLevel="1">
      <c r="C707" s="407" t="s">
        <v>840</v>
      </c>
      <c r="K707" s="26">
        <v>12328.621061691381</v>
      </c>
      <c r="L707" s="26">
        <v>2575</v>
      </c>
      <c r="M707" s="26">
        <v>2652.25</v>
      </c>
      <c r="N707" s="26">
        <v>2731.8175000000001</v>
      </c>
      <c r="O707" s="26">
        <v>2813.7720250000002</v>
      </c>
      <c r="P707" s="26">
        <v>2898.1851857500001</v>
      </c>
      <c r="Q707" s="26">
        <v>2985.1307413224999</v>
      </c>
      <c r="R707" s="26">
        <v>3074.684663562175</v>
      </c>
      <c r="S707" s="26">
        <v>3166.9252034690403</v>
      </c>
      <c r="T707" s="26">
        <v>3261.9329595731115</v>
      </c>
      <c r="U707" s="26">
        <v>3261.9329595731115</v>
      </c>
      <c r="V707" s="26">
        <v>3261.9329595731115</v>
      </c>
      <c r="W707" s="26">
        <v>3261.9329595731115</v>
      </c>
    </row>
    <row r="708" spans="3:23" outlineLevel="1"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</row>
    <row r="709" spans="3:23" outlineLevel="1"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</row>
    <row r="710" spans="3:23" outlineLevel="1"/>
    <row r="711" spans="3:23" ht="15.75" outlineLevel="1">
      <c r="C711" s="15" t="s">
        <v>574</v>
      </c>
    </row>
    <row r="712" spans="3:23" outlineLevel="1">
      <c r="C712" s="407" t="s">
        <v>839</v>
      </c>
      <c r="G712" s="6">
        <f>$G$32</f>
        <v>1</v>
      </c>
      <c r="H712" s="17" t="s">
        <v>325</v>
      </c>
      <c r="I712" s="17"/>
      <c r="K712" s="36">
        <f>INDEX(K713:K715,$G712,0)</f>
        <v>0.05</v>
      </c>
      <c r="L712" s="36">
        <f t="shared" ref="L712:T712" si="117">INDEX(L713:L715,$G712,0)</f>
        <v>0.05</v>
      </c>
      <c r="M712" s="36">
        <f t="shared" si="117"/>
        <v>0.05</v>
      </c>
      <c r="N712" s="36">
        <f t="shared" si="117"/>
        <v>0.05</v>
      </c>
      <c r="O712" s="36">
        <f t="shared" si="117"/>
        <v>0.05</v>
      </c>
      <c r="P712" s="36">
        <f t="shared" si="117"/>
        <v>0.05</v>
      </c>
      <c r="Q712" s="36">
        <f t="shared" si="117"/>
        <v>0.05</v>
      </c>
      <c r="R712" s="36">
        <f t="shared" si="117"/>
        <v>0.05</v>
      </c>
      <c r="S712" s="36">
        <f t="shared" si="117"/>
        <v>0.05</v>
      </c>
      <c r="T712" s="36">
        <f t="shared" si="117"/>
        <v>0.05</v>
      </c>
      <c r="U712" s="36">
        <f>INDEX(U713:U715,$G712,0)</f>
        <v>0.05</v>
      </c>
      <c r="V712" s="36">
        <f>INDEX(V713:V715,$G712,0)</f>
        <v>0.05</v>
      </c>
      <c r="W712" s="36">
        <f>INDEX(W713:W715,$G712,0)</f>
        <v>0.05</v>
      </c>
    </row>
    <row r="713" spans="3:23" outlineLevel="1">
      <c r="C713" s="407" t="s">
        <v>840</v>
      </c>
      <c r="K713" s="26">
        <f>K699</f>
        <v>0.05</v>
      </c>
      <c r="L713" s="26">
        <f t="shared" ref="L713:T713" si="118">L699</f>
        <v>0.05</v>
      </c>
      <c r="M713" s="26">
        <f t="shared" si="118"/>
        <v>0.05</v>
      </c>
      <c r="N713" s="26">
        <f t="shared" si="118"/>
        <v>0.05</v>
      </c>
      <c r="O713" s="26">
        <f t="shared" si="118"/>
        <v>0.05</v>
      </c>
      <c r="P713" s="26">
        <f t="shared" si="118"/>
        <v>0.05</v>
      </c>
      <c r="Q713" s="26">
        <f t="shared" si="118"/>
        <v>0.05</v>
      </c>
      <c r="R713" s="26">
        <f t="shared" si="118"/>
        <v>0.05</v>
      </c>
      <c r="S713" s="26">
        <f t="shared" si="118"/>
        <v>0.05</v>
      </c>
      <c r="T713" s="26">
        <f t="shared" si="118"/>
        <v>0.05</v>
      </c>
      <c r="U713" s="26">
        <f>U699</f>
        <v>0.05</v>
      </c>
      <c r="V713" s="26">
        <f>V699</f>
        <v>0.05</v>
      </c>
      <c r="W713" s="26">
        <f>W699</f>
        <v>0.05</v>
      </c>
    </row>
    <row r="714" spans="3:23" outlineLevel="1"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</row>
    <row r="715" spans="3:23" outlineLevel="1"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</row>
    <row r="716" spans="3:23" outlineLevel="1"/>
    <row r="717" spans="3:23" outlineLevel="1">
      <c r="C717" s="407" t="s">
        <v>886</v>
      </c>
      <c r="G717" s="6">
        <f>$G$32</f>
        <v>1</v>
      </c>
      <c r="H717" s="17" t="s">
        <v>543</v>
      </c>
      <c r="J717" s="20">
        <f>INDEX(K717:P717,,$G717)</f>
        <v>225199.88000000003</v>
      </c>
      <c r="K717" s="30">
        <v>225199.88000000003</v>
      </c>
      <c r="L717" s="19"/>
      <c r="M717" s="19"/>
      <c r="N717" s="19"/>
      <c r="O717" s="19"/>
      <c r="P717" s="19"/>
    </row>
    <row r="718" spans="3:23" outlineLevel="1"/>
    <row r="719" spans="3:23" outlineLevel="1">
      <c r="C719" s="407" t="s">
        <v>882</v>
      </c>
      <c r="G719" s="6">
        <f>$G$32</f>
        <v>1</v>
      </c>
      <c r="H719" s="17" t="s">
        <v>485</v>
      </c>
      <c r="I719" s="17"/>
      <c r="K719" s="36">
        <f>INDEX(K720:K722,$G719,0)</f>
        <v>57137.3691142518</v>
      </c>
      <c r="L719" s="36">
        <f t="shared" ref="L719:T719" si="119">INDEX(L720:L722,$G719,0)</f>
        <v>3605</v>
      </c>
      <c r="M719" s="36">
        <f t="shared" si="119"/>
        <v>3713.15</v>
      </c>
      <c r="N719" s="36">
        <f t="shared" si="119"/>
        <v>3824.5445</v>
      </c>
      <c r="O719" s="36">
        <f t="shared" si="119"/>
        <v>3939.280835</v>
      </c>
      <c r="P719" s="36">
        <f t="shared" si="119"/>
        <v>4057.45926005</v>
      </c>
      <c r="Q719" s="36">
        <f t="shared" si="119"/>
        <v>4179.1830378514996</v>
      </c>
      <c r="R719" s="36">
        <f t="shared" si="119"/>
        <v>4304.5585289870451</v>
      </c>
      <c r="S719" s="36">
        <f t="shared" si="119"/>
        <v>4433.6952848566561</v>
      </c>
      <c r="T719" s="36">
        <f t="shared" si="119"/>
        <v>4566.7061434023562</v>
      </c>
      <c r="U719" s="36">
        <f>INDEX(U720:U722,$G719,0)</f>
        <v>4566.7061434023562</v>
      </c>
      <c r="V719" s="36">
        <f>INDEX(V720:V722,$G719,0)</f>
        <v>4566.7061434023562</v>
      </c>
      <c r="W719" s="36">
        <f>INDEX(W720:W722,$G719,0)</f>
        <v>4566.7061434023562</v>
      </c>
    </row>
    <row r="720" spans="3:23" outlineLevel="1">
      <c r="C720" s="407" t="s">
        <v>840</v>
      </c>
      <c r="K720" s="26">
        <v>57137.3691142518</v>
      </c>
      <c r="L720" s="26">
        <v>3605</v>
      </c>
      <c r="M720" s="26">
        <v>3713.15</v>
      </c>
      <c r="N720" s="26">
        <v>3824.5445</v>
      </c>
      <c r="O720" s="26">
        <v>3939.280835</v>
      </c>
      <c r="P720" s="26">
        <v>4057.45926005</v>
      </c>
      <c r="Q720" s="26">
        <v>4179.1830378514996</v>
      </c>
      <c r="R720" s="26">
        <v>4304.5585289870451</v>
      </c>
      <c r="S720" s="26">
        <v>4433.6952848566561</v>
      </c>
      <c r="T720" s="26">
        <v>4566.7061434023562</v>
      </c>
      <c r="U720" s="26">
        <v>4566.7061434023562</v>
      </c>
      <c r="V720" s="26">
        <v>4566.7061434023562</v>
      </c>
      <c r="W720" s="26">
        <v>4566.7061434023562</v>
      </c>
    </row>
    <row r="721" spans="3:23" outlineLevel="1"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</row>
    <row r="722" spans="3:23" outlineLevel="1"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</row>
    <row r="723" spans="3:23" outlineLevel="1"/>
    <row r="724" spans="3:23" ht="15.75" outlineLevel="1">
      <c r="C724" s="15" t="s">
        <v>575</v>
      </c>
    </row>
    <row r="725" spans="3:23" outlineLevel="1">
      <c r="C725" s="407" t="s">
        <v>839</v>
      </c>
      <c r="G725" s="6">
        <f>$G$32</f>
        <v>1</v>
      </c>
      <c r="H725" s="17" t="s">
        <v>325</v>
      </c>
      <c r="I725" s="17"/>
      <c r="K725" s="36">
        <f>INDEX(K726:K728,$G725,0)</f>
        <v>0.05</v>
      </c>
      <c r="L725" s="36">
        <f t="shared" ref="L725:T725" si="120">INDEX(L726:L728,$G725,0)</f>
        <v>0.05</v>
      </c>
      <c r="M725" s="36">
        <f t="shared" si="120"/>
        <v>0.05</v>
      </c>
      <c r="N725" s="36">
        <f t="shared" si="120"/>
        <v>0.05</v>
      </c>
      <c r="O725" s="36">
        <f t="shared" si="120"/>
        <v>0.05</v>
      </c>
      <c r="P725" s="36">
        <f t="shared" si="120"/>
        <v>0.05</v>
      </c>
      <c r="Q725" s="36">
        <f t="shared" si="120"/>
        <v>0.05</v>
      </c>
      <c r="R725" s="36">
        <f t="shared" si="120"/>
        <v>0.05</v>
      </c>
      <c r="S725" s="36">
        <f t="shared" si="120"/>
        <v>0.05</v>
      </c>
      <c r="T725" s="36">
        <f t="shared" si="120"/>
        <v>0.05</v>
      </c>
      <c r="U725" s="36">
        <f>INDEX(U726:U728,$G725,0)</f>
        <v>0.05</v>
      </c>
      <c r="V725" s="36">
        <f>INDEX(V726:V728,$G725,0)</f>
        <v>0.05</v>
      </c>
      <c r="W725" s="36">
        <f>INDEX(W726:W728,$G725,0)</f>
        <v>0.05</v>
      </c>
    </row>
    <row r="726" spans="3:23" outlineLevel="1">
      <c r="C726" s="407" t="s">
        <v>840</v>
      </c>
      <c r="K726" s="26">
        <f>K712</f>
        <v>0.05</v>
      </c>
      <c r="L726" s="26">
        <f t="shared" ref="L726:T726" si="121">L712</f>
        <v>0.05</v>
      </c>
      <c r="M726" s="26">
        <f t="shared" si="121"/>
        <v>0.05</v>
      </c>
      <c r="N726" s="26">
        <f t="shared" si="121"/>
        <v>0.05</v>
      </c>
      <c r="O726" s="26">
        <f t="shared" si="121"/>
        <v>0.05</v>
      </c>
      <c r="P726" s="26">
        <f t="shared" si="121"/>
        <v>0.05</v>
      </c>
      <c r="Q726" s="26">
        <f t="shared" si="121"/>
        <v>0.05</v>
      </c>
      <c r="R726" s="26">
        <f t="shared" si="121"/>
        <v>0.05</v>
      </c>
      <c r="S726" s="26">
        <f t="shared" si="121"/>
        <v>0.05</v>
      </c>
      <c r="T726" s="26">
        <f t="shared" si="121"/>
        <v>0.05</v>
      </c>
      <c r="U726" s="26">
        <f>U712</f>
        <v>0.05</v>
      </c>
      <c r="V726" s="26">
        <f>V712</f>
        <v>0.05</v>
      </c>
      <c r="W726" s="26">
        <f>W712</f>
        <v>0.05</v>
      </c>
    </row>
    <row r="727" spans="3:23" outlineLevel="1"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</row>
    <row r="728" spans="3:23" outlineLevel="1"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</row>
    <row r="729" spans="3:23" outlineLevel="1"/>
    <row r="730" spans="3:23" outlineLevel="1">
      <c r="C730" s="407" t="s">
        <v>886</v>
      </c>
      <c r="G730" s="6">
        <f>$G$32</f>
        <v>1</v>
      </c>
      <c r="H730" s="17" t="s">
        <v>543</v>
      </c>
      <c r="J730" s="20">
        <f>INDEX(K730:P730,,$G730)</f>
        <v>295847.011</v>
      </c>
      <c r="K730" s="30">
        <v>295847.011</v>
      </c>
      <c r="L730" s="19"/>
      <c r="M730" s="19"/>
      <c r="N730" s="19"/>
      <c r="O730" s="19"/>
      <c r="P730" s="19"/>
    </row>
    <row r="731" spans="3:23" outlineLevel="1"/>
    <row r="732" spans="3:23" outlineLevel="1">
      <c r="C732" s="407" t="s">
        <v>882</v>
      </c>
      <c r="G732" s="6">
        <f>$G$32</f>
        <v>1</v>
      </c>
      <c r="H732" s="17" t="s">
        <v>485</v>
      </c>
      <c r="I732" s="17"/>
      <c r="K732" s="36">
        <f>INDEX(K733:K735,$G732,0)</f>
        <v>4495.8039581760495</v>
      </c>
      <c r="L732" s="36">
        <f t="shared" ref="L732:T732" si="122">INDEX(L733:L735,$G732,0)</f>
        <v>2575</v>
      </c>
      <c r="M732" s="36">
        <f t="shared" si="122"/>
        <v>2652.25</v>
      </c>
      <c r="N732" s="36">
        <f t="shared" si="122"/>
        <v>2731.8175000000001</v>
      </c>
      <c r="O732" s="36">
        <f t="shared" si="122"/>
        <v>2813.7720250000002</v>
      </c>
      <c r="P732" s="36">
        <f t="shared" si="122"/>
        <v>2898.1851857500001</v>
      </c>
      <c r="Q732" s="36">
        <f t="shared" si="122"/>
        <v>2985.1307413224999</v>
      </c>
      <c r="R732" s="36">
        <f t="shared" si="122"/>
        <v>3074.684663562175</v>
      </c>
      <c r="S732" s="36">
        <f t="shared" si="122"/>
        <v>3166.9252034690403</v>
      </c>
      <c r="T732" s="36">
        <f t="shared" si="122"/>
        <v>3261.9329595731115</v>
      </c>
      <c r="U732" s="36">
        <f>INDEX(U733:U735,$G732,0)</f>
        <v>3261.9329595731115</v>
      </c>
      <c r="V732" s="36">
        <f>INDEX(V733:V735,$G732,0)</f>
        <v>3261.9329595731115</v>
      </c>
      <c r="W732" s="36">
        <f>INDEX(W733:W735,$G732,0)</f>
        <v>3261.9329595731115</v>
      </c>
    </row>
    <row r="733" spans="3:23" outlineLevel="1">
      <c r="C733" s="407" t="s">
        <v>840</v>
      </c>
      <c r="K733" s="26">
        <v>4495.8039581760495</v>
      </c>
      <c r="L733" s="26">
        <v>2575</v>
      </c>
      <c r="M733" s="26">
        <v>2652.25</v>
      </c>
      <c r="N733" s="26">
        <v>2731.8175000000001</v>
      </c>
      <c r="O733" s="26">
        <v>2813.7720250000002</v>
      </c>
      <c r="P733" s="26">
        <v>2898.1851857500001</v>
      </c>
      <c r="Q733" s="26">
        <v>2985.1307413224999</v>
      </c>
      <c r="R733" s="26">
        <v>3074.684663562175</v>
      </c>
      <c r="S733" s="26">
        <v>3166.9252034690403</v>
      </c>
      <c r="T733" s="26">
        <v>3261.9329595731115</v>
      </c>
      <c r="U733" s="26">
        <v>3261.9329595731115</v>
      </c>
      <c r="V733" s="26">
        <v>3261.9329595731115</v>
      </c>
      <c r="W733" s="26">
        <v>3261.9329595731115</v>
      </c>
    </row>
    <row r="734" spans="3:23" outlineLevel="1"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</row>
    <row r="735" spans="3:23" outlineLevel="1"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</row>
    <row r="736" spans="3:23" outlineLevel="1"/>
    <row r="737" spans="3:23" ht="15.75" outlineLevel="1">
      <c r="C737" s="15" t="s">
        <v>576</v>
      </c>
    </row>
    <row r="738" spans="3:23" outlineLevel="1">
      <c r="C738" s="407" t="s">
        <v>839</v>
      </c>
      <c r="G738" s="6">
        <f>$G$32</f>
        <v>1</v>
      </c>
      <c r="H738" s="17" t="s">
        <v>325</v>
      </c>
      <c r="I738" s="17"/>
      <c r="K738" s="36">
        <f>INDEX(K739:K741,$G738,0)</f>
        <v>0.05</v>
      </c>
      <c r="L738" s="36">
        <f t="shared" ref="L738:T738" si="123">INDEX(L739:L741,$G738,0)</f>
        <v>0.05</v>
      </c>
      <c r="M738" s="36">
        <f t="shared" si="123"/>
        <v>0.05</v>
      </c>
      <c r="N738" s="36">
        <f t="shared" si="123"/>
        <v>0.05</v>
      </c>
      <c r="O738" s="36">
        <f t="shared" si="123"/>
        <v>0.05</v>
      </c>
      <c r="P738" s="36">
        <f t="shared" si="123"/>
        <v>0.05</v>
      </c>
      <c r="Q738" s="36">
        <f t="shared" si="123"/>
        <v>0.05</v>
      </c>
      <c r="R738" s="36">
        <f t="shared" si="123"/>
        <v>0.05</v>
      </c>
      <c r="S738" s="36">
        <f t="shared" si="123"/>
        <v>0.05</v>
      </c>
      <c r="T738" s="36">
        <f t="shared" si="123"/>
        <v>0.05</v>
      </c>
      <c r="U738" s="36">
        <f>INDEX(U739:U741,$G738,0)</f>
        <v>0.05</v>
      </c>
      <c r="V738" s="36">
        <f>INDEX(V739:V741,$G738,0)</f>
        <v>0.05</v>
      </c>
      <c r="W738" s="36">
        <f>INDEX(W739:W741,$G738,0)</f>
        <v>0.05</v>
      </c>
    </row>
    <row r="739" spans="3:23" outlineLevel="1">
      <c r="C739" s="407" t="s">
        <v>840</v>
      </c>
      <c r="K739" s="26">
        <f>K725</f>
        <v>0.05</v>
      </c>
      <c r="L739" s="26">
        <f t="shared" ref="L739:T739" si="124">L725</f>
        <v>0.05</v>
      </c>
      <c r="M739" s="26">
        <f t="shared" si="124"/>
        <v>0.05</v>
      </c>
      <c r="N739" s="26">
        <f t="shared" si="124"/>
        <v>0.05</v>
      </c>
      <c r="O739" s="26">
        <f t="shared" si="124"/>
        <v>0.05</v>
      </c>
      <c r="P739" s="26">
        <f t="shared" si="124"/>
        <v>0.05</v>
      </c>
      <c r="Q739" s="26">
        <f t="shared" si="124"/>
        <v>0.05</v>
      </c>
      <c r="R739" s="26">
        <f t="shared" si="124"/>
        <v>0.05</v>
      </c>
      <c r="S739" s="26">
        <f t="shared" si="124"/>
        <v>0.05</v>
      </c>
      <c r="T739" s="26">
        <f t="shared" si="124"/>
        <v>0.05</v>
      </c>
      <c r="U739" s="26">
        <f>U725</f>
        <v>0.05</v>
      </c>
      <c r="V739" s="26">
        <f>V725</f>
        <v>0.05</v>
      </c>
      <c r="W739" s="26">
        <f>W725</f>
        <v>0.05</v>
      </c>
    </row>
    <row r="740" spans="3:23" outlineLevel="1"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</row>
    <row r="741" spans="3:23" outlineLevel="1"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</row>
    <row r="742" spans="3:23" outlineLevel="1"/>
    <row r="743" spans="3:23" outlineLevel="1">
      <c r="C743" s="407" t="s">
        <v>886</v>
      </c>
      <c r="G743" s="6">
        <f>$G$32</f>
        <v>1</v>
      </c>
      <c r="H743" s="17" t="s">
        <v>543</v>
      </c>
      <c r="J743" s="20">
        <f>INDEX(K743:P743,,$G743)</f>
        <v>336474.04000000004</v>
      </c>
      <c r="K743" s="30">
        <v>336474.04000000004</v>
      </c>
      <c r="L743" s="19"/>
      <c r="M743" s="19"/>
      <c r="N743" s="19"/>
      <c r="O743" s="19"/>
      <c r="P743" s="19"/>
    </row>
    <row r="744" spans="3:23" outlineLevel="1"/>
    <row r="745" spans="3:23" outlineLevel="1">
      <c r="C745" s="407" t="s">
        <v>882</v>
      </c>
      <c r="G745" s="6">
        <f>$G$32</f>
        <v>1</v>
      </c>
      <c r="H745" s="17" t="s">
        <v>485</v>
      </c>
      <c r="I745" s="17"/>
      <c r="K745" s="36">
        <f>INDEX(K746:K748,$G745,0)</f>
        <v>34880</v>
      </c>
      <c r="L745" s="36">
        <f t="shared" ref="L745:T745" si="125">INDEX(L746:L748,$G745,0)</f>
        <v>35926.400000000001</v>
      </c>
      <c r="M745" s="36">
        <f t="shared" si="125"/>
        <v>2652.25</v>
      </c>
      <c r="N745" s="36">
        <f t="shared" si="125"/>
        <v>2731.8175000000001</v>
      </c>
      <c r="O745" s="36">
        <f t="shared" si="125"/>
        <v>2813.7720250000002</v>
      </c>
      <c r="P745" s="36">
        <f t="shared" si="125"/>
        <v>2898.1851857500001</v>
      </c>
      <c r="Q745" s="36">
        <f t="shared" si="125"/>
        <v>2985.1307413224999</v>
      </c>
      <c r="R745" s="36">
        <f t="shared" si="125"/>
        <v>3074.684663562175</v>
      </c>
      <c r="S745" s="36">
        <f t="shared" si="125"/>
        <v>3166.9252034690403</v>
      </c>
      <c r="T745" s="36">
        <f t="shared" si="125"/>
        <v>3261.9329595731115</v>
      </c>
      <c r="U745" s="36">
        <f>INDEX(U746:U748,$G745,0)</f>
        <v>3261.9329595731115</v>
      </c>
      <c r="V745" s="36">
        <f>INDEX(V746:V748,$G745,0)</f>
        <v>3261.9329595731115</v>
      </c>
      <c r="W745" s="36">
        <f>INDEX(W746:W748,$G745,0)</f>
        <v>3261.9329595731115</v>
      </c>
    </row>
    <row r="746" spans="3:23" outlineLevel="1">
      <c r="C746" s="407" t="s">
        <v>840</v>
      </c>
      <c r="K746" s="26">
        <v>34880</v>
      </c>
      <c r="L746" s="26">
        <v>35926.400000000001</v>
      </c>
      <c r="M746" s="26">
        <v>2652.25</v>
      </c>
      <c r="N746" s="26">
        <v>2731.8175000000001</v>
      </c>
      <c r="O746" s="26">
        <v>2813.7720250000002</v>
      </c>
      <c r="P746" s="26">
        <v>2898.1851857500001</v>
      </c>
      <c r="Q746" s="26">
        <v>2985.1307413224999</v>
      </c>
      <c r="R746" s="26">
        <v>3074.684663562175</v>
      </c>
      <c r="S746" s="26">
        <v>3166.9252034690403</v>
      </c>
      <c r="T746" s="26">
        <v>3261.9329595731115</v>
      </c>
      <c r="U746" s="26">
        <v>3261.9329595731115</v>
      </c>
      <c r="V746" s="26">
        <v>3261.9329595731115</v>
      </c>
      <c r="W746" s="26">
        <v>3261.9329595731115</v>
      </c>
    </row>
    <row r="747" spans="3:23" outlineLevel="1"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</row>
    <row r="748" spans="3:23" outlineLevel="1"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</row>
    <row r="749" spans="3:23" outlineLevel="1"/>
    <row r="750" spans="3:23" ht="15.75" outlineLevel="1">
      <c r="C750" s="15" t="s">
        <v>577</v>
      </c>
    </row>
    <row r="751" spans="3:23" outlineLevel="1">
      <c r="C751" s="407" t="s">
        <v>839</v>
      </c>
      <c r="G751" s="6">
        <f>$G$32</f>
        <v>1</v>
      </c>
      <c r="H751" s="17" t="s">
        <v>325</v>
      </c>
      <c r="I751" s="17"/>
      <c r="K751" s="36">
        <f>INDEX(K752:K754,$G751,0)</f>
        <v>0.05</v>
      </c>
      <c r="L751" s="36">
        <f t="shared" ref="L751:T751" si="126">INDEX(L752:L754,$G751,0)</f>
        <v>0.05</v>
      </c>
      <c r="M751" s="36">
        <f t="shared" si="126"/>
        <v>0.05</v>
      </c>
      <c r="N751" s="36">
        <f t="shared" si="126"/>
        <v>0.05</v>
      </c>
      <c r="O751" s="36">
        <f t="shared" si="126"/>
        <v>0.05</v>
      </c>
      <c r="P751" s="36">
        <f t="shared" si="126"/>
        <v>0.05</v>
      </c>
      <c r="Q751" s="36">
        <f t="shared" si="126"/>
        <v>0.05</v>
      </c>
      <c r="R751" s="36">
        <f t="shared" si="126"/>
        <v>0.05</v>
      </c>
      <c r="S751" s="36">
        <f t="shared" si="126"/>
        <v>0.05</v>
      </c>
      <c r="T751" s="36">
        <f t="shared" si="126"/>
        <v>0.05</v>
      </c>
      <c r="U751" s="36">
        <f>INDEX(U752:U754,$G751,0)</f>
        <v>0.05</v>
      </c>
      <c r="V751" s="36">
        <f>INDEX(V752:V754,$G751,0)</f>
        <v>0.05</v>
      </c>
      <c r="W751" s="36">
        <f>INDEX(W752:W754,$G751,0)</f>
        <v>0.05</v>
      </c>
    </row>
    <row r="752" spans="3:23" outlineLevel="1">
      <c r="C752" s="407" t="s">
        <v>840</v>
      </c>
      <c r="K752" s="26">
        <f>K738</f>
        <v>0.05</v>
      </c>
      <c r="L752" s="26">
        <f t="shared" ref="L752:T752" si="127">L738</f>
        <v>0.05</v>
      </c>
      <c r="M752" s="26">
        <f t="shared" si="127"/>
        <v>0.05</v>
      </c>
      <c r="N752" s="26">
        <f t="shared" si="127"/>
        <v>0.05</v>
      </c>
      <c r="O752" s="26">
        <f t="shared" si="127"/>
        <v>0.05</v>
      </c>
      <c r="P752" s="26">
        <f t="shared" si="127"/>
        <v>0.05</v>
      </c>
      <c r="Q752" s="26">
        <f t="shared" si="127"/>
        <v>0.05</v>
      </c>
      <c r="R752" s="26">
        <f t="shared" si="127"/>
        <v>0.05</v>
      </c>
      <c r="S752" s="26">
        <f t="shared" si="127"/>
        <v>0.05</v>
      </c>
      <c r="T752" s="26">
        <f t="shared" si="127"/>
        <v>0.05</v>
      </c>
      <c r="U752" s="26">
        <f>U738</f>
        <v>0.05</v>
      </c>
      <c r="V752" s="26">
        <f>V738</f>
        <v>0.05</v>
      </c>
      <c r="W752" s="26">
        <f>W738</f>
        <v>0.05</v>
      </c>
    </row>
    <row r="753" spans="3:23" outlineLevel="1"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</row>
    <row r="754" spans="3:23" outlineLevel="1"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</row>
    <row r="755" spans="3:23" outlineLevel="1"/>
    <row r="756" spans="3:23" outlineLevel="1">
      <c r="C756" s="407" t="s">
        <v>886</v>
      </c>
      <c r="G756" s="6">
        <f>$G$32</f>
        <v>1</v>
      </c>
      <c r="H756" s="17" t="s">
        <v>543</v>
      </c>
      <c r="J756" s="20">
        <f>INDEX(K756:P756,,$G756)</f>
        <v>923727.06</v>
      </c>
      <c r="K756" s="30">
        <v>923727.06</v>
      </c>
      <c r="L756" s="19"/>
      <c r="M756" s="19"/>
      <c r="N756" s="19"/>
      <c r="O756" s="19"/>
      <c r="P756" s="19"/>
    </row>
    <row r="757" spans="3:23" outlineLevel="1"/>
    <row r="758" spans="3:23" outlineLevel="1">
      <c r="C758" s="407" t="s">
        <v>882</v>
      </c>
      <c r="G758" s="6">
        <f>$G$32</f>
        <v>1</v>
      </c>
      <c r="H758" s="17" t="s">
        <v>485</v>
      </c>
      <c r="I758" s="17"/>
      <c r="K758" s="36">
        <f>INDEX(K759:K761,$G758,0)</f>
        <v>13346.475053638678</v>
      </c>
      <c r="L758" s="36">
        <f t="shared" ref="L758:T758" si="128">INDEX(L759:L761,$G758,0)</f>
        <v>2606.9300000000003</v>
      </c>
      <c r="M758" s="36">
        <f t="shared" si="128"/>
        <v>2685.1379000000002</v>
      </c>
      <c r="N758" s="36">
        <f t="shared" si="128"/>
        <v>2765.6920370000003</v>
      </c>
      <c r="O758" s="36">
        <f t="shared" si="128"/>
        <v>2848.66279811</v>
      </c>
      <c r="P758" s="36">
        <f t="shared" si="128"/>
        <v>2934.1226820533002</v>
      </c>
      <c r="Q758" s="36">
        <f t="shared" si="128"/>
        <v>3022.146362514899</v>
      </c>
      <c r="R758" s="36">
        <f t="shared" si="128"/>
        <v>3112.8107533903458</v>
      </c>
      <c r="S758" s="36">
        <f t="shared" si="128"/>
        <v>3206.195075992056</v>
      </c>
      <c r="T758" s="36">
        <f t="shared" si="128"/>
        <v>3302.3809282718175</v>
      </c>
      <c r="U758" s="36">
        <f>INDEX(U759:U761,$G758,0)</f>
        <v>3302.3809282718175</v>
      </c>
      <c r="V758" s="36">
        <f>INDEX(V759:V761,$G758,0)</f>
        <v>3302.3809282718175</v>
      </c>
      <c r="W758" s="36">
        <f>INDEX(W759:W761,$G758,0)</f>
        <v>3302.3809282718175</v>
      </c>
    </row>
    <row r="759" spans="3:23" outlineLevel="1">
      <c r="C759" s="407" t="s">
        <v>840</v>
      </c>
      <c r="K759" s="26">
        <v>13346.475053638678</v>
      </c>
      <c r="L759" s="26">
        <v>2606.9300000000003</v>
      </c>
      <c r="M759" s="26">
        <v>2685.1379000000002</v>
      </c>
      <c r="N759" s="26">
        <v>2765.6920370000003</v>
      </c>
      <c r="O759" s="26">
        <v>2848.66279811</v>
      </c>
      <c r="P759" s="26">
        <v>2934.1226820533002</v>
      </c>
      <c r="Q759" s="26">
        <v>3022.146362514899</v>
      </c>
      <c r="R759" s="26">
        <v>3112.8107533903458</v>
      </c>
      <c r="S759" s="26">
        <v>3206.195075992056</v>
      </c>
      <c r="T759" s="26">
        <v>3302.3809282718175</v>
      </c>
      <c r="U759" s="26">
        <v>3302.3809282718175</v>
      </c>
      <c r="V759" s="26">
        <v>3302.3809282718175</v>
      </c>
      <c r="W759" s="26">
        <v>3302.3809282718175</v>
      </c>
    </row>
    <row r="760" spans="3:23" outlineLevel="1"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</row>
    <row r="761" spans="3:23" outlineLevel="1"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</row>
    <row r="762" spans="3:23" outlineLevel="1"/>
    <row r="763" spans="3:23" outlineLevel="1"/>
    <row r="764" spans="3:23" ht="23.25" outlineLevel="1">
      <c r="C764" s="60" t="s">
        <v>473</v>
      </c>
    </row>
    <row r="765" spans="3:23" outlineLevel="1">
      <c r="C765" t="s">
        <v>895</v>
      </c>
    </row>
    <row r="766" spans="3:23" outlineLevel="1">
      <c r="C766" t="s">
        <v>896</v>
      </c>
      <c r="G766" s="16">
        <v>1</v>
      </c>
      <c r="H766" s="17" t="s">
        <v>897</v>
      </c>
      <c r="J766" s="20">
        <f>INDEX(K766:P766,,$G766)</f>
        <v>923727.06</v>
      </c>
      <c r="K766" s="30">
        <v>923727.06</v>
      </c>
      <c r="L766" s="19"/>
      <c r="M766" s="19"/>
      <c r="N766" s="19"/>
      <c r="O766" s="19"/>
      <c r="P766" s="19"/>
      <c r="Q766" s="19"/>
      <c r="R766" s="19"/>
      <c r="S766" s="19"/>
      <c r="T766" s="19"/>
      <c r="U766" s="19"/>
      <c r="V766" s="19"/>
      <c r="W766" s="19"/>
    </row>
    <row r="767" spans="3:23" outlineLevel="1">
      <c r="C767" t="s">
        <v>898</v>
      </c>
      <c r="H767" s="17" t="s">
        <v>899</v>
      </c>
      <c r="K767" s="39">
        <v>0.85137574334741195</v>
      </c>
      <c r="L767" s="39"/>
      <c r="M767" s="19"/>
      <c r="N767" s="19"/>
      <c r="O767" s="19"/>
      <c r="P767" s="19"/>
      <c r="Q767" s="19"/>
      <c r="R767" s="19"/>
      <c r="S767" s="19"/>
      <c r="T767" s="19"/>
      <c r="U767" s="19"/>
      <c r="V767" s="19"/>
      <c r="W767" s="19"/>
    </row>
    <row r="768" spans="3:23" outlineLevel="1">
      <c r="C768" s="2" t="s">
        <v>900</v>
      </c>
      <c r="H768" s="17"/>
    </row>
    <row r="769" spans="3:23" outlineLevel="1">
      <c r="C769" s="68" t="s">
        <v>901</v>
      </c>
      <c r="H769" s="17" t="s">
        <v>902</v>
      </c>
      <c r="K769" s="30"/>
      <c r="L769" s="39">
        <v>0.35120000000000001</v>
      </c>
      <c r="M769" s="39">
        <v>0.35120000000000001</v>
      </c>
      <c r="N769" s="39">
        <v>0.35120000000000001</v>
      </c>
      <c r="O769" s="39">
        <v>0.35120000000000001</v>
      </c>
      <c r="P769" s="39">
        <v>0.35120000000000001</v>
      </c>
      <c r="Q769" s="39">
        <v>0.35120000000000001</v>
      </c>
      <c r="R769" s="39">
        <v>0.35120000000000001</v>
      </c>
      <c r="S769" s="39">
        <v>0.35120000000000001</v>
      </c>
      <c r="T769" s="39">
        <v>0.35120000000000001</v>
      </c>
      <c r="U769" s="39">
        <v>0.35120000000000001</v>
      </c>
      <c r="V769" s="39">
        <v>0.35120000000000001</v>
      </c>
      <c r="W769" s="39">
        <v>0.35120000000000001</v>
      </c>
    </row>
    <row r="770" spans="3:23" outlineLevel="1">
      <c r="C770" s="68" t="s">
        <v>745</v>
      </c>
      <c r="H770" s="17" t="s">
        <v>902</v>
      </c>
      <c r="K770" s="30"/>
      <c r="L770" s="39">
        <v>0.45200000000000001</v>
      </c>
      <c r="M770" s="39">
        <v>0.45200000000000001</v>
      </c>
      <c r="N770" s="39">
        <v>0.45200000000000001</v>
      </c>
      <c r="O770" s="39">
        <v>0.45200000000000001</v>
      </c>
      <c r="P770" s="39">
        <v>0.45200000000000001</v>
      </c>
      <c r="Q770" s="39">
        <v>0.45200000000000001</v>
      </c>
      <c r="R770" s="39">
        <v>0.45200000000000001</v>
      </c>
      <c r="S770" s="39">
        <v>0.45200000000000001</v>
      </c>
      <c r="T770" s="39">
        <v>0.45200000000000001</v>
      </c>
      <c r="U770" s="39">
        <v>0.45200000000000001</v>
      </c>
      <c r="V770" s="39">
        <v>0.45200000000000001</v>
      </c>
      <c r="W770" s="39">
        <v>0.45200000000000001</v>
      </c>
    </row>
    <row r="771" spans="3:23" outlineLevel="1">
      <c r="C771" s="68" t="s">
        <v>743</v>
      </c>
      <c r="H771" s="17" t="s">
        <v>902</v>
      </c>
      <c r="K771" s="30"/>
      <c r="L771" s="39">
        <v>0.3528</v>
      </c>
      <c r="M771" s="39">
        <v>0.3528</v>
      </c>
      <c r="N771" s="39">
        <v>0.3528</v>
      </c>
      <c r="O771" s="39">
        <v>0.3528</v>
      </c>
      <c r="P771" s="39">
        <v>0.3528</v>
      </c>
      <c r="Q771" s="39">
        <v>0.3528</v>
      </c>
      <c r="R771" s="39">
        <v>0.3528</v>
      </c>
      <c r="S771" s="39">
        <v>0.3528</v>
      </c>
      <c r="T771" s="39">
        <v>0.3528</v>
      </c>
      <c r="U771" s="39">
        <v>0.3528</v>
      </c>
      <c r="V771" s="39">
        <v>0.3528</v>
      </c>
      <c r="W771" s="39">
        <v>0.3528</v>
      </c>
    </row>
    <row r="772" spans="3:23" outlineLevel="1">
      <c r="C772" s="68" t="s">
        <v>448</v>
      </c>
      <c r="H772" s="17" t="s">
        <v>902</v>
      </c>
      <c r="K772" s="30"/>
      <c r="L772" s="39">
        <v>0.87190366972477062</v>
      </c>
      <c r="M772" s="39">
        <v>0.3528</v>
      </c>
      <c r="N772" s="39">
        <v>0.3528</v>
      </c>
      <c r="O772" s="39">
        <v>0.3528</v>
      </c>
      <c r="P772" s="39">
        <v>0.3528</v>
      </c>
      <c r="Q772" s="39">
        <v>0.3528</v>
      </c>
      <c r="R772" s="39">
        <v>0.3528</v>
      </c>
      <c r="S772" s="39">
        <v>0.3528</v>
      </c>
      <c r="T772" s="39">
        <v>0.3528</v>
      </c>
      <c r="U772" s="39">
        <v>0.3528</v>
      </c>
      <c r="V772" s="39">
        <v>0.3528</v>
      </c>
      <c r="W772" s="39">
        <v>0.3528</v>
      </c>
    </row>
    <row r="773" spans="3:23" outlineLevel="1">
      <c r="C773" s="68" t="s">
        <v>740</v>
      </c>
      <c r="H773" s="17" t="s">
        <v>902</v>
      </c>
      <c r="K773" s="30"/>
      <c r="L773" s="39">
        <v>0.34689845910707229</v>
      </c>
      <c r="M773" s="39">
        <v>0.34689845910707229</v>
      </c>
      <c r="N773" s="39">
        <v>0.34689845910707229</v>
      </c>
      <c r="O773" s="39">
        <v>0.34689845910707229</v>
      </c>
      <c r="P773" s="39">
        <v>0.34689845910707229</v>
      </c>
      <c r="Q773" s="39">
        <v>0.34689845910707229</v>
      </c>
      <c r="R773" s="39">
        <v>0.34689845910707229</v>
      </c>
      <c r="S773" s="39">
        <v>0.34689845910707229</v>
      </c>
      <c r="T773" s="39">
        <v>0.34689845910707229</v>
      </c>
      <c r="U773" s="39">
        <v>0.34689845910707229</v>
      </c>
      <c r="V773" s="39">
        <v>0.34689845910707229</v>
      </c>
      <c r="W773" s="39">
        <v>0.34689845910707229</v>
      </c>
    </row>
    <row r="774" spans="3:23" outlineLevel="1"/>
    <row r="775" spans="3:23" outlineLevel="1"/>
    <row r="776" spans="3:23" outlineLevel="1">
      <c r="C776" s="407" t="s">
        <v>492</v>
      </c>
    </row>
    <row r="777" spans="3:23" outlineLevel="1">
      <c r="C777" s="407" t="s">
        <v>870</v>
      </c>
      <c r="G777" s="6">
        <f>$G$32</f>
        <v>1</v>
      </c>
      <c r="H777" s="17" t="s">
        <v>325</v>
      </c>
      <c r="I777" s="17"/>
      <c r="K777" s="36">
        <f t="shared" ref="K777:T777" si="129">INDEX(K778:K780,$G777,0)</f>
        <v>4.344148942E-2</v>
      </c>
      <c r="L777" s="36">
        <f t="shared" si="129"/>
        <v>0</v>
      </c>
      <c r="M777" s="36">
        <f t="shared" si="129"/>
        <v>0</v>
      </c>
      <c r="N777" s="36">
        <f t="shared" si="129"/>
        <v>0</v>
      </c>
      <c r="O777" s="36">
        <f t="shared" si="129"/>
        <v>0</v>
      </c>
      <c r="P777" s="36">
        <f t="shared" si="129"/>
        <v>0</v>
      </c>
      <c r="Q777" s="36">
        <f t="shared" si="129"/>
        <v>0</v>
      </c>
      <c r="R777" s="36">
        <f t="shared" si="129"/>
        <v>0</v>
      </c>
      <c r="S777" s="36">
        <f t="shared" si="129"/>
        <v>0</v>
      </c>
      <c r="T777" s="36">
        <f t="shared" si="129"/>
        <v>0</v>
      </c>
      <c r="U777" s="36">
        <f>INDEX(U778:U780,$G777,0)</f>
        <v>0</v>
      </c>
      <c r="V777" s="36">
        <f>INDEX(V778:V780,$G777,0)</f>
        <v>0</v>
      </c>
      <c r="W777" s="36">
        <f>INDEX(W778:W780,$G777,0)</f>
        <v>0</v>
      </c>
    </row>
    <row r="778" spans="3:23" outlineLevel="1">
      <c r="C778" s="407" t="s">
        <v>840</v>
      </c>
      <c r="K778" s="26">
        <v>4.344148942E-2</v>
      </c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</row>
    <row r="779" spans="3:23" outlineLevel="1"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</row>
    <row r="780" spans="3:23" outlineLevel="1"/>
    <row r="781" spans="3:23" outlineLevel="1"/>
    <row r="782" spans="3:23" outlineLevel="1">
      <c r="C782" s="407" t="s">
        <v>887</v>
      </c>
      <c r="G782" s="6">
        <f>$G$32</f>
        <v>1</v>
      </c>
      <c r="H782" s="17" t="s">
        <v>325</v>
      </c>
      <c r="I782" s="17"/>
      <c r="K782" s="36">
        <f>INDEX(K783:K785,$G782,0)</f>
        <v>3.5000000000000003E-2</v>
      </c>
      <c r="L782" s="36">
        <f t="shared" ref="L782:T782" si="130">INDEX(L783:L785,$G782,0)</f>
        <v>3.5000000000000003E-2</v>
      </c>
      <c r="M782" s="36">
        <f t="shared" si="130"/>
        <v>3.5000000000000003E-2</v>
      </c>
      <c r="N782" s="36">
        <f t="shared" si="130"/>
        <v>3.5000000000000003E-2</v>
      </c>
      <c r="O782" s="36">
        <f t="shared" si="130"/>
        <v>3.5000000000000003E-2</v>
      </c>
      <c r="P782" s="36">
        <f t="shared" si="130"/>
        <v>3.5000000000000003E-2</v>
      </c>
      <c r="Q782" s="36">
        <f t="shared" si="130"/>
        <v>3.5000000000000003E-2</v>
      </c>
      <c r="R782" s="36">
        <f t="shared" si="130"/>
        <v>3.5000000000000003E-2</v>
      </c>
      <c r="S782" s="36">
        <f t="shared" si="130"/>
        <v>3.5000000000000003E-2</v>
      </c>
      <c r="T782" s="36">
        <f t="shared" si="130"/>
        <v>3.5000000000000003E-2</v>
      </c>
      <c r="U782" s="36">
        <f>INDEX(U783:U785,$G782,0)</f>
        <v>3.5000000000000003E-2</v>
      </c>
      <c r="V782" s="36">
        <f>INDEX(V783:V785,$G782,0)</f>
        <v>3.5000000000000003E-2</v>
      </c>
      <c r="W782" s="36">
        <f>INDEX(W783:W785,$G782,0)</f>
        <v>3.5000000000000003E-2</v>
      </c>
    </row>
    <row r="783" spans="3:23" outlineLevel="1">
      <c r="C783" s="407" t="s">
        <v>840</v>
      </c>
      <c r="K783" s="26">
        <v>3.5000000000000003E-2</v>
      </c>
      <c r="L783" s="26">
        <v>3.5000000000000003E-2</v>
      </c>
      <c r="M783" s="26">
        <v>3.5000000000000003E-2</v>
      </c>
      <c r="N783" s="26">
        <v>3.5000000000000003E-2</v>
      </c>
      <c r="O783" s="26">
        <v>3.5000000000000003E-2</v>
      </c>
      <c r="P783" s="26">
        <v>3.5000000000000003E-2</v>
      </c>
      <c r="Q783" s="26">
        <v>3.5000000000000003E-2</v>
      </c>
      <c r="R783" s="26">
        <v>3.5000000000000003E-2</v>
      </c>
      <c r="S783" s="26">
        <v>3.5000000000000003E-2</v>
      </c>
      <c r="T783" s="26">
        <v>3.5000000000000003E-2</v>
      </c>
      <c r="U783" s="26">
        <v>3.5000000000000003E-2</v>
      </c>
      <c r="V783" s="26">
        <v>3.5000000000000003E-2</v>
      </c>
      <c r="W783" s="26">
        <v>3.5000000000000003E-2</v>
      </c>
    </row>
    <row r="784" spans="3:23" outlineLevel="1"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</row>
    <row r="785" spans="3:23" outlineLevel="1"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</row>
    <row r="786" spans="3:23" outlineLevel="1"/>
    <row r="787" spans="3:23" outlineLevel="1">
      <c r="C787" s="407" t="s">
        <v>870</v>
      </c>
      <c r="G787" s="6">
        <f>$G$32</f>
        <v>1</v>
      </c>
      <c r="H787" s="17" t="s">
        <v>315</v>
      </c>
      <c r="J787" s="20">
        <f>INDEX(K787:P787,,$G787)</f>
        <v>2.5544369389999999</v>
      </c>
      <c r="K787" s="19">
        <v>2.5544369389999999</v>
      </c>
      <c r="L787" s="19"/>
      <c r="M787" s="19"/>
      <c r="N787" s="19"/>
      <c r="O787" s="19"/>
      <c r="P787" s="19"/>
    </row>
    <row r="788" spans="3:23" outlineLevel="1"/>
    <row r="789" spans="3:23" outlineLevel="1">
      <c r="C789" s="407" t="s">
        <v>585</v>
      </c>
      <c r="G789" s="6">
        <f>$G$32</f>
        <v>1</v>
      </c>
      <c r="H789" s="17" t="s">
        <v>325</v>
      </c>
      <c r="I789" s="17"/>
      <c r="K789" s="36">
        <f>INDEX(K790:K792,$G789,0)</f>
        <v>0.01</v>
      </c>
      <c r="L789" s="36">
        <f t="shared" ref="L789:T789" si="131">INDEX(L790:L792,$G789,0)</f>
        <v>0.01</v>
      </c>
      <c r="M789" s="36">
        <f t="shared" si="131"/>
        <v>0.01</v>
      </c>
      <c r="N789" s="36">
        <f t="shared" si="131"/>
        <v>0.01</v>
      </c>
      <c r="O789" s="36">
        <f t="shared" si="131"/>
        <v>0.01</v>
      </c>
      <c r="P789" s="36">
        <f t="shared" si="131"/>
        <v>0.01</v>
      </c>
      <c r="Q789" s="36">
        <f t="shared" si="131"/>
        <v>0.01</v>
      </c>
      <c r="R789" s="36">
        <f t="shared" si="131"/>
        <v>0.01</v>
      </c>
      <c r="S789" s="36">
        <f t="shared" si="131"/>
        <v>0.01</v>
      </c>
      <c r="T789" s="36">
        <f t="shared" si="131"/>
        <v>0.01</v>
      </c>
      <c r="U789" s="36">
        <f>INDEX(U790:U792,$G789,0)</f>
        <v>0.01</v>
      </c>
      <c r="V789" s="36">
        <f>INDEX(V790:V792,$G789,0)</f>
        <v>0.01</v>
      </c>
      <c r="W789" s="36">
        <f>INDEX(W790:W792,$G789,0)</f>
        <v>0.01</v>
      </c>
    </row>
    <row r="790" spans="3:23" outlineLevel="1">
      <c r="C790" s="407" t="s">
        <v>840</v>
      </c>
      <c r="K790" s="26">
        <v>0.01</v>
      </c>
      <c r="L790" s="26">
        <v>0.01</v>
      </c>
      <c r="M790" s="26">
        <v>0.01</v>
      </c>
      <c r="N790" s="26">
        <v>0.01</v>
      </c>
      <c r="O790" s="26">
        <v>0.01</v>
      </c>
      <c r="P790" s="26">
        <v>0.01</v>
      </c>
      <c r="Q790" s="26">
        <v>0.01</v>
      </c>
      <c r="R790" s="26">
        <v>0.01</v>
      </c>
      <c r="S790" s="26">
        <v>0.01</v>
      </c>
      <c r="T790" s="26">
        <v>0.01</v>
      </c>
      <c r="U790" s="26">
        <v>0.01</v>
      </c>
      <c r="V790" s="26">
        <v>0.01</v>
      </c>
      <c r="W790" s="26">
        <v>0.01</v>
      </c>
    </row>
    <row r="791" spans="3:23" outlineLevel="1"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</row>
    <row r="792" spans="3:23" outlineLevel="1"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</row>
    <row r="793" spans="3:23" outlineLevel="1"/>
    <row r="794" spans="3:23" outlineLevel="1">
      <c r="C794" s="407" t="s">
        <v>870</v>
      </c>
      <c r="G794" s="6">
        <f>$G$32</f>
        <v>1</v>
      </c>
      <c r="J794" s="20">
        <f>INDEX(K794:P794,,$G794)</f>
        <v>8.5200650999999999E-3</v>
      </c>
      <c r="K794" s="19">
        <v>8.5200650999999999E-3</v>
      </c>
      <c r="L794" s="19"/>
      <c r="M794" s="19"/>
      <c r="N794" s="19"/>
      <c r="O794" s="19"/>
      <c r="P794" s="19"/>
    </row>
    <row r="795" spans="3:23" outlineLevel="1"/>
    <row r="796" spans="3:23" outlineLevel="1">
      <c r="C796" s="407" t="s">
        <v>586</v>
      </c>
      <c r="G796" s="6">
        <f>$G$32</f>
        <v>1</v>
      </c>
      <c r="H796" s="17" t="s">
        <v>325</v>
      </c>
      <c r="I796" s="17"/>
      <c r="K796" s="36">
        <f>INDEX(K797:K799,$G796,0)</f>
        <v>1.4974683466982317E-4</v>
      </c>
      <c r="L796" s="36">
        <f t="shared" ref="L796:T796" si="132">INDEX(L797:L799,$G796,0)</f>
        <v>1.4974683466982317E-4</v>
      </c>
      <c r="M796" s="36">
        <f t="shared" si="132"/>
        <v>1.4974683466982317E-4</v>
      </c>
      <c r="N796" s="36">
        <f t="shared" si="132"/>
        <v>1.4974683466982317E-4</v>
      </c>
      <c r="O796" s="36">
        <f t="shared" si="132"/>
        <v>1.4974683466982317E-4</v>
      </c>
      <c r="P796" s="36">
        <f t="shared" si="132"/>
        <v>1.4974683466982317E-4</v>
      </c>
      <c r="Q796" s="36">
        <f t="shared" si="132"/>
        <v>1.4974683466982317E-4</v>
      </c>
      <c r="R796" s="36">
        <f t="shared" si="132"/>
        <v>1.4974683466982317E-4</v>
      </c>
      <c r="S796" s="36">
        <f t="shared" si="132"/>
        <v>1.4974683466982317E-4</v>
      </c>
      <c r="T796" s="36">
        <f t="shared" si="132"/>
        <v>1.4974683466982317E-4</v>
      </c>
      <c r="U796" s="36">
        <f>INDEX(U797:U799,$G796,0)</f>
        <v>1.4974683466982317E-4</v>
      </c>
      <c r="V796" s="36">
        <f>INDEX(V797:V799,$G796,0)</f>
        <v>1.4974683466982317E-4</v>
      </c>
      <c r="W796" s="36">
        <f>INDEX(W797:W799,$G796,0)</f>
        <v>1.4974683466982317E-4</v>
      </c>
    </row>
    <row r="797" spans="3:23" outlineLevel="1">
      <c r="C797" s="407" t="s">
        <v>840</v>
      </c>
      <c r="K797" s="26">
        <v>1.4974683466982317E-4</v>
      </c>
      <c r="L797" s="26">
        <v>1.4974683466982317E-4</v>
      </c>
      <c r="M797" s="26">
        <v>1.4974683466982317E-4</v>
      </c>
      <c r="N797" s="26">
        <v>1.4974683466982317E-4</v>
      </c>
      <c r="O797" s="26">
        <v>1.4974683466982317E-4</v>
      </c>
      <c r="P797" s="26">
        <v>1.4974683466982317E-4</v>
      </c>
      <c r="Q797" s="26">
        <v>1.4974683466982317E-4</v>
      </c>
      <c r="R797" s="26">
        <v>1.4974683466982317E-4</v>
      </c>
      <c r="S797" s="26">
        <v>1.4974683466982317E-4</v>
      </c>
      <c r="T797" s="26">
        <v>1.4974683466982317E-4</v>
      </c>
      <c r="U797" s="26">
        <v>1.4974683466982317E-4</v>
      </c>
      <c r="V797" s="26">
        <v>1.4974683466982317E-4</v>
      </c>
      <c r="W797" s="26">
        <v>1.4974683466982317E-4</v>
      </c>
    </row>
    <row r="798" spans="3:23" outlineLevel="1"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</row>
    <row r="799" spans="3:23" outlineLevel="1"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</row>
    <row r="800" spans="3:23" outlineLevel="1"/>
    <row r="801" spans="3:23" outlineLevel="1">
      <c r="C801" s="407" t="s">
        <v>870</v>
      </c>
      <c r="G801" s="6">
        <f>$G$32</f>
        <v>1</v>
      </c>
      <c r="J801" s="20">
        <f>INDEX(K801:P801,,$G801)</f>
        <v>7.4361510999999998E-3</v>
      </c>
      <c r="K801" s="19">
        <v>7.4361510999999998E-3</v>
      </c>
      <c r="L801" s="19"/>
      <c r="M801" s="19"/>
      <c r="N801" s="19"/>
      <c r="O801" s="19"/>
      <c r="P801" s="19"/>
    </row>
    <row r="802" spans="3:23" outlineLevel="1"/>
    <row r="803" spans="3:23" ht="23.25" outlineLevel="1">
      <c r="C803" s="59" t="s">
        <v>535</v>
      </c>
    </row>
    <row r="804" spans="3:23" outlineLevel="1">
      <c r="C804" s="407" t="s">
        <v>854</v>
      </c>
      <c r="G804" s="6">
        <f>$G$32</f>
        <v>1</v>
      </c>
      <c r="H804" s="17" t="s">
        <v>325</v>
      </c>
      <c r="I804" s="17"/>
      <c r="K804" s="36">
        <f>INDEX(K805:K807,$G804,0)</f>
        <v>0.01</v>
      </c>
      <c r="L804" s="36">
        <f t="shared" ref="L804:T804" si="133">INDEX(L805:L807,$G804,0)</f>
        <v>0.01</v>
      </c>
      <c r="M804" s="36">
        <f t="shared" si="133"/>
        <v>0.01</v>
      </c>
      <c r="N804" s="36">
        <f t="shared" si="133"/>
        <v>0.01</v>
      </c>
      <c r="O804" s="36">
        <f t="shared" si="133"/>
        <v>0.01</v>
      </c>
      <c r="P804" s="36">
        <f t="shared" si="133"/>
        <v>0.01</v>
      </c>
      <c r="Q804" s="36">
        <f t="shared" si="133"/>
        <v>0.01</v>
      </c>
      <c r="R804" s="36">
        <f t="shared" si="133"/>
        <v>0.01</v>
      </c>
      <c r="S804" s="36">
        <f t="shared" si="133"/>
        <v>0.01</v>
      </c>
      <c r="T804" s="36">
        <f t="shared" si="133"/>
        <v>0.01</v>
      </c>
      <c r="U804" s="36">
        <f>INDEX(U805:U807,$G804,0)</f>
        <v>0.01</v>
      </c>
      <c r="V804" s="36">
        <f>INDEX(V805:V807,$G804,0)</f>
        <v>0.01</v>
      </c>
      <c r="W804" s="36">
        <f>INDEX(W805:W807,$G804,0)</f>
        <v>0.01</v>
      </c>
    </row>
    <row r="805" spans="3:23" outlineLevel="1">
      <c r="C805" s="407" t="s">
        <v>840</v>
      </c>
      <c r="K805" s="26">
        <v>0.01</v>
      </c>
      <c r="L805" s="26">
        <v>0.01</v>
      </c>
      <c r="M805" s="26">
        <v>0.01</v>
      </c>
      <c r="N805" s="26">
        <v>0.01</v>
      </c>
      <c r="O805" s="26">
        <v>0.01</v>
      </c>
      <c r="P805" s="26">
        <v>0.01</v>
      </c>
      <c r="Q805" s="26">
        <v>0.01</v>
      </c>
      <c r="R805" s="26">
        <v>0.01</v>
      </c>
      <c r="S805" s="26">
        <v>0.01</v>
      </c>
      <c r="T805" s="26">
        <v>0.01</v>
      </c>
      <c r="U805" s="26">
        <v>0.01</v>
      </c>
      <c r="V805" s="26">
        <v>0.01</v>
      </c>
      <c r="W805" s="26">
        <v>0.01</v>
      </c>
    </row>
    <row r="806" spans="3:23" outlineLevel="1"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</row>
    <row r="807" spans="3:23" outlineLevel="1"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</row>
    <row r="808" spans="3:23" outlineLevel="1"/>
    <row r="809" spans="3:23" outlineLevel="1">
      <c r="C809" s="407" t="s">
        <v>870</v>
      </c>
      <c r="G809" s="6">
        <f>$G$32</f>
        <v>1</v>
      </c>
      <c r="J809" s="20">
        <f>INDEX(K809:P809,,$G809)</f>
        <v>1.3845168216799999</v>
      </c>
      <c r="K809" s="19">
        <v>1.3845168216799999</v>
      </c>
      <c r="L809" s="19"/>
      <c r="M809" s="19"/>
      <c r="N809" s="19"/>
      <c r="O809" s="19"/>
      <c r="P809" s="19"/>
    </row>
    <row r="810" spans="3:23" outlineLevel="1"/>
    <row r="811" spans="3:23" outlineLevel="1">
      <c r="C811" s="407" t="s">
        <v>857</v>
      </c>
      <c r="G811" s="6">
        <f>$G$32</f>
        <v>1</v>
      </c>
      <c r="H811" s="17" t="s">
        <v>325</v>
      </c>
      <c r="I811" s="17"/>
      <c r="K811" s="36">
        <f>INDEX(K812:K814,$G811,0)</f>
        <v>0.01</v>
      </c>
      <c r="L811" s="36">
        <f t="shared" ref="L811:T811" si="134">INDEX(L812:L814,$G811,0)</f>
        <v>0.01</v>
      </c>
      <c r="M811" s="36">
        <f t="shared" si="134"/>
        <v>0.01</v>
      </c>
      <c r="N811" s="36">
        <f t="shared" si="134"/>
        <v>0.01</v>
      </c>
      <c r="O811" s="36">
        <f t="shared" si="134"/>
        <v>0.01</v>
      </c>
      <c r="P811" s="36">
        <f t="shared" si="134"/>
        <v>0.01</v>
      </c>
      <c r="Q811" s="36">
        <f t="shared" si="134"/>
        <v>0.01</v>
      </c>
      <c r="R811" s="36">
        <f t="shared" si="134"/>
        <v>0.01</v>
      </c>
      <c r="S811" s="36">
        <f t="shared" si="134"/>
        <v>0.01</v>
      </c>
      <c r="T811" s="36">
        <f t="shared" si="134"/>
        <v>0.01</v>
      </c>
      <c r="U811" s="36">
        <f>INDEX(U812:U814,$G811,0)</f>
        <v>0.01</v>
      </c>
      <c r="V811" s="36">
        <f>INDEX(V812:V814,$G811,0)</f>
        <v>0.01</v>
      </c>
      <c r="W811" s="36">
        <f>INDEX(W812:W814,$G811,0)</f>
        <v>0.01</v>
      </c>
    </row>
    <row r="812" spans="3:23" outlineLevel="1">
      <c r="C812" s="407" t="s">
        <v>840</v>
      </c>
      <c r="K812" s="26">
        <v>0.01</v>
      </c>
      <c r="L812" s="26">
        <v>0.01</v>
      </c>
      <c r="M812" s="26">
        <v>0.01</v>
      </c>
      <c r="N812" s="26">
        <v>0.01</v>
      </c>
      <c r="O812" s="26">
        <v>0.01</v>
      </c>
      <c r="P812" s="26">
        <v>0.01</v>
      </c>
      <c r="Q812" s="26">
        <v>0.01</v>
      </c>
      <c r="R812" s="26">
        <v>0.01</v>
      </c>
      <c r="S812" s="26">
        <v>0.01</v>
      </c>
      <c r="T812" s="26">
        <v>0.01</v>
      </c>
      <c r="U812" s="26">
        <v>0.01</v>
      </c>
      <c r="V812" s="26">
        <v>0.01</v>
      </c>
      <c r="W812" s="26">
        <v>0.01</v>
      </c>
    </row>
    <row r="813" spans="3:23" outlineLevel="1"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</row>
    <row r="814" spans="3:23" outlineLevel="1"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</row>
    <row r="815" spans="3:23" outlineLevel="1"/>
    <row r="816" spans="3:23" outlineLevel="1">
      <c r="C816" s="407" t="s">
        <v>870</v>
      </c>
      <c r="G816" s="6">
        <f>$G$32</f>
        <v>1</v>
      </c>
      <c r="J816" s="20">
        <f>INDEX(K816:P816,,$G816)</f>
        <v>9.1772826000000002E-2</v>
      </c>
      <c r="K816" s="19">
        <v>9.1772826000000002E-2</v>
      </c>
      <c r="L816" s="19"/>
      <c r="M816" s="19"/>
      <c r="N816" s="19"/>
      <c r="O816" s="19"/>
      <c r="P816" s="19"/>
    </row>
    <row r="817" spans="3:23" outlineLevel="1"/>
    <row r="818" spans="3:23" outlineLevel="1">
      <c r="C818" s="407" t="s">
        <v>894</v>
      </c>
      <c r="G818" s="6">
        <f>$G$32</f>
        <v>1</v>
      </c>
      <c r="H818" s="17" t="s">
        <v>325</v>
      </c>
      <c r="I818" s="17"/>
      <c r="K818" s="36">
        <f>INDEX(K819:K821,$G818,0)</f>
        <v>0.01</v>
      </c>
      <c r="L818" s="36">
        <f t="shared" ref="L818:T818" si="135">INDEX(L819:L821,$G818,0)</f>
        <v>0.01</v>
      </c>
      <c r="M818" s="36">
        <f t="shared" si="135"/>
        <v>0.01</v>
      </c>
      <c r="N818" s="36">
        <f t="shared" si="135"/>
        <v>0.01</v>
      </c>
      <c r="O818" s="36">
        <f t="shared" si="135"/>
        <v>0.01</v>
      </c>
      <c r="P818" s="36">
        <f t="shared" si="135"/>
        <v>0.01</v>
      </c>
      <c r="Q818" s="36">
        <f t="shared" si="135"/>
        <v>0.01</v>
      </c>
      <c r="R818" s="36">
        <f t="shared" si="135"/>
        <v>0.01</v>
      </c>
      <c r="S818" s="36">
        <f t="shared" si="135"/>
        <v>0.01</v>
      </c>
      <c r="T818" s="36">
        <f t="shared" si="135"/>
        <v>0.01</v>
      </c>
      <c r="U818" s="36">
        <f>INDEX(U819:U821,$G818,0)</f>
        <v>0.01</v>
      </c>
      <c r="V818" s="36">
        <f>INDEX(V819:V821,$G818,0)</f>
        <v>0.01</v>
      </c>
      <c r="W818" s="36">
        <f>INDEX(W819:W821,$G818,0)</f>
        <v>0.01</v>
      </c>
    </row>
    <row r="819" spans="3:23" outlineLevel="1">
      <c r="C819" s="407" t="s">
        <v>840</v>
      </c>
      <c r="K819" s="26">
        <v>0.01</v>
      </c>
      <c r="L819" s="26">
        <v>0.01</v>
      </c>
      <c r="M819" s="26">
        <v>0.01</v>
      </c>
      <c r="N819" s="26">
        <v>0.01</v>
      </c>
      <c r="O819" s="26">
        <v>0.01</v>
      </c>
      <c r="P819" s="26">
        <v>0.01</v>
      </c>
      <c r="Q819" s="26">
        <v>0.01</v>
      </c>
      <c r="R819" s="26">
        <v>0.01</v>
      </c>
      <c r="S819" s="26">
        <v>0.01</v>
      </c>
      <c r="T819" s="26">
        <v>0.01</v>
      </c>
      <c r="U819" s="26">
        <v>0.01</v>
      </c>
      <c r="V819" s="26">
        <v>0.01</v>
      </c>
      <c r="W819" s="26">
        <v>0.01</v>
      </c>
    </row>
    <row r="820" spans="3:23" outlineLevel="1"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</row>
    <row r="821" spans="3:23" outlineLevel="1"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</row>
    <row r="822" spans="3:23" outlineLevel="1"/>
    <row r="823" spans="3:23" outlineLevel="1">
      <c r="C823" s="407" t="s">
        <v>870</v>
      </c>
      <c r="G823" s="6">
        <f>$G$32</f>
        <v>1</v>
      </c>
      <c r="J823" s="20">
        <f>INDEX(K823:P823,,$G823)</f>
        <v>0.09</v>
      </c>
      <c r="K823" s="19">
        <v>0.09</v>
      </c>
      <c r="L823" s="19"/>
      <c r="M823" s="19"/>
      <c r="N823" s="19"/>
      <c r="O823" s="19"/>
      <c r="P823" s="19"/>
    </row>
    <row r="824" spans="3:23" outlineLevel="1"/>
    <row r="825" spans="3:23" outlineLevel="1">
      <c r="C825" s="407" t="s">
        <v>859</v>
      </c>
      <c r="G825" s="6">
        <f>$G$32</f>
        <v>1</v>
      </c>
      <c r="H825" s="17" t="s">
        <v>325</v>
      </c>
      <c r="I825" s="17"/>
      <c r="K825" s="36">
        <f>INDEX(K826:K828,$G825,0)</f>
        <v>0.01</v>
      </c>
      <c r="L825" s="36">
        <f t="shared" ref="L825:T825" si="136">INDEX(L826:L828,$G825,0)</f>
        <v>0.01</v>
      </c>
      <c r="M825" s="36">
        <f t="shared" si="136"/>
        <v>0.01</v>
      </c>
      <c r="N825" s="36">
        <f t="shared" si="136"/>
        <v>0.01</v>
      </c>
      <c r="O825" s="36">
        <f t="shared" si="136"/>
        <v>0.01</v>
      </c>
      <c r="P825" s="36">
        <f t="shared" si="136"/>
        <v>0.01</v>
      </c>
      <c r="Q825" s="36">
        <f t="shared" si="136"/>
        <v>0.01</v>
      </c>
      <c r="R825" s="36">
        <f t="shared" si="136"/>
        <v>0.01</v>
      </c>
      <c r="S825" s="36">
        <f t="shared" si="136"/>
        <v>0.01</v>
      </c>
      <c r="T825" s="36">
        <f t="shared" si="136"/>
        <v>0.01</v>
      </c>
      <c r="U825" s="36">
        <f>INDEX(U826:U828,$G825,0)</f>
        <v>0.01</v>
      </c>
      <c r="V825" s="36">
        <f>INDEX(V826:V828,$G825,0)</f>
        <v>0.01</v>
      </c>
      <c r="W825" s="36">
        <f>INDEX(W826:W828,$G825,0)</f>
        <v>0.01</v>
      </c>
    </row>
    <row r="826" spans="3:23" outlineLevel="1">
      <c r="C826" s="407" t="s">
        <v>840</v>
      </c>
      <c r="K826" s="26">
        <v>0.01</v>
      </c>
      <c r="L826" s="26">
        <v>0.01</v>
      </c>
      <c r="M826" s="26">
        <v>0.01</v>
      </c>
      <c r="N826" s="26">
        <v>0.01</v>
      </c>
      <c r="O826" s="26">
        <v>0.01</v>
      </c>
      <c r="P826" s="26">
        <v>0.01</v>
      </c>
      <c r="Q826" s="26">
        <v>0.01</v>
      </c>
      <c r="R826" s="26">
        <v>0.01</v>
      </c>
      <c r="S826" s="26">
        <v>0.01</v>
      </c>
      <c r="T826" s="26">
        <v>0.01</v>
      </c>
      <c r="U826" s="26">
        <v>0.01</v>
      </c>
      <c r="V826" s="26">
        <v>0.01</v>
      </c>
      <c r="W826" s="26">
        <v>0.01</v>
      </c>
    </row>
    <row r="827" spans="3:23" outlineLevel="1"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</row>
    <row r="828" spans="3:23" outlineLevel="1"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</row>
    <row r="829" spans="3:23" outlineLevel="1"/>
    <row r="830" spans="3:23" outlineLevel="1">
      <c r="C830" s="407" t="s">
        <v>870</v>
      </c>
      <c r="G830" s="6">
        <f>$G$32</f>
        <v>1</v>
      </c>
      <c r="J830" s="20">
        <f>INDEX(K830:P830,,$G830)</f>
        <v>4.422234244E-2</v>
      </c>
      <c r="K830" s="19">
        <v>4.422234244E-2</v>
      </c>
      <c r="L830" s="19"/>
      <c r="M830" s="19"/>
      <c r="N830" s="19"/>
      <c r="O830" s="19"/>
      <c r="P830" s="19"/>
    </row>
    <row r="831" spans="3:23" outlineLevel="1"/>
    <row r="832" spans="3:23" outlineLevel="1">
      <c r="C832" s="407" t="s">
        <v>858</v>
      </c>
      <c r="G832" s="6">
        <f>$G$32</f>
        <v>1</v>
      </c>
      <c r="H832" s="17" t="s">
        <v>325</v>
      </c>
      <c r="I832" s="17"/>
      <c r="K832" s="36">
        <f>INDEX(K833:K835,$G832,0)</f>
        <v>0.01</v>
      </c>
      <c r="L832" s="36">
        <f t="shared" ref="L832:T832" si="137">INDEX(L833:L835,$G832,0)</f>
        <v>0.01</v>
      </c>
      <c r="M832" s="36">
        <f t="shared" si="137"/>
        <v>0.01</v>
      </c>
      <c r="N832" s="36">
        <f t="shared" si="137"/>
        <v>0.01</v>
      </c>
      <c r="O832" s="36">
        <f t="shared" si="137"/>
        <v>0.01</v>
      </c>
      <c r="P832" s="36">
        <f t="shared" si="137"/>
        <v>0.01</v>
      </c>
      <c r="Q832" s="36">
        <f t="shared" si="137"/>
        <v>0.01</v>
      </c>
      <c r="R832" s="36">
        <f t="shared" si="137"/>
        <v>0.01</v>
      </c>
      <c r="S832" s="36">
        <f t="shared" si="137"/>
        <v>0.01</v>
      </c>
      <c r="T832" s="36">
        <f t="shared" si="137"/>
        <v>0.01</v>
      </c>
      <c r="U832" s="36">
        <f>INDEX(U833:U835,$G832,0)</f>
        <v>0.01</v>
      </c>
      <c r="V832" s="36">
        <f>INDEX(V833:V835,$G832,0)</f>
        <v>0.01</v>
      </c>
      <c r="W832" s="36">
        <f>INDEX(W833:W835,$G832,0)</f>
        <v>0.01</v>
      </c>
    </row>
    <row r="833" spans="3:23" outlineLevel="1">
      <c r="C833" s="407" t="s">
        <v>840</v>
      </c>
      <c r="K833" s="26">
        <v>0.01</v>
      </c>
      <c r="L833" s="26">
        <v>0.01</v>
      </c>
      <c r="M833" s="26">
        <v>0.01</v>
      </c>
      <c r="N833" s="26">
        <v>0.01</v>
      </c>
      <c r="O833" s="26">
        <v>0.01</v>
      </c>
      <c r="P833" s="26">
        <v>0.01</v>
      </c>
      <c r="Q833" s="26">
        <v>0.01</v>
      </c>
      <c r="R833" s="26">
        <v>0.01</v>
      </c>
      <c r="S833" s="26">
        <v>0.01</v>
      </c>
      <c r="T833" s="26">
        <v>0.01</v>
      </c>
      <c r="U833" s="26">
        <v>0.01</v>
      </c>
      <c r="V833" s="26">
        <v>0.01</v>
      </c>
      <c r="W833" s="26">
        <v>0.01</v>
      </c>
    </row>
    <row r="834" spans="3:23" outlineLevel="1"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</row>
    <row r="835" spans="3:23" outlineLevel="1"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</row>
    <row r="836" spans="3:23" outlineLevel="1"/>
    <row r="837" spans="3:23" outlineLevel="1">
      <c r="C837" s="407" t="s">
        <v>870</v>
      </c>
      <c r="G837" s="6">
        <f>$G$32</f>
        <v>1</v>
      </c>
      <c r="J837" s="20">
        <f>INDEX(K837:P837,,$G837)</f>
        <v>1.1234156E-2</v>
      </c>
      <c r="K837" s="19">
        <v>1.1234156E-2</v>
      </c>
      <c r="L837" s="19"/>
      <c r="M837" s="19"/>
      <c r="N837" s="19"/>
      <c r="O837" s="19"/>
      <c r="P837" s="19"/>
    </row>
    <row r="839" spans="3:23" ht="20.25" thickBot="1">
      <c r="C839" s="66" t="s">
        <v>588</v>
      </c>
      <c r="D839" s="66"/>
      <c r="E839" s="66"/>
      <c r="F839" s="66"/>
      <c r="G839" s="66"/>
      <c r="H839" s="66"/>
      <c r="I839" s="66"/>
      <c r="J839" s="66"/>
      <c r="K839" s="66"/>
      <c r="L839" s="66"/>
      <c r="M839" s="66"/>
      <c r="N839" s="66"/>
      <c r="O839" s="66"/>
      <c r="P839" s="66"/>
      <c r="Q839" s="66"/>
      <c r="R839" s="66"/>
      <c r="S839" s="66"/>
      <c r="T839" s="66"/>
      <c r="U839" s="66"/>
      <c r="V839" s="66"/>
      <c r="W839" s="66"/>
    </row>
    <row r="840" spans="3:23" ht="15.75" thickTop="1"/>
    <row r="841" spans="3:23" ht="23.25" outlineLevel="1">
      <c r="C841" s="60" t="s">
        <v>9</v>
      </c>
    </row>
    <row r="842" spans="3:23" outlineLevel="1"/>
    <row r="843" spans="3:23" ht="15.75" outlineLevel="1">
      <c r="C843" s="15" t="s">
        <v>590</v>
      </c>
    </row>
    <row r="844" spans="3:23" outlineLevel="1">
      <c r="C844" s="407" t="s">
        <v>839</v>
      </c>
      <c r="G844" s="6">
        <f>$G$32</f>
        <v>1</v>
      </c>
      <c r="H844" s="17" t="s">
        <v>325</v>
      </c>
      <c r="I844" s="17"/>
      <c r="K844" s="36">
        <f>INDEX(K845:K847,$G844,0)</f>
        <v>0</v>
      </c>
      <c r="L844" s="36">
        <f t="shared" ref="L844:T844" si="138">INDEX(L845:L847,$G844,0)</f>
        <v>0.04</v>
      </c>
      <c r="M844" s="36">
        <f t="shared" si="138"/>
        <v>0.04</v>
      </c>
      <c r="N844" s="36">
        <f t="shared" si="138"/>
        <v>0.04</v>
      </c>
      <c r="O844" s="36">
        <f t="shared" si="138"/>
        <v>0.04</v>
      </c>
      <c r="P844" s="36">
        <f t="shared" si="138"/>
        <v>0.04</v>
      </c>
      <c r="Q844" s="36">
        <f t="shared" si="138"/>
        <v>0.04</v>
      </c>
      <c r="R844" s="36">
        <f t="shared" si="138"/>
        <v>0.04</v>
      </c>
      <c r="S844" s="36">
        <f t="shared" si="138"/>
        <v>0.04</v>
      </c>
      <c r="T844" s="36">
        <f t="shared" si="138"/>
        <v>0.04</v>
      </c>
      <c r="U844" s="36">
        <f>INDEX(U845:U847,$G844,0)</f>
        <v>0.04</v>
      </c>
      <c r="V844" s="36">
        <f>INDEX(V845:V847,$G844,0)</f>
        <v>0.04</v>
      </c>
      <c r="W844" s="36">
        <f>INDEX(W845:W847,$G844,0)</f>
        <v>0.04</v>
      </c>
    </row>
    <row r="845" spans="3:23" outlineLevel="1">
      <c r="C845" s="407" t="s">
        <v>840</v>
      </c>
      <c r="K845" s="26"/>
      <c r="L845" s="26">
        <v>0.04</v>
      </c>
      <c r="M845" s="26">
        <v>0.04</v>
      </c>
      <c r="N845" s="26">
        <v>0.04</v>
      </c>
      <c r="O845" s="26">
        <v>0.04</v>
      </c>
      <c r="P845" s="26">
        <v>0.04</v>
      </c>
      <c r="Q845" s="26">
        <v>0.04</v>
      </c>
      <c r="R845" s="26">
        <v>0.04</v>
      </c>
      <c r="S845" s="26">
        <v>0.04</v>
      </c>
      <c r="T845" s="26">
        <v>0.04</v>
      </c>
      <c r="U845" s="26">
        <v>0.04</v>
      </c>
      <c r="V845" s="26">
        <v>0.04</v>
      </c>
      <c r="W845" s="26">
        <v>0.04</v>
      </c>
    </row>
    <row r="846" spans="3:23" outlineLevel="1"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</row>
    <row r="847" spans="3:23" outlineLevel="1"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</row>
    <row r="848" spans="3:23" outlineLevel="1"/>
    <row r="849" spans="3:23" outlineLevel="1">
      <c r="C849" s="407" t="s">
        <v>903</v>
      </c>
      <c r="G849" s="6">
        <f>$G$32</f>
        <v>1</v>
      </c>
      <c r="H849" s="17" t="s">
        <v>543</v>
      </c>
      <c r="J849" s="20">
        <f>INDEX(K849:P849,,$G849)</f>
        <v>276000</v>
      </c>
      <c r="K849" s="30">
        <v>276000</v>
      </c>
      <c r="L849" s="19"/>
      <c r="M849" s="19"/>
      <c r="N849" s="19"/>
      <c r="O849" s="19"/>
      <c r="P849" s="19"/>
    </row>
    <row r="850" spans="3:23" outlineLevel="1"/>
    <row r="851" spans="3:23" outlineLevel="1">
      <c r="C851" s="407" t="s">
        <v>882</v>
      </c>
      <c r="G851" s="6">
        <f>$G$32</f>
        <v>1</v>
      </c>
      <c r="H851" s="17" t="s">
        <v>485</v>
      </c>
      <c r="I851" s="17"/>
      <c r="K851" s="36">
        <f>INDEX(K852:K854,$G851,0)</f>
        <v>32000.000000000007</v>
      </c>
      <c r="L851" s="36">
        <f t="shared" ref="L851:T851" si="139">INDEX(L852:L854,$G851,0)</f>
        <v>32960.000000000007</v>
      </c>
      <c r="M851" s="36">
        <f t="shared" si="139"/>
        <v>33948.80000000001</v>
      </c>
      <c r="N851" s="36">
        <f t="shared" si="139"/>
        <v>34967.26400000001</v>
      </c>
      <c r="O851" s="36">
        <f t="shared" si="139"/>
        <v>36016.281920000009</v>
      </c>
      <c r="P851" s="36">
        <f t="shared" si="139"/>
        <v>37096.770377600005</v>
      </c>
      <c r="Q851" s="36">
        <f t="shared" si="139"/>
        <v>38209.673488928005</v>
      </c>
      <c r="R851" s="36">
        <f t="shared" si="139"/>
        <v>39355.963693595848</v>
      </c>
      <c r="S851" s="36">
        <f t="shared" si="139"/>
        <v>40536.642604403722</v>
      </c>
      <c r="T851" s="36">
        <f t="shared" si="139"/>
        <v>41752.741882535833</v>
      </c>
      <c r="U851" s="36">
        <f>INDEX(U852:U854,$G851,0)</f>
        <v>41752.741882535833</v>
      </c>
      <c r="V851" s="36">
        <f>INDEX(V852:V854,$G851,0)</f>
        <v>41752.741882535833</v>
      </c>
      <c r="W851" s="36">
        <f>INDEX(W852:W854,$G851,0)</f>
        <v>41752.741882535833</v>
      </c>
    </row>
    <row r="852" spans="3:23" outlineLevel="1">
      <c r="C852" s="407" t="s">
        <v>840</v>
      </c>
      <c r="K852" s="26">
        <v>32000.000000000007</v>
      </c>
      <c r="L852" s="26">
        <v>32960.000000000007</v>
      </c>
      <c r="M852" s="26">
        <v>33948.80000000001</v>
      </c>
      <c r="N852" s="26">
        <v>34967.26400000001</v>
      </c>
      <c r="O852" s="26">
        <v>36016.281920000009</v>
      </c>
      <c r="P852" s="26">
        <v>37096.770377600005</v>
      </c>
      <c r="Q852" s="26">
        <v>38209.673488928005</v>
      </c>
      <c r="R852" s="26">
        <v>39355.963693595848</v>
      </c>
      <c r="S852" s="26">
        <v>40536.642604403722</v>
      </c>
      <c r="T852" s="26">
        <v>41752.741882535833</v>
      </c>
      <c r="U852" s="26">
        <v>41752.741882535833</v>
      </c>
      <c r="V852" s="26">
        <v>41752.741882535833</v>
      </c>
      <c r="W852" s="26">
        <v>41752.741882535833</v>
      </c>
    </row>
    <row r="853" spans="3:23" outlineLevel="1"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</row>
    <row r="854" spans="3:23" outlineLevel="1"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</row>
    <row r="855" spans="3:23" outlineLevel="1"/>
    <row r="856" spans="3:23" ht="15.75" outlineLevel="1">
      <c r="C856" s="15" t="s">
        <v>591</v>
      </c>
    </row>
    <row r="857" spans="3:23" outlineLevel="1">
      <c r="C857" s="407" t="s">
        <v>839</v>
      </c>
      <c r="G857" s="6">
        <f>$G$32</f>
        <v>1</v>
      </c>
      <c r="H857" s="17" t="s">
        <v>325</v>
      </c>
      <c r="I857" s="17"/>
      <c r="K857" s="36">
        <f>INDEX(K858:K860,$G857,0)</f>
        <v>0</v>
      </c>
      <c r="L857" s="36">
        <f t="shared" ref="L857:T857" si="140">INDEX(L858:L860,$G857,0)</f>
        <v>0.04</v>
      </c>
      <c r="M857" s="36">
        <f t="shared" si="140"/>
        <v>0.04</v>
      </c>
      <c r="N857" s="36">
        <f t="shared" si="140"/>
        <v>0.04</v>
      </c>
      <c r="O857" s="36">
        <f t="shared" si="140"/>
        <v>0.04</v>
      </c>
      <c r="P857" s="36">
        <f t="shared" si="140"/>
        <v>0.04</v>
      </c>
      <c r="Q857" s="36">
        <f t="shared" si="140"/>
        <v>0.04</v>
      </c>
      <c r="R857" s="36">
        <f t="shared" si="140"/>
        <v>0.04</v>
      </c>
      <c r="S857" s="36">
        <f t="shared" si="140"/>
        <v>0.04</v>
      </c>
      <c r="T857" s="36">
        <f t="shared" si="140"/>
        <v>0.04</v>
      </c>
      <c r="U857" s="36">
        <f>INDEX(U858:U860,$G857,0)</f>
        <v>0.04</v>
      </c>
      <c r="V857" s="36">
        <f>INDEX(V858:V860,$G857,0)</f>
        <v>0.04</v>
      </c>
      <c r="W857" s="36">
        <f>INDEX(W858:W860,$G857,0)</f>
        <v>0.04</v>
      </c>
    </row>
    <row r="858" spans="3:23" outlineLevel="1">
      <c r="C858" s="407" t="s">
        <v>840</v>
      </c>
      <c r="K858" s="26"/>
      <c r="L858" s="26">
        <f t="shared" ref="L858:T858" si="141">L844</f>
        <v>0.04</v>
      </c>
      <c r="M858" s="26">
        <f t="shared" si="141"/>
        <v>0.04</v>
      </c>
      <c r="N858" s="26">
        <f t="shared" si="141"/>
        <v>0.04</v>
      </c>
      <c r="O858" s="26">
        <f t="shared" si="141"/>
        <v>0.04</v>
      </c>
      <c r="P858" s="26">
        <f t="shared" si="141"/>
        <v>0.04</v>
      </c>
      <c r="Q858" s="26">
        <f t="shared" si="141"/>
        <v>0.04</v>
      </c>
      <c r="R858" s="26">
        <f t="shared" si="141"/>
        <v>0.04</v>
      </c>
      <c r="S858" s="26">
        <f t="shared" si="141"/>
        <v>0.04</v>
      </c>
      <c r="T858" s="26">
        <f t="shared" si="141"/>
        <v>0.04</v>
      </c>
      <c r="U858" s="26">
        <f>U844</f>
        <v>0.04</v>
      </c>
      <c r="V858" s="26">
        <f>V844</f>
        <v>0.04</v>
      </c>
      <c r="W858" s="26">
        <f>W844</f>
        <v>0.04</v>
      </c>
    </row>
    <row r="859" spans="3:23" outlineLevel="1"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</row>
    <row r="860" spans="3:23" outlineLevel="1"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</row>
    <row r="861" spans="3:23" outlineLevel="1"/>
    <row r="862" spans="3:23" outlineLevel="1">
      <c r="C862" s="407" t="s">
        <v>886</v>
      </c>
      <c r="G862" s="6">
        <f>$G$32</f>
        <v>1</v>
      </c>
      <c r="H862" s="17" t="s">
        <v>543</v>
      </c>
      <c r="J862" s="20">
        <f>INDEX(K862:P862,,$G862)</f>
        <v>80000</v>
      </c>
      <c r="K862" s="30">
        <v>80000</v>
      </c>
      <c r="L862" s="19"/>
      <c r="M862" s="19"/>
      <c r="N862" s="19"/>
      <c r="O862" s="19"/>
      <c r="P862" s="19"/>
    </row>
    <row r="863" spans="3:23" outlineLevel="1"/>
    <row r="864" spans="3:23" outlineLevel="1">
      <c r="C864" s="407" t="s">
        <v>882</v>
      </c>
      <c r="G864" s="6">
        <f>$G$32</f>
        <v>1</v>
      </c>
      <c r="H864" s="17" t="s">
        <v>485</v>
      </c>
      <c r="I864" s="17"/>
      <c r="K864" s="36">
        <f>INDEX(K865:K867,$G864,0)</f>
        <v>84400</v>
      </c>
      <c r="L864" s="36">
        <f t="shared" ref="L864:T864" si="142">INDEX(L865:L867,$G864,0)</f>
        <v>86932</v>
      </c>
      <c r="M864" s="36">
        <f t="shared" si="142"/>
        <v>89539.96</v>
      </c>
      <c r="N864" s="36">
        <f t="shared" si="142"/>
        <v>92226.158800000005</v>
      </c>
      <c r="O864" s="36">
        <f t="shared" si="142"/>
        <v>94992.943564000001</v>
      </c>
      <c r="P864" s="36">
        <f t="shared" si="142"/>
        <v>97842.731870920004</v>
      </c>
      <c r="Q864" s="36">
        <f t="shared" si="142"/>
        <v>100778.0138270476</v>
      </c>
      <c r="R864" s="36">
        <f t="shared" si="142"/>
        <v>103801.35424185902</v>
      </c>
      <c r="S864" s="36">
        <f t="shared" si="142"/>
        <v>106915.3948691148</v>
      </c>
      <c r="T864" s="36">
        <f t="shared" si="142"/>
        <v>110122.85671518825</v>
      </c>
      <c r="U864" s="36">
        <f>INDEX(U865:U867,$G864,0)</f>
        <v>110122.85671518825</v>
      </c>
      <c r="V864" s="36">
        <f>INDEX(V865:V867,$G864,0)</f>
        <v>110122.85671518825</v>
      </c>
      <c r="W864" s="36">
        <f>INDEX(W865:W867,$G864,0)</f>
        <v>110122.85671518825</v>
      </c>
    </row>
    <row r="865" spans="3:23" outlineLevel="1">
      <c r="C865" s="407" t="s">
        <v>840</v>
      </c>
      <c r="K865" s="26">
        <v>84400</v>
      </c>
      <c r="L865" s="26">
        <v>86932</v>
      </c>
      <c r="M865" s="26">
        <v>89539.96</v>
      </c>
      <c r="N865" s="26">
        <v>92226.158800000005</v>
      </c>
      <c r="O865" s="26">
        <v>94992.943564000001</v>
      </c>
      <c r="P865" s="26">
        <v>97842.731870920004</v>
      </c>
      <c r="Q865" s="26">
        <v>100778.0138270476</v>
      </c>
      <c r="R865" s="26">
        <v>103801.35424185902</v>
      </c>
      <c r="S865" s="26">
        <v>106915.3948691148</v>
      </c>
      <c r="T865" s="26">
        <v>110122.85671518825</v>
      </c>
      <c r="U865" s="26">
        <v>110122.85671518825</v>
      </c>
      <c r="V865" s="26">
        <v>110122.85671518825</v>
      </c>
      <c r="W865" s="26">
        <v>110122.85671518825</v>
      </c>
    </row>
    <row r="866" spans="3:23" outlineLevel="1"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</row>
    <row r="867" spans="3:23" outlineLevel="1"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</row>
    <row r="868" spans="3:23" outlineLevel="1"/>
    <row r="869" spans="3:23" outlineLevel="1"/>
    <row r="870" spans="3:23" ht="23.25" outlineLevel="1">
      <c r="C870" s="60" t="s">
        <v>473</v>
      </c>
    </row>
    <row r="871" spans="3:23" outlineLevel="1">
      <c r="C871" t="s">
        <v>895</v>
      </c>
    </row>
    <row r="872" spans="3:23" outlineLevel="1">
      <c r="C872" t="s">
        <v>896</v>
      </c>
      <c r="G872" s="16">
        <v>1</v>
      </c>
      <c r="H872" s="17" t="s">
        <v>897</v>
      </c>
      <c r="J872" s="20">
        <f>INDEX(K872:P872,,$G872)</f>
        <v>13.648035440059999</v>
      </c>
      <c r="K872" s="30">
        <v>13.648035440059999</v>
      </c>
      <c r="L872" s="19"/>
      <c r="M872" s="19"/>
      <c r="N872" s="19"/>
      <c r="O872" s="19"/>
      <c r="P872" s="19"/>
      <c r="Q872" s="19"/>
      <c r="R872" s="19"/>
      <c r="S872" s="19"/>
      <c r="T872" s="19"/>
      <c r="U872" s="19"/>
      <c r="V872" s="19"/>
      <c r="W872" s="19"/>
    </row>
    <row r="873" spans="3:23" outlineLevel="1">
      <c r="C873" s="2"/>
      <c r="H873" s="17"/>
    </row>
    <row r="874" spans="3:23" outlineLevel="1">
      <c r="C874" s="430" t="s">
        <v>492</v>
      </c>
      <c r="H874" s="17" t="s">
        <v>315</v>
      </c>
      <c r="J874" s="30">
        <v>0.29629731224</v>
      </c>
      <c r="K874" s="30"/>
      <c r="L874" s="39"/>
      <c r="M874" s="39"/>
      <c r="N874" s="39"/>
      <c r="O874" s="39"/>
      <c r="P874" s="39"/>
      <c r="Q874" s="39"/>
      <c r="R874" s="39"/>
      <c r="S874" s="39"/>
      <c r="T874" s="39"/>
      <c r="U874" s="39"/>
      <c r="V874" s="39"/>
      <c r="W874" s="39"/>
    </row>
    <row r="875" spans="3:23" outlineLevel="1">
      <c r="C875" s="430" t="s">
        <v>585</v>
      </c>
      <c r="H875" s="17" t="s">
        <v>315</v>
      </c>
      <c r="J875" s="30">
        <v>1.7999000000000001E-2</v>
      </c>
      <c r="K875" s="30"/>
      <c r="L875" s="39"/>
      <c r="M875" s="39"/>
      <c r="N875" s="39"/>
      <c r="O875" s="39"/>
      <c r="P875" s="39"/>
      <c r="Q875" s="39"/>
      <c r="R875" s="39"/>
      <c r="S875" s="39"/>
      <c r="T875" s="39"/>
      <c r="U875" s="39"/>
      <c r="V875" s="39"/>
      <c r="W875" s="39"/>
    </row>
    <row r="876" spans="3:23" outlineLevel="1">
      <c r="C876" s="430" t="s">
        <v>586</v>
      </c>
      <c r="H876" s="17" t="s">
        <v>315</v>
      </c>
      <c r="J876" s="69">
        <v>4.4701209999999996E-3</v>
      </c>
      <c r="K876" s="30"/>
      <c r="L876" s="39"/>
      <c r="M876" s="39"/>
      <c r="N876" s="39"/>
      <c r="O876" s="39"/>
      <c r="P876" s="39"/>
      <c r="Q876" s="39"/>
      <c r="R876" s="39"/>
      <c r="S876" s="39"/>
      <c r="T876" s="39"/>
      <c r="U876" s="39"/>
      <c r="V876" s="39"/>
      <c r="W876" s="39"/>
    </row>
    <row r="877" spans="3:23" outlineLevel="1"/>
    <row r="878" spans="3:23" outlineLevel="1"/>
    <row r="879" spans="3:23" outlineLevel="1">
      <c r="C879" s="407" t="s">
        <v>887</v>
      </c>
      <c r="G879" s="6">
        <f>$G$32</f>
        <v>1</v>
      </c>
      <c r="H879" s="17" t="s">
        <v>325</v>
      </c>
      <c r="I879" s="17"/>
      <c r="K879" s="36">
        <f>INDEX(K880:K882,$G879,0)</f>
        <v>3.5000000000000003E-2</v>
      </c>
      <c r="L879" s="36">
        <f t="shared" ref="L879:T879" si="143">INDEX(L880:L882,$G879,0)</f>
        <v>3.5000000000000003E-2</v>
      </c>
      <c r="M879" s="36">
        <f t="shared" si="143"/>
        <v>3.5000000000000003E-2</v>
      </c>
      <c r="N879" s="36">
        <f t="shared" si="143"/>
        <v>3.5000000000000003E-2</v>
      </c>
      <c r="O879" s="36">
        <f t="shared" si="143"/>
        <v>3.5000000000000003E-2</v>
      </c>
      <c r="P879" s="36">
        <f t="shared" si="143"/>
        <v>3.5000000000000003E-2</v>
      </c>
      <c r="Q879" s="36">
        <f t="shared" si="143"/>
        <v>3.5000000000000003E-2</v>
      </c>
      <c r="R879" s="36">
        <f t="shared" si="143"/>
        <v>3.5000000000000003E-2</v>
      </c>
      <c r="S879" s="36">
        <f t="shared" si="143"/>
        <v>3.5000000000000003E-2</v>
      </c>
      <c r="T879" s="36">
        <f t="shared" si="143"/>
        <v>3.5000000000000003E-2</v>
      </c>
      <c r="U879" s="36">
        <f>INDEX(U880:U882,$G879,0)</f>
        <v>3.5000000000000003E-2</v>
      </c>
      <c r="V879" s="36">
        <f>INDEX(V880:V882,$G879,0)</f>
        <v>3.5000000000000003E-2</v>
      </c>
      <c r="W879" s="36">
        <f>INDEX(W880:W882,$G879,0)</f>
        <v>3.5000000000000003E-2</v>
      </c>
    </row>
    <row r="880" spans="3:23" outlineLevel="1">
      <c r="C880" s="407" t="s">
        <v>840</v>
      </c>
      <c r="K880" s="26">
        <v>3.5000000000000003E-2</v>
      </c>
      <c r="L880" s="26">
        <v>3.5000000000000003E-2</v>
      </c>
      <c r="M880" s="26">
        <v>3.5000000000000003E-2</v>
      </c>
      <c r="N880" s="26">
        <v>3.5000000000000003E-2</v>
      </c>
      <c r="O880" s="26">
        <v>3.5000000000000003E-2</v>
      </c>
      <c r="P880" s="26">
        <v>3.5000000000000003E-2</v>
      </c>
      <c r="Q880" s="26">
        <v>3.5000000000000003E-2</v>
      </c>
      <c r="R880" s="26">
        <v>3.5000000000000003E-2</v>
      </c>
      <c r="S880" s="26">
        <v>3.5000000000000003E-2</v>
      </c>
      <c r="T880" s="26">
        <v>3.5000000000000003E-2</v>
      </c>
      <c r="U880" s="26">
        <v>3.5000000000000003E-2</v>
      </c>
      <c r="V880" s="26">
        <v>3.5000000000000003E-2</v>
      </c>
      <c r="W880" s="26">
        <v>3.5000000000000003E-2</v>
      </c>
    </row>
    <row r="881" spans="3:23" outlineLevel="1"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</row>
    <row r="882" spans="3:23" outlineLevel="1"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</row>
    <row r="883" spans="3:23" outlineLevel="1"/>
    <row r="884" spans="3:23" outlineLevel="1">
      <c r="C884" s="407" t="s">
        <v>870</v>
      </c>
      <c r="G884" s="6">
        <f>$G$32</f>
        <v>1</v>
      </c>
      <c r="H884" s="17" t="s">
        <v>315</v>
      </c>
      <c r="J884" s="20">
        <f>INDEX(K884:P884,,$G884)</f>
        <v>0.80716489632999999</v>
      </c>
      <c r="K884" s="19">
        <v>0.80716489632999999</v>
      </c>
      <c r="L884" s="19"/>
      <c r="M884" s="19"/>
      <c r="N884" s="19"/>
      <c r="O884" s="19"/>
      <c r="P884" s="19"/>
    </row>
    <row r="885" spans="3:23" outlineLevel="1"/>
    <row r="886" spans="3:23" outlineLevel="1"/>
    <row r="887" spans="3:23" ht="23.25" outlineLevel="1">
      <c r="C887" s="59" t="s">
        <v>535</v>
      </c>
    </row>
    <row r="888" spans="3:23" outlineLevel="1">
      <c r="C888" s="407" t="s">
        <v>854</v>
      </c>
      <c r="G888" s="6">
        <f>$G$32</f>
        <v>1</v>
      </c>
      <c r="H888" s="17" t="s">
        <v>325</v>
      </c>
      <c r="I888" s="17"/>
      <c r="K888" s="36">
        <f>INDEX(K889:K891,$G888,0)</f>
        <v>0.01</v>
      </c>
      <c r="L888" s="36">
        <f t="shared" ref="L888:T888" si="144">INDEX(L889:L891,$G888,0)</f>
        <v>0.01</v>
      </c>
      <c r="M888" s="36">
        <f t="shared" si="144"/>
        <v>0.01</v>
      </c>
      <c r="N888" s="36">
        <f t="shared" si="144"/>
        <v>0.01</v>
      </c>
      <c r="O888" s="36">
        <f t="shared" si="144"/>
        <v>0.01</v>
      </c>
      <c r="P888" s="36">
        <f t="shared" si="144"/>
        <v>0.01</v>
      </c>
      <c r="Q888" s="36">
        <f t="shared" si="144"/>
        <v>0.01</v>
      </c>
      <c r="R888" s="36">
        <f t="shared" si="144"/>
        <v>0.01</v>
      </c>
      <c r="S888" s="36">
        <f t="shared" si="144"/>
        <v>0.01</v>
      </c>
      <c r="T888" s="36">
        <f t="shared" si="144"/>
        <v>0.01</v>
      </c>
      <c r="U888" s="36">
        <f>INDEX(U889:U891,$G888,0)</f>
        <v>0.01</v>
      </c>
      <c r="V888" s="36">
        <f>INDEX(V889:V891,$G888,0)</f>
        <v>0.01</v>
      </c>
      <c r="W888" s="36">
        <f>INDEX(W889:W891,$G888,0)</f>
        <v>0.01</v>
      </c>
    </row>
    <row r="889" spans="3:23" outlineLevel="1">
      <c r="C889" s="407" t="s">
        <v>840</v>
      </c>
      <c r="K889" s="26">
        <v>0.01</v>
      </c>
      <c r="L889" s="26">
        <v>0.01</v>
      </c>
      <c r="M889" s="26">
        <v>0.01</v>
      </c>
      <c r="N889" s="26">
        <v>0.01</v>
      </c>
      <c r="O889" s="26">
        <v>0.01</v>
      </c>
      <c r="P889" s="26">
        <v>0.01</v>
      </c>
      <c r="Q889" s="26">
        <v>0.01</v>
      </c>
      <c r="R889" s="26">
        <v>0.01</v>
      </c>
      <c r="S889" s="26">
        <v>0.01</v>
      </c>
      <c r="T889" s="26">
        <v>0.01</v>
      </c>
      <c r="U889" s="26">
        <v>0.01</v>
      </c>
      <c r="V889" s="26">
        <v>0.01</v>
      </c>
      <c r="W889" s="26">
        <v>0.01</v>
      </c>
    </row>
    <row r="890" spans="3:23" outlineLevel="1"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</row>
    <row r="891" spans="3:23" outlineLevel="1"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</row>
    <row r="892" spans="3:23" outlineLevel="1"/>
    <row r="893" spans="3:23" outlineLevel="1">
      <c r="C893" s="407" t="s">
        <v>870</v>
      </c>
      <c r="G893" s="6">
        <f>$G$32</f>
        <v>1</v>
      </c>
      <c r="J893" s="20">
        <f>INDEX(K893:P893,,$G893)</f>
        <v>4.1260885999999997E-2</v>
      </c>
      <c r="K893" s="19">
        <v>4.1260885999999997E-2</v>
      </c>
      <c r="L893" s="19"/>
      <c r="M893" s="19"/>
      <c r="N893" s="19"/>
      <c r="O893" s="19"/>
      <c r="P893" s="19"/>
    </row>
    <row r="894" spans="3:23" outlineLevel="1"/>
    <row r="895" spans="3:23" outlineLevel="1">
      <c r="C895" s="407" t="s">
        <v>857</v>
      </c>
      <c r="G895" s="6">
        <f>$G$32</f>
        <v>1</v>
      </c>
      <c r="H895" s="17" t="s">
        <v>325</v>
      </c>
      <c r="I895" s="17"/>
      <c r="K895" s="36">
        <f>INDEX(K896:K898,$G895,0)</f>
        <v>0.01</v>
      </c>
      <c r="L895" s="36">
        <f t="shared" ref="L895:T895" si="145">INDEX(L896:L898,$G895,0)</f>
        <v>0.01</v>
      </c>
      <c r="M895" s="36">
        <f t="shared" si="145"/>
        <v>0.01</v>
      </c>
      <c r="N895" s="36">
        <f t="shared" si="145"/>
        <v>0.01</v>
      </c>
      <c r="O895" s="36">
        <f t="shared" si="145"/>
        <v>0.01</v>
      </c>
      <c r="P895" s="36">
        <f t="shared" si="145"/>
        <v>0.01</v>
      </c>
      <c r="Q895" s="36">
        <f t="shared" si="145"/>
        <v>0.01</v>
      </c>
      <c r="R895" s="36">
        <f t="shared" si="145"/>
        <v>0.01</v>
      </c>
      <c r="S895" s="36">
        <f t="shared" si="145"/>
        <v>0.01</v>
      </c>
      <c r="T895" s="36">
        <f t="shared" si="145"/>
        <v>0.01</v>
      </c>
      <c r="U895" s="36">
        <f>INDEX(U896:U898,$G895,0)</f>
        <v>0.01</v>
      </c>
      <c r="V895" s="36">
        <f>INDEX(V896:V898,$G895,0)</f>
        <v>0.01</v>
      </c>
      <c r="W895" s="36">
        <f>INDEX(W896:W898,$G895,0)</f>
        <v>0.01</v>
      </c>
    </row>
    <row r="896" spans="3:23" outlineLevel="1">
      <c r="C896" s="407" t="s">
        <v>840</v>
      </c>
      <c r="K896" s="26">
        <v>0.01</v>
      </c>
      <c r="L896" s="26">
        <v>0.01</v>
      </c>
      <c r="M896" s="26">
        <v>0.01</v>
      </c>
      <c r="N896" s="26">
        <v>0.01</v>
      </c>
      <c r="O896" s="26">
        <v>0.01</v>
      </c>
      <c r="P896" s="26">
        <v>0.01</v>
      </c>
      <c r="Q896" s="26">
        <v>0.01</v>
      </c>
      <c r="R896" s="26">
        <v>0.01</v>
      </c>
      <c r="S896" s="26">
        <v>0.01</v>
      </c>
      <c r="T896" s="26">
        <v>0.01</v>
      </c>
      <c r="U896" s="26">
        <v>0.01</v>
      </c>
      <c r="V896" s="26">
        <v>0.01</v>
      </c>
      <c r="W896" s="26">
        <v>0.01</v>
      </c>
    </row>
    <row r="897" spans="3:23" outlineLevel="1"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</row>
    <row r="898" spans="3:23" outlineLevel="1"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</row>
    <row r="899" spans="3:23" outlineLevel="1"/>
    <row r="900" spans="3:23" outlineLevel="1">
      <c r="C900" s="407" t="s">
        <v>870</v>
      </c>
      <c r="G900" s="6">
        <f>$G$32</f>
        <v>1</v>
      </c>
      <c r="J900" s="20">
        <f>INDEX(K900:P900,,$G900)</f>
        <v>1.7500000000000002E-2</v>
      </c>
      <c r="K900" s="19">
        <v>1.7500000000000002E-2</v>
      </c>
      <c r="L900" s="19"/>
      <c r="M900" s="19"/>
      <c r="N900" s="19"/>
      <c r="O900" s="19"/>
      <c r="P900" s="19"/>
    </row>
    <row r="901" spans="3:23" outlineLevel="1"/>
    <row r="902" spans="3:23" outlineLevel="1">
      <c r="C902" s="407" t="s">
        <v>894</v>
      </c>
      <c r="G902" s="6">
        <f>$G$32</f>
        <v>1</v>
      </c>
      <c r="H902" s="17" t="s">
        <v>325</v>
      </c>
      <c r="I902" s="17"/>
      <c r="K902" s="36">
        <f>INDEX(K903:K905,$G902,0)</f>
        <v>0.01</v>
      </c>
      <c r="L902" s="36">
        <f t="shared" ref="L902:T902" si="146">INDEX(L903:L905,$G902,0)</f>
        <v>0.01</v>
      </c>
      <c r="M902" s="36">
        <f t="shared" si="146"/>
        <v>0.01</v>
      </c>
      <c r="N902" s="36">
        <f t="shared" si="146"/>
        <v>0.01</v>
      </c>
      <c r="O902" s="36">
        <f t="shared" si="146"/>
        <v>0.01</v>
      </c>
      <c r="P902" s="36">
        <f t="shared" si="146"/>
        <v>0.01</v>
      </c>
      <c r="Q902" s="36">
        <f t="shared" si="146"/>
        <v>0.01</v>
      </c>
      <c r="R902" s="36">
        <f t="shared" si="146"/>
        <v>0.01</v>
      </c>
      <c r="S902" s="36">
        <f t="shared" si="146"/>
        <v>0.01</v>
      </c>
      <c r="T902" s="36">
        <f t="shared" si="146"/>
        <v>0.01</v>
      </c>
      <c r="U902" s="36">
        <f>INDEX(U903:U905,$G902,0)</f>
        <v>0.01</v>
      </c>
      <c r="V902" s="36">
        <f>INDEX(V903:V905,$G902,0)</f>
        <v>0.01</v>
      </c>
      <c r="W902" s="36">
        <f>INDEX(W903:W905,$G902,0)</f>
        <v>0.01</v>
      </c>
    </row>
    <row r="903" spans="3:23" outlineLevel="1">
      <c r="C903" s="407" t="s">
        <v>840</v>
      </c>
      <c r="K903" s="26">
        <v>0.01</v>
      </c>
      <c r="L903" s="26">
        <v>0.01</v>
      </c>
      <c r="M903" s="26">
        <v>0.01</v>
      </c>
      <c r="N903" s="26">
        <v>0.01</v>
      </c>
      <c r="O903" s="26">
        <v>0.01</v>
      </c>
      <c r="P903" s="26">
        <v>0.01</v>
      </c>
      <c r="Q903" s="26">
        <v>0.01</v>
      </c>
      <c r="R903" s="26">
        <v>0.01</v>
      </c>
      <c r="S903" s="26">
        <v>0.01</v>
      </c>
      <c r="T903" s="26">
        <v>0.01</v>
      </c>
      <c r="U903" s="26">
        <v>0.01</v>
      </c>
      <c r="V903" s="26">
        <v>0.01</v>
      </c>
      <c r="W903" s="26">
        <v>0.01</v>
      </c>
    </row>
    <row r="904" spans="3:23" outlineLevel="1"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</row>
    <row r="905" spans="3:23" outlineLevel="1"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</row>
    <row r="906" spans="3:23" outlineLevel="1"/>
    <row r="907" spans="3:23" outlineLevel="1">
      <c r="C907" s="407" t="s">
        <v>870</v>
      </c>
      <c r="G907" s="6">
        <f>$G$32</f>
        <v>1</v>
      </c>
      <c r="J907" s="20">
        <f>INDEX(K907:P907,,$G907)</f>
        <v>3.0499999999999999E-2</v>
      </c>
      <c r="K907" s="19">
        <v>3.0499999999999999E-2</v>
      </c>
      <c r="L907" s="19"/>
      <c r="M907" s="19"/>
      <c r="N907" s="19"/>
      <c r="O907" s="19"/>
      <c r="P907" s="19"/>
    </row>
    <row r="908" spans="3:23" outlineLevel="1"/>
    <row r="909" spans="3:23" outlineLevel="1">
      <c r="C909" s="407" t="s">
        <v>859</v>
      </c>
      <c r="G909" s="6">
        <f>$G$32</f>
        <v>1</v>
      </c>
      <c r="H909" s="17" t="s">
        <v>325</v>
      </c>
      <c r="I909" s="17"/>
      <c r="K909" s="36">
        <f>INDEX(K910:K912,$G909,0)</f>
        <v>0.01</v>
      </c>
      <c r="L909" s="36">
        <f t="shared" ref="L909:T909" si="147">INDEX(L910:L912,$G909,0)</f>
        <v>0.01</v>
      </c>
      <c r="M909" s="36">
        <f t="shared" si="147"/>
        <v>0.01</v>
      </c>
      <c r="N909" s="36">
        <f t="shared" si="147"/>
        <v>0.01</v>
      </c>
      <c r="O909" s="36">
        <f t="shared" si="147"/>
        <v>0.01</v>
      </c>
      <c r="P909" s="36">
        <f t="shared" si="147"/>
        <v>0.01</v>
      </c>
      <c r="Q909" s="36">
        <f t="shared" si="147"/>
        <v>0.01</v>
      </c>
      <c r="R909" s="36">
        <f t="shared" si="147"/>
        <v>0.01</v>
      </c>
      <c r="S909" s="36">
        <f t="shared" si="147"/>
        <v>0.01</v>
      </c>
      <c r="T909" s="36">
        <f t="shared" si="147"/>
        <v>0.01</v>
      </c>
      <c r="U909" s="36">
        <f>INDEX(U910:U912,$G909,0)</f>
        <v>0.01</v>
      </c>
      <c r="V909" s="36">
        <f>INDEX(V910:V912,$G909,0)</f>
        <v>0.01</v>
      </c>
      <c r="W909" s="36">
        <f>INDEX(W910:W912,$G909,0)</f>
        <v>0.01</v>
      </c>
    </row>
    <row r="910" spans="3:23" outlineLevel="1">
      <c r="C910" s="407" t="s">
        <v>840</v>
      </c>
      <c r="K910" s="26">
        <v>0.01</v>
      </c>
      <c r="L910" s="26">
        <v>0.01</v>
      </c>
      <c r="M910" s="26">
        <v>0.01</v>
      </c>
      <c r="N910" s="26">
        <v>0.01</v>
      </c>
      <c r="O910" s="26">
        <v>0.01</v>
      </c>
      <c r="P910" s="26">
        <v>0.01</v>
      </c>
      <c r="Q910" s="26">
        <v>0.01</v>
      </c>
      <c r="R910" s="26">
        <v>0.01</v>
      </c>
      <c r="S910" s="26">
        <v>0.01</v>
      </c>
      <c r="T910" s="26">
        <v>0.01</v>
      </c>
      <c r="U910" s="26">
        <v>0.01</v>
      </c>
      <c r="V910" s="26">
        <v>0.01</v>
      </c>
      <c r="W910" s="26">
        <v>0.01</v>
      </c>
    </row>
    <row r="911" spans="3:23" outlineLevel="1"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</row>
    <row r="912" spans="3:23" outlineLevel="1"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</row>
    <row r="913" spans="3:23" outlineLevel="1"/>
    <row r="914" spans="3:23" outlineLevel="1">
      <c r="C914" s="407" t="s">
        <v>870</v>
      </c>
      <c r="G914" s="6">
        <f>$G$32</f>
        <v>1</v>
      </c>
      <c r="J914" s="20">
        <f>INDEX(K914:P914,,$G914)</f>
        <v>5.0327157329999997E-2</v>
      </c>
      <c r="K914" s="19">
        <v>5.0327157329999997E-2</v>
      </c>
      <c r="L914" s="19"/>
      <c r="M914" s="19"/>
      <c r="N914" s="19"/>
      <c r="O914" s="19"/>
      <c r="P914" s="19"/>
    </row>
    <row r="915" spans="3:23" outlineLevel="1"/>
    <row r="916" spans="3:23" outlineLevel="1">
      <c r="C916" s="407" t="s">
        <v>858</v>
      </c>
      <c r="G916" s="6">
        <f>$G$32</f>
        <v>1</v>
      </c>
      <c r="H916" s="17" t="s">
        <v>325</v>
      </c>
      <c r="I916" s="17"/>
      <c r="K916" s="36">
        <f>INDEX(K917:K919,$G916,0)</f>
        <v>0.01</v>
      </c>
      <c r="L916" s="36">
        <f t="shared" ref="L916:T916" si="148">INDEX(L917:L919,$G916,0)</f>
        <v>0.01</v>
      </c>
      <c r="M916" s="36">
        <f t="shared" si="148"/>
        <v>0.01</v>
      </c>
      <c r="N916" s="36">
        <f t="shared" si="148"/>
        <v>0.01</v>
      </c>
      <c r="O916" s="36">
        <f t="shared" si="148"/>
        <v>0.01</v>
      </c>
      <c r="P916" s="36">
        <f t="shared" si="148"/>
        <v>0.01</v>
      </c>
      <c r="Q916" s="36">
        <f t="shared" si="148"/>
        <v>0.01</v>
      </c>
      <c r="R916" s="36">
        <f t="shared" si="148"/>
        <v>0.01</v>
      </c>
      <c r="S916" s="36">
        <f t="shared" si="148"/>
        <v>0.01</v>
      </c>
      <c r="T916" s="36">
        <f t="shared" si="148"/>
        <v>0.01</v>
      </c>
      <c r="U916" s="36">
        <f>INDEX(U917:U919,$G916,0)</f>
        <v>0.01</v>
      </c>
      <c r="V916" s="36">
        <f>INDEX(V917:V919,$G916,0)</f>
        <v>0.01</v>
      </c>
      <c r="W916" s="36">
        <f>INDEX(W917:W919,$G916,0)</f>
        <v>0.01</v>
      </c>
    </row>
    <row r="917" spans="3:23" outlineLevel="1">
      <c r="C917" s="407" t="s">
        <v>840</v>
      </c>
      <c r="K917" s="26">
        <v>0.01</v>
      </c>
      <c r="L917" s="26">
        <v>0.01</v>
      </c>
      <c r="M917" s="26">
        <v>0.01</v>
      </c>
      <c r="N917" s="26">
        <v>0.01</v>
      </c>
      <c r="O917" s="26">
        <v>0.01</v>
      </c>
      <c r="P917" s="26">
        <v>0.01</v>
      </c>
      <c r="Q917" s="26">
        <v>0.01</v>
      </c>
      <c r="R917" s="26">
        <v>0.01</v>
      </c>
      <c r="S917" s="26">
        <v>0.01</v>
      </c>
      <c r="T917" s="26">
        <v>0.01</v>
      </c>
      <c r="U917" s="26">
        <v>0.01</v>
      </c>
      <c r="V917" s="26">
        <v>0.01</v>
      </c>
      <c r="W917" s="26">
        <v>0.01</v>
      </c>
    </row>
    <row r="918" spans="3:23" outlineLevel="1"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</row>
    <row r="919" spans="3:23" outlineLevel="1"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</row>
    <row r="920" spans="3:23" outlineLevel="1"/>
    <row r="921" spans="3:23" outlineLevel="1">
      <c r="C921" s="407" t="s">
        <v>870</v>
      </c>
      <c r="G921" s="6">
        <f>$G$32</f>
        <v>1</v>
      </c>
      <c r="J921" s="20">
        <f>INDEX(K921:P921,,$G921)</f>
        <v>3.8320400000000001E-3</v>
      </c>
      <c r="K921" s="19">
        <v>3.8320400000000001E-3</v>
      </c>
      <c r="L921" s="19"/>
      <c r="M921" s="19"/>
      <c r="N921" s="19"/>
      <c r="O921" s="19"/>
      <c r="P921" s="19"/>
    </row>
    <row r="922" spans="3:23" outlineLevel="1"/>
    <row r="923" spans="3:23" outlineLevel="1">
      <c r="C923" s="407" t="s">
        <v>865</v>
      </c>
      <c r="G923" s="6">
        <f>$G$32</f>
        <v>1</v>
      </c>
      <c r="H923" s="17" t="s">
        <v>325</v>
      </c>
      <c r="I923" s="17"/>
      <c r="K923" s="36">
        <f>INDEX(K924:K926,$G923,0)</f>
        <v>0.01</v>
      </c>
      <c r="L923" s="36">
        <f t="shared" ref="L923:T923" si="149">INDEX(L924:L926,$G923,0)</f>
        <v>0.01</v>
      </c>
      <c r="M923" s="36">
        <f t="shared" si="149"/>
        <v>0.01</v>
      </c>
      <c r="N923" s="36">
        <f t="shared" si="149"/>
        <v>0.01</v>
      </c>
      <c r="O923" s="36">
        <f t="shared" si="149"/>
        <v>0.01</v>
      </c>
      <c r="P923" s="36">
        <f t="shared" si="149"/>
        <v>0.01</v>
      </c>
      <c r="Q923" s="36">
        <f t="shared" si="149"/>
        <v>0.01</v>
      </c>
      <c r="R923" s="36">
        <f t="shared" si="149"/>
        <v>0.01</v>
      </c>
      <c r="S923" s="36">
        <f t="shared" si="149"/>
        <v>0.01</v>
      </c>
      <c r="T923" s="36">
        <f t="shared" si="149"/>
        <v>0.01</v>
      </c>
      <c r="U923" s="36">
        <f>INDEX(U924:U926,$G923,0)</f>
        <v>0.01</v>
      </c>
      <c r="V923" s="36">
        <f>INDEX(V924:V926,$G923,0)</f>
        <v>0.01</v>
      </c>
      <c r="W923" s="36">
        <f>INDEX(W924:W926,$G923,0)</f>
        <v>0.01</v>
      </c>
    </row>
    <row r="924" spans="3:23" outlineLevel="1">
      <c r="C924" s="407" t="s">
        <v>840</v>
      </c>
      <c r="K924" s="26">
        <v>0.01</v>
      </c>
      <c r="L924" s="26">
        <v>0.01</v>
      </c>
      <c r="M924" s="26">
        <v>0.01</v>
      </c>
      <c r="N924" s="26">
        <v>0.01</v>
      </c>
      <c r="O924" s="26">
        <v>0.01</v>
      </c>
      <c r="P924" s="26">
        <v>0.01</v>
      </c>
      <c r="Q924" s="26">
        <v>0.01</v>
      </c>
      <c r="R924" s="26">
        <v>0.01</v>
      </c>
      <c r="S924" s="26">
        <v>0.01</v>
      </c>
      <c r="T924" s="26">
        <v>0.01</v>
      </c>
      <c r="U924" s="26">
        <v>0.01</v>
      </c>
      <c r="V924" s="26">
        <v>0.01</v>
      </c>
      <c r="W924" s="26">
        <v>0.01</v>
      </c>
    </row>
    <row r="925" spans="3:23" outlineLevel="1"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</row>
    <row r="926" spans="3:23" outlineLevel="1"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</row>
    <row r="927" spans="3:23" outlineLevel="1"/>
    <row r="928" spans="3:23" outlineLevel="1">
      <c r="C928" s="407" t="s">
        <v>870</v>
      </c>
      <c r="G928" s="6">
        <f>$G$32</f>
        <v>1</v>
      </c>
      <c r="J928" s="20">
        <f>INDEX(K928:P928,,$G928)</f>
        <v>6.0000000000000001E-3</v>
      </c>
      <c r="K928" s="19">
        <v>6.0000000000000001E-3</v>
      </c>
      <c r="L928" s="19"/>
      <c r="M928" s="19"/>
      <c r="N928" s="19"/>
      <c r="O928" s="19"/>
      <c r="P928" s="19"/>
    </row>
    <row r="930" spans="3:23" ht="20.25" thickBot="1">
      <c r="C930" s="66" t="s">
        <v>593</v>
      </c>
      <c r="D930" s="66"/>
      <c r="E930" s="66"/>
      <c r="F930" s="66"/>
      <c r="G930" s="66"/>
      <c r="H930" s="66"/>
      <c r="I930" s="66"/>
      <c r="J930" s="66"/>
      <c r="K930" s="66"/>
      <c r="L930" s="66"/>
      <c r="M930" s="66"/>
      <c r="N930" s="66"/>
      <c r="O930" s="66"/>
      <c r="P930" s="66"/>
      <c r="Q930" s="66"/>
      <c r="R930" s="66"/>
      <c r="S930" s="66"/>
      <c r="T930" s="66"/>
      <c r="U930" s="66"/>
      <c r="V930" s="66"/>
      <c r="W930" s="66"/>
    </row>
    <row r="931" spans="3:23" ht="15.75" thickTop="1"/>
    <row r="932" spans="3:23" ht="23.25" outlineLevel="1">
      <c r="C932" s="60" t="s">
        <v>9</v>
      </c>
    </row>
    <row r="933" spans="3:23" outlineLevel="1"/>
    <row r="934" spans="3:23" ht="15.75" outlineLevel="1">
      <c r="C934" s="15" t="s">
        <v>595</v>
      </c>
    </row>
    <row r="935" spans="3:23" outlineLevel="1">
      <c r="C935" s="407" t="s">
        <v>839</v>
      </c>
      <c r="G935" s="6">
        <f>$G$32</f>
        <v>1</v>
      </c>
      <c r="H935" s="17" t="s">
        <v>325</v>
      </c>
      <c r="I935" s="17"/>
      <c r="K935" s="36">
        <f>INDEX(K936:K938,$G935,0)</f>
        <v>0</v>
      </c>
      <c r="L935" s="36">
        <f t="shared" ref="L935:T935" si="150">INDEX(L936:L938,$G935,0)</f>
        <v>0.05</v>
      </c>
      <c r="M935" s="36">
        <f t="shared" si="150"/>
        <v>0.05</v>
      </c>
      <c r="N935" s="36">
        <f t="shared" si="150"/>
        <v>0.05</v>
      </c>
      <c r="O935" s="36">
        <f t="shared" si="150"/>
        <v>0.05</v>
      </c>
      <c r="P935" s="36">
        <f t="shared" si="150"/>
        <v>0.05</v>
      </c>
      <c r="Q935" s="36">
        <f t="shared" si="150"/>
        <v>0.05</v>
      </c>
      <c r="R935" s="36">
        <f t="shared" si="150"/>
        <v>0.05</v>
      </c>
      <c r="S935" s="36">
        <f t="shared" si="150"/>
        <v>0.05</v>
      </c>
      <c r="T935" s="36">
        <f t="shared" si="150"/>
        <v>0.05</v>
      </c>
      <c r="U935" s="36">
        <f>INDEX(U936:U938,$G935,0)</f>
        <v>0.05</v>
      </c>
      <c r="V935" s="36">
        <f>INDEX(V936:V938,$G935,0)</f>
        <v>0.05</v>
      </c>
      <c r="W935" s="36">
        <f>INDEX(W936:W938,$G935,0)</f>
        <v>0.05</v>
      </c>
    </row>
    <row r="936" spans="3:23" outlineLevel="1">
      <c r="C936" s="407" t="s">
        <v>840</v>
      </c>
      <c r="K936" s="26"/>
      <c r="L936" s="26">
        <v>0.05</v>
      </c>
      <c r="M936" s="26">
        <v>0.05</v>
      </c>
      <c r="N936" s="26">
        <v>0.05</v>
      </c>
      <c r="O936" s="26">
        <v>0.05</v>
      </c>
      <c r="P936" s="26">
        <v>0.05</v>
      </c>
      <c r="Q936" s="26">
        <v>0.05</v>
      </c>
      <c r="R936" s="26">
        <v>0.05</v>
      </c>
      <c r="S936" s="26">
        <v>0.05</v>
      </c>
      <c r="T936" s="26">
        <v>0.05</v>
      </c>
      <c r="U936" s="26">
        <v>0.05</v>
      </c>
      <c r="V936" s="26">
        <v>0.05</v>
      </c>
      <c r="W936" s="26">
        <v>0.05</v>
      </c>
    </row>
    <row r="937" spans="3:23" outlineLevel="1"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</row>
    <row r="938" spans="3:23" outlineLevel="1"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</row>
    <row r="939" spans="3:23" outlineLevel="1"/>
    <row r="940" spans="3:23" outlineLevel="1">
      <c r="C940" s="407" t="s">
        <v>903</v>
      </c>
      <c r="G940" s="6">
        <f>$G$32</f>
        <v>1</v>
      </c>
      <c r="H940" s="17" t="s">
        <v>543</v>
      </c>
      <c r="J940" s="20">
        <f>INDEX(K940:P940,,$G940)</f>
        <v>533360.00000000012</v>
      </c>
      <c r="K940" s="30">
        <v>533360.00000000012</v>
      </c>
      <c r="L940" s="19"/>
      <c r="M940" s="19"/>
      <c r="N940" s="19"/>
      <c r="O940" s="19"/>
      <c r="P940" s="19"/>
    </row>
    <row r="941" spans="3:23" outlineLevel="1"/>
    <row r="942" spans="3:23" outlineLevel="1">
      <c r="C942" s="407" t="s">
        <v>882</v>
      </c>
      <c r="G942" s="6">
        <f>$G$32</f>
        <v>1</v>
      </c>
      <c r="H942" s="17" t="s">
        <v>485</v>
      </c>
      <c r="I942" s="17"/>
      <c r="K942" s="36">
        <f>INDEX(K943:K945,$G942,0)</f>
        <v>14625.411202416168</v>
      </c>
      <c r="L942" s="36">
        <f t="shared" ref="L942:T942" si="151">INDEX(L943:L945,$G942,0)</f>
        <v>15064.173538488652</v>
      </c>
      <c r="M942" s="36">
        <f t="shared" si="151"/>
        <v>15516.098744643312</v>
      </c>
      <c r="N942" s="36">
        <f t="shared" si="151"/>
        <v>15981.581706982612</v>
      </c>
      <c r="O942" s="36">
        <f t="shared" si="151"/>
        <v>16461.02915819209</v>
      </c>
      <c r="P942" s="36">
        <f t="shared" si="151"/>
        <v>16954.860032937853</v>
      </c>
      <c r="Q942" s="36">
        <f t="shared" si="151"/>
        <v>17463.505833925989</v>
      </c>
      <c r="R942" s="36">
        <f t="shared" si="151"/>
        <v>17987.411008943767</v>
      </c>
      <c r="S942" s="36">
        <f t="shared" si="151"/>
        <v>18527.033339212081</v>
      </c>
      <c r="T942" s="36">
        <f t="shared" si="151"/>
        <v>19082.844339388444</v>
      </c>
      <c r="U942" s="36">
        <f>INDEX(U943:U945,$G942,0)</f>
        <v>19082.844339388444</v>
      </c>
      <c r="V942" s="36">
        <f>INDEX(V943:V945,$G942,0)</f>
        <v>19082.844339388444</v>
      </c>
      <c r="W942" s="36">
        <f>INDEX(W943:W945,$G942,0)</f>
        <v>19082.844339388444</v>
      </c>
    </row>
    <row r="943" spans="3:23" outlineLevel="1">
      <c r="C943" s="407" t="s">
        <v>840</v>
      </c>
      <c r="K943" s="26">
        <v>14625.411202416168</v>
      </c>
      <c r="L943" s="26">
        <v>15064.173538488652</v>
      </c>
      <c r="M943" s="26">
        <v>15516.098744643312</v>
      </c>
      <c r="N943" s="26">
        <v>15981.581706982612</v>
      </c>
      <c r="O943" s="26">
        <v>16461.02915819209</v>
      </c>
      <c r="P943" s="26">
        <v>16954.860032937853</v>
      </c>
      <c r="Q943" s="26">
        <v>17463.505833925989</v>
      </c>
      <c r="R943" s="26">
        <v>17987.411008943767</v>
      </c>
      <c r="S943" s="26">
        <v>18527.033339212081</v>
      </c>
      <c r="T943" s="26">
        <v>19082.844339388444</v>
      </c>
      <c r="U943" s="26">
        <v>19082.844339388444</v>
      </c>
      <c r="V943" s="26">
        <v>19082.844339388444</v>
      </c>
      <c r="W943" s="26">
        <v>19082.844339388444</v>
      </c>
    </row>
    <row r="944" spans="3:23" outlineLevel="1"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</row>
    <row r="945" spans="3:23" outlineLevel="1"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</row>
    <row r="946" spans="3:23" outlineLevel="1"/>
    <row r="947" spans="3:23" ht="15.75" outlineLevel="1">
      <c r="C947" s="15" t="s">
        <v>596</v>
      </c>
    </row>
    <row r="948" spans="3:23" outlineLevel="1">
      <c r="C948" s="407" t="s">
        <v>839</v>
      </c>
      <c r="G948" s="6">
        <f>$G$32</f>
        <v>1</v>
      </c>
      <c r="H948" s="17" t="s">
        <v>325</v>
      </c>
      <c r="I948" s="17"/>
      <c r="K948" s="36">
        <f>INDEX(K949:K951,$G948,0)</f>
        <v>0</v>
      </c>
      <c r="L948" s="36">
        <f t="shared" ref="L948:T948" si="152">INDEX(L949:L951,$G948,0)</f>
        <v>0.05</v>
      </c>
      <c r="M948" s="36">
        <f t="shared" si="152"/>
        <v>0.05</v>
      </c>
      <c r="N948" s="36">
        <f t="shared" si="152"/>
        <v>0.05</v>
      </c>
      <c r="O948" s="36">
        <f t="shared" si="152"/>
        <v>0.05</v>
      </c>
      <c r="P948" s="36">
        <f t="shared" si="152"/>
        <v>0.05</v>
      </c>
      <c r="Q948" s="36">
        <f t="shared" si="152"/>
        <v>0.05</v>
      </c>
      <c r="R948" s="36">
        <f t="shared" si="152"/>
        <v>0.05</v>
      </c>
      <c r="S948" s="36">
        <f t="shared" si="152"/>
        <v>0.05</v>
      </c>
      <c r="T948" s="36">
        <f t="shared" si="152"/>
        <v>0.05</v>
      </c>
      <c r="U948" s="36">
        <f>INDEX(U949:U951,$G948,0)</f>
        <v>0.05</v>
      </c>
      <c r="V948" s="36">
        <f>INDEX(V949:V951,$G948,0)</f>
        <v>0.05</v>
      </c>
      <c r="W948" s="36">
        <f>INDEX(W949:W951,$G948,0)</f>
        <v>0.05</v>
      </c>
    </row>
    <row r="949" spans="3:23" outlineLevel="1">
      <c r="C949" s="407" t="s">
        <v>840</v>
      </c>
      <c r="K949" s="26"/>
      <c r="L949" s="26">
        <f t="shared" ref="L949:T949" si="153">L935</f>
        <v>0.05</v>
      </c>
      <c r="M949" s="26">
        <f t="shared" si="153"/>
        <v>0.05</v>
      </c>
      <c r="N949" s="26">
        <f t="shared" si="153"/>
        <v>0.05</v>
      </c>
      <c r="O949" s="26">
        <f t="shared" si="153"/>
        <v>0.05</v>
      </c>
      <c r="P949" s="26">
        <f t="shared" si="153"/>
        <v>0.05</v>
      </c>
      <c r="Q949" s="26">
        <f t="shared" si="153"/>
        <v>0.05</v>
      </c>
      <c r="R949" s="26">
        <f t="shared" si="153"/>
        <v>0.05</v>
      </c>
      <c r="S949" s="26">
        <f t="shared" si="153"/>
        <v>0.05</v>
      </c>
      <c r="T949" s="26">
        <f t="shared" si="153"/>
        <v>0.05</v>
      </c>
      <c r="U949" s="26">
        <f>U935</f>
        <v>0.05</v>
      </c>
      <c r="V949" s="26">
        <f>V935</f>
        <v>0.05</v>
      </c>
      <c r="W949" s="26">
        <f>W935</f>
        <v>0.05</v>
      </c>
    </row>
    <row r="950" spans="3:23" outlineLevel="1"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</row>
    <row r="951" spans="3:23" outlineLevel="1"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</row>
    <row r="952" spans="3:23" outlineLevel="1"/>
    <row r="953" spans="3:23" outlineLevel="1">
      <c r="C953" s="407" t="s">
        <v>886</v>
      </c>
      <c r="G953" s="6">
        <f>$G$32</f>
        <v>1</v>
      </c>
      <c r="H953" s="17" t="s">
        <v>543</v>
      </c>
      <c r="J953" s="20">
        <f>INDEX(K953:P953,,$G953)</f>
        <v>214500</v>
      </c>
      <c r="K953" s="30">
        <v>214500</v>
      </c>
      <c r="L953" s="19"/>
      <c r="M953" s="19"/>
      <c r="N953" s="19"/>
      <c r="O953" s="19"/>
      <c r="P953" s="19"/>
    </row>
    <row r="954" spans="3:23" outlineLevel="1"/>
    <row r="955" spans="3:23" outlineLevel="1">
      <c r="C955" s="407" t="s">
        <v>882</v>
      </c>
      <c r="G955" s="6">
        <f>$G$32</f>
        <v>1</v>
      </c>
      <c r="H955" s="17" t="s">
        <v>485</v>
      </c>
      <c r="I955" s="17"/>
      <c r="K955" s="36">
        <f>INDEX(K956:K958,$G955,0)</f>
        <v>6500.0000000000018</v>
      </c>
      <c r="L955" s="36">
        <f t="shared" ref="L955:T955" si="154">INDEX(L956:L958,$G955,0)</f>
        <v>6695.0000000000018</v>
      </c>
      <c r="M955" s="36">
        <f t="shared" si="154"/>
        <v>6895.8500000000022</v>
      </c>
      <c r="N955" s="36">
        <f t="shared" si="154"/>
        <v>7102.7255000000023</v>
      </c>
      <c r="O955" s="36">
        <f t="shared" si="154"/>
        <v>7315.8072650000022</v>
      </c>
      <c r="P955" s="36">
        <f t="shared" si="154"/>
        <v>7535.2814829500021</v>
      </c>
      <c r="Q955" s="36">
        <f t="shared" si="154"/>
        <v>7761.3399274385019</v>
      </c>
      <c r="R955" s="36">
        <f t="shared" si="154"/>
        <v>7994.1801252616569</v>
      </c>
      <c r="S955" s="36">
        <f t="shared" si="154"/>
        <v>8234.0055290195069</v>
      </c>
      <c r="T955" s="36">
        <f t="shared" si="154"/>
        <v>8481.0256948900915</v>
      </c>
      <c r="U955" s="36">
        <f>INDEX(U956:U958,$G955,0)</f>
        <v>8481.0256948900915</v>
      </c>
      <c r="V955" s="36">
        <f>INDEX(V956:V958,$G955,0)</f>
        <v>8481.0256948900915</v>
      </c>
      <c r="W955" s="36">
        <f>INDEX(W956:W958,$G955,0)</f>
        <v>8481.0256948900915</v>
      </c>
    </row>
    <row r="956" spans="3:23" outlineLevel="1">
      <c r="C956" s="407" t="s">
        <v>840</v>
      </c>
      <c r="K956" s="26">
        <v>6500.0000000000018</v>
      </c>
      <c r="L956" s="26">
        <v>6695.0000000000018</v>
      </c>
      <c r="M956" s="26">
        <v>6895.8500000000022</v>
      </c>
      <c r="N956" s="26">
        <v>7102.7255000000023</v>
      </c>
      <c r="O956" s="26">
        <v>7315.8072650000022</v>
      </c>
      <c r="P956" s="26">
        <v>7535.2814829500021</v>
      </c>
      <c r="Q956" s="26">
        <v>7761.3399274385019</v>
      </c>
      <c r="R956" s="26">
        <v>7994.1801252616569</v>
      </c>
      <c r="S956" s="26">
        <v>8234.0055290195069</v>
      </c>
      <c r="T956" s="26">
        <v>8481.0256948900915</v>
      </c>
      <c r="U956" s="26">
        <v>8481.0256948900915</v>
      </c>
      <c r="V956" s="26">
        <v>8481.0256948900915</v>
      </c>
      <c r="W956" s="26">
        <v>8481.0256948900915</v>
      </c>
    </row>
    <row r="957" spans="3:23" outlineLevel="1"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</row>
    <row r="958" spans="3:23" outlineLevel="1"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</row>
    <row r="959" spans="3:23" outlineLevel="1"/>
    <row r="960" spans="3:23" outlineLevel="1"/>
    <row r="961" spans="3:23" ht="23.25" outlineLevel="1">
      <c r="C961" s="60" t="s">
        <v>473</v>
      </c>
    </row>
    <row r="962" spans="3:23" outlineLevel="1">
      <c r="C962" t="s">
        <v>895</v>
      </c>
    </row>
    <row r="963" spans="3:23" outlineLevel="1">
      <c r="C963" t="s">
        <v>896</v>
      </c>
      <c r="H963" s="17" t="s">
        <v>897</v>
      </c>
      <c r="J963" s="30">
        <v>4.9669881868900001</v>
      </c>
      <c r="K963" s="30"/>
      <c r="L963" s="19"/>
      <c r="M963" s="19"/>
      <c r="N963" s="19"/>
      <c r="O963" s="19"/>
      <c r="P963" s="19"/>
      <c r="Q963" s="19"/>
      <c r="R963" s="19"/>
      <c r="S963" s="19"/>
      <c r="T963" s="19"/>
      <c r="U963" s="19"/>
      <c r="V963" s="19"/>
      <c r="W963" s="19"/>
    </row>
    <row r="964" spans="3:23" outlineLevel="1">
      <c r="C964" s="2"/>
      <c r="H964" s="17"/>
    </row>
    <row r="965" spans="3:23" outlineLevel="1">
      <c r="C965" s="430" t="s">
        <v>492</v>
      </c>
      <c r="H965" s="17" t="s">
        <v>315</v>
      </c>
      <c r="J965" s="30">
        <v>8.3321613719999993E-2</v>
      </c>
      <c r="K965" s="30"/>
      <c r="L965" s="39"/>
      <c r="M965" s="39"/>
      <c r="N965" s="39"/>
      <c r="O965" s="39"/>
      <c r="P965" s="39"/>
      <c r="Q965" s="39"/>
      <c r="R965" s="39"/>
      <c r="S965" s="39"/>
      <c r="T965" s="39"/>
      <c r="U965" s="39"/>
      <c r="V965" s="39"/>
      <c r="W965" s="39"/>
    </row>
    <row r="966" spans="3:23" outlineLevel="1">
      <c r="C966" s="430"/>
      <c r="H966" s="17"/>
    </row>
    <row r="967" spans="3:23" outlineLevel="1">
      <c r="C967" s="430" t="s">
        <v>585</v>
      </c>
      <c r="H967" s="17"/>
    </row>
    <row r="968" spans="3:23" outlineLevel="1">
      <c r="C968" s="430" t="s">
        <v>896</v>
      </c>
      <c r="H968" s="17" t="s">
        <v>315</v>
      </c>
      <c r="J968" s="30">
        <v>3.4999999999999997E-5</v>
      </c>
      <c r="K968" s="30"/>
      <c r="L968" s="39"/>
      <c r="M968" s="39"/>
      <c r="N968" s="39"/>
      <c r="O968" s="39"/>
      <c r="P968" s="39"/>
      <c r="Q968" s="39"/>
      <c r="R968" s="39"/>
      <c r="S968" s="39"/>
      <c r="T968" s="39"/>
      <c r="U968" s="39"/>
      <c r="V968" s="39"/>
      <c r="W968" s="39"/>
    </row>
    <row r="969" spans="3:23" outlineLevel="1">
      <c r="C969" s="430" t="s">
        <v>899</v>
      </c>
      <c r="H969" s="17"/>
      <c r="K969" s="30">
        <v>5.2761990118853996E-6</v>
      </c>
      <c r="L969" s="39">
        <v>5.2761990118853996E-6</v>
      </c>
      <c r="M969" s="39">
        <v>5.2761990118853996E-6</v>
      </c>
      <c r="N969" s="39">
        <v>5.2761990118853996E-6</v>
      </c>
      <c r="O969" s="39">
        <v>5.2761990118853996E-6</v>
      </c>
      <c r="P969" s="39">
        <v>5.2761990118853996E-6</v>
      </c>
      <c r="Q969" s="39">
        <v>5.2761990118853996E-6</v>
      </c>
      <c r="R969" s="39">
        <v>5.2761990118853996E-6</v>
      </c>
      <c r="S969" s="39">
        <v>5.2761990118853996E-6</v>
      </c>
      <c r="T969" s="39">
        <v>5.2761990118853996E-6</v>
      </c>
      <c r="U969" s="39">
        <v>5.2761990118853996E-6</v>
      </c>
      <c r="V969" s="39">
        <v>5.2761990118853996E-6</v>
      </c>
      <c r="W969" s="39">
        <v>5.2761990118853996E-6</v>
      </c>
    </row>
    <row r="970" spans="3:23" outlineLevel="1">
      <c r="C970" s="430"/>
      <c r="H970" s="17"/>
    </row>
    <row r="971" spans="3:23" outlineLevel="1">
      <c r="C971" s="430" t="s">
        <v>586</v>
      </c>
      <c r="H971" s="17" t="s">
        <v>315</v>
      </c>
      <c r="J971" s="69">
        <v>2.652611E-3</v>
      </c>
      <c r="K971" s="30"/>
      <c r="L971" s="39"/>
      <c r="M971" s="39"/>
      <c r="N971" s="39"/>
      <c r="O971" s="39"/>
      <c r="P971" s="39"/>
      <c r="Q971" s="39"/>
      <c r="R971" s="39"/>
      <c r="S971" s="39"/>
      <c r="T971" s="39"/>
      <c r="U971" s="39"/>
      <c r="V971" s="39"/>
      <c r="W971" s="39"/>
    </row>
    <row r="972" spans="3:23" outlineLevel="1"/>
    <row r="973" spans="3:23" outlineLevel="1"/>
    <row r="974" spans="3:23" outlineLevel="1">
      <c r="C974" s="407" t="s">
        <v>887</v>
      </c>
      <c r="G974" s="6">
        <f>$G$32</f>
        <v>1</v>
      </c>
      <c r="H974" s="17" t="s">
        <v>325</v>
      </c>
      <c r="I974" s="17"/>
      <c r="K974" s="36">
        <f>INDEX(K975:K977,$G974,0)</f>
        <v>3.5000000000000003E-2</v>
      </c>
      <c r="L974" s="36">
        <f t="shared" ref="L974:T974" si="155">INDEX(L975:L977,$G974,0)</f>
        <v>3.5000000000000003E-2</v>
      </c>
      <c r="M974" s="36">
        <f t="shared" si="155"/>
        <v>3.5000000000000003E-2</v>
      </c>
      <c r="N974" s="36">
        <f t="shared" si="155"/>
        <v>3.5000000000000003E-2</v>
      </c>
      <c r="O974" s="36">
        <f t="shared" si="155"/>
        <v>3.5000000000000003E-2</v>
      </c>
      <c r="P974" s="36">
        <f t="shared" si="155"/>
        <v>3.5000000000000003E-2</v>
      </c>
      <c r="Q974" s="36">
        <f t="shared" si="155"/>
        <v>3.5000000000000003E-2</v>
      </c>
      <c r="R974" s="36">
        <f t="shared" si="155"/>
        <v>3.5000000000000003E-2</v>
      </c>
      <c r="S974" s="36">
        <f t="shared" si="155"/>
        <v>3.5000000000000003E-2</v>
      </c>
      <c r="T974" s="36">
        <f t="shared" si="155"/>
        <v>3.5000000000000003E-2</v>
      </c>
      <c r="U974" s="36">
        <f>INDEX(U975:U977,$G974,0)</f>
        <v>3.5000000000000003E-2</v>
      </c>
      <c r="V974" s="36">
        <f>INDEX(V975:V977,$G974,0)</f>
        <v>3.5000000000000003E-2</v>
      </c>
      <c r="W974" s="36">
        <f>INDEX(W975:W977,$G974,0)</f>
        <v>3.5000000000000003E-2</v>
      </c>
    </row>
    <row r="975" spans="3:23" outlineLevel="1">
      <c r="C975" s="407" t="s">
        <v>840</v>
      </c>
      <c r="K975" s="26">
        <v>3.5000000000000003E-2</v>
      </c>
      <c r="L975" s="26">
        <v>3.5000000000000003E-2</v>
      </c>
      <c r="M975" s="26">
        <v>3.5000000000000003E-2</v>
      </c>
      <c r="N975" s="26">
        <v>3.5000000000000003E-2</v>
      </c>
      <c r="O975" s="26">
        <v>3.5000000000000003E-2</v>
      </c>
      <c r="P975" s="26">
        <v>3.5000000000000003E-2</v>
      </c>
      <c r="Q975" s="26">
        <v>3.5000000000000003E-2</v>
      </c>
      <c r="R975" s="26">
        <v>3.5000000000000003E-2</v>
      </c>
      <c r="S975" s="26">
        <v>3.5000000000000003E-2</v>
      </c>
      <c r="T975" s="26">
        <v>3.5000000000000003E-2</v>
      </c>
      <c r="U975" s="26">
        <v>3.5000000000000003E-2</v>
      </c>
      <c r="V975" s="26">
        <v>3.5000000000000003E-2</v>
      </c>
      <c r="W975" s="26">
        <v>3.5000000000000003E-2</v>
      </c>
    </row>
    <row r="976" spans="3:23" outlineLevel="1"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</row>
    <row r="977" spans="3:23" outlineLevel="1"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</row>
    <row r="978" spans="3:23" outlineLevel="1"/>
    <row r="979" spans="3:23" outlineLevel="1">
      <c r="C979" s="407" t="s">
        <v>870</v>
      </c>
      <c r="G979" s="6">
        <f>$G$32</f>
        <v>1</v>
      </c>
      <c r="H979" s="17" t="s">
        <v>315</v>
      </c>
      <c r="J979" s="20">
        <f>INDEX(K979:P979,,$G979)</f>
        <v>0.33450115960999999</v>
      </c>
      <c r="K979" s="19">
        <v>0.33450115960999999</v>
      </c>
      <c r="L979" s="19"/>
      <c r="M979" s="19"/>
      <c r="N979" s="19"/>
      <c r="O979" s="19"/>
      <c r="P979" s="19"/>
    </row>
    <row r="980" spans="3:23" outlineLevel="1"/>
    <row r="981" spans="3:23" outlineLevel="1"/>
    <row r="982" spans="3:23" ht="23.25" outlineLevel="1">
      <c r="C982" s="59" t="s">
        <v>535</v>
      </c>
    </row>
    <row r="983" spans="3:23" outlineLevel="1">
      <c r="C983" s="407" t="s">
        <v>854</v>
      </c>
      <c r="G983" s="6">
        <f>$G$32</f>
        <v>1</v>
      </c>
      <c r="H983" s="17" t="s">
        <v>325</v>
      </c>
      <c r="I983" s="17"/>
      <c r="K983" s="36">
        <f>INDEX(K984:K986,$G983,0)</f>
        <v>0.01</v>
      </c>
      <c r="L983" s="36">
        <f t="shared" ref="L983:T983" si="156">INDEX(L984:L986,$G983,0)</f>
        <v>0.01</v>
      </c>
      <c r="M983" s="36">
        <f t="shared" si="156"/>
        <v>0.01</v>
      </c>
      <c r="N983" s="36">
        <f t="shared" si="156"/>
        <v>0.01</v>
      </c>
      <c r="O983" s="36">
        <f t="shared" si="156"/>
        <v>0.01</v>
      </c>
      <c r="P983" s="36">
        <f t="shared" si="156"/>
        <v>0.01</v>
      </c>
      <c r="Q983" s="36">
        <f t="shared" si="156"/>
        <v>0.01</v>
      </c>
      <c r="R983" s="36">
        <f t="shared" si="156"/>
        <v>0.01</v>
      </c>
      <c r="S983" s="36">
        <f t="shared" si="156"/>
        <v>0.01</v>
      </c>
      <c r="T983" s="36">
        <f t="shared" si="156"/>
        <v>0.01</v>
      </c>
      <c r="U983" s="36">
        <f>INDEX(U984:U986,$G983,0)</f>
        <v>0.01</v>
      </c>
      <c r="V983" s="36">
        <f>INDEX(V984:V986,$G983,0)</f>
        <v>0.01</v>
      </c>
      <c r="W983" s="36">
        <f>INDEX(W984:W986,$G983,0)</f>
        <v>0.01</v>
      </c>
    </row>
    <row r="984" spans="3:23" outlineLevel="1">
      <c r="C984" s="407" t="s">
        <v>840</v>
      </c>
      <c r="K984" s="26">
        <v>0.01</v>
      </c>
      <c r="L984" s="26">
        <v>0.01</v>
      </c>
      <c r="M984" s="26">
        <v>0.01</v>
      </c>
      <c r="N984" s="26">
        <v>0.01</v>
      </c>
      <c r="O984" s="26">
        <v>0.01</v>
      </c>
      <c r="P984" s="26">
        <v>0.01</v>
      </c>
      <c r="Q984" s="26">
        <v>0.01</v>
      </c>
      <c r="R984" s="26">
        <v>0.01</v>
      </c>
      <c r="S984" s="26">
        <v>0.01</v>
      </c>
      <c r="T984" s="26">
        <v>0.01</v>
      </c>
      <c r="U984" s="26">
        <v>0.01</v>
      </c>
      <c r="V984" s="26">
        <v>0.01</v>
      </c>
      <c r="W984" s="26">
        <v>0.01</v>
      </c>
    </row>
    <row r="985" spans="3:23" outlineLevel="1"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</row>
    <row r="986" spans="3:23" outlineLevel="1"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</row>
    <row r="987" spans="3:23" outlineLevel="1"/>
    <row r="988" spans="3:23" outlineLevel="1">
      <c r="C988" s="407" t="s">
        <v>870</v>
      </c>
      <c r="G988" s="6">
        <f>$G$32</f>
        <v>1</v>
      </c>
      <c r="J988" s="20">
        <f>INDEX(K988:P988,,$G988)</f>
        <v>3.800000001E-2</v>
      </c>
      <c r="K988" s="19">
        <v>3.800000001E-2</v>
      </c>
      <c r="L988" s="19"/>
      <c r="M988" s="19"/>
      <c r="N988" s="19"/>
      <c r="O988" s="19"/>
      <c r="P988" s="19"/>
    </row>
    <row r="989" spans="3:23" outlineLevel="1"/>
    <row r="990" spans="3:23" outlineLevel="1">
      <c r="C990" s="407" t="s">
        <v>857</v>
      </c>
      <c r="G990" s="6">
        <f>$G$32</f>
        <v>1</v>
      </c>
      <c r="H990" s="17" t="s">
        <v>325</v>
      </c>
      <c r="I990" s="17"/>
      <c r="K990" s="36">
        <f>INDEX(K991:K993,$G990,0)</f>
        <v>0.01</v>
      </c>
      <c r="L990" s="36">
        <f t="shared" ref="L990:T990" si="157">INDEX(L991:L993,$G990,0)</f>
        <v>0.01</v>
      </c>
      <c r="M990" s="36">
        <f t="shared" si="157"/>
        <v>0.01</v>
      </c>
      <c r="N990" s="36">
        <f t="shared" si="157"/>
        <v>0.01</v>
      </c>
      <c r="O990" s="36">
        <f t="shared" si="157"/>
        <v>0.01</v>
      </c>
      <c r="P990" s="36">
        <f t="shared" si="157"/>
        <v>0.01</v>
      </c>
      <c r="Q990" s="36">
        <f t="shared" si="157"/>
        <v>0.01</v>
      </c>
      <c r="R990" s="36">
        <f t="shared" si="157"/>
        <v>0.01</v>
      </c>
      <c r="S990" s="36">
        <f t="shared" si="157"/>
        <v>0.01</v>
      </c>
      <c r="T990" s="36">
        <f t="shared" si="157"/>
        <v>0.01</v>
      </c>
      <c r="U990" s="36">
        <f>INDEX(U991:U993,$G990,0)</f>
        <v>0.01</v>
      </c>
      <c r="V990" s="36">
        <f>INDEX(V991:V993,$G990,0)</f>
        <v>0.01</v>
      </c>
      <c r="W990" s="36">
        <f>INDEX(W991:W993,$G990,0)</f>
        <v>0.01</v>
      </c>
    </row>
    <row r="991" spans="3:23" outlineLevel="1">
      <c r="C991" s="407" t="s">
        <v>840</v>
      </c>
      <c r="K991" s="26">
        <v>0.01</v>
      </c>
      <c r="L991" s="26">
        <v>0.01</v>
      </c>
      <c r="M991" s="26">
        <v>0.01</v>
      </c>
      <c r="N991" s="26">
        <v>0.01</v>
      </c>
      <c r="O991" s="26">
        <v>0.01</v>
      </c>
      <c r="P991" s="26">
        <v>0.01</v>
      </c>
      <c r="Q991" s="26">
        <v>0.01</v>
      </c>
      <c r="R991" s="26">
        <v>0.01</v>
      </c>
      <c r="S991" s="26">
        <v>0.01</v>
      </c>
      <c r="T991" s="26">
        <v>0.01</v>
      </c>
      <c r="U991" s="26">
        <v>0.01</v>
      </c>
      <c r="V991" s="26">
        <v>0.01</v>
      </c>
      <c r="W991" s="26">
        <v>0.01</v>
      </c>
    </row>
    <row r="992" spans="3:23" outlineLevel="1"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</row>
    <row r="993" spans="3:23" outlineLevel="1"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</row>
    <row r="994" spans="3:23" outlineLevel="1"/>
    <row r="995" spans="3:23" outlineLevel="1">
      <c r="C995" s="407" t="s">
        <v>870</v>
      </c>
      <c r="G995" s="6">
        <f>$G$32</f>
        <v>1</v>
      </c>
      <c r="J995" s="20">
        <f>INDEX(K995:P995,,$G995)</f>
        <v>1.8822505E-2</v>
      </c>
      <c r="K995" s="19">
        <v>1.8822505E-2</v>
      </c>
      <c r="L995" s="19"/>
      <c r="M995" s="19"/>
      <c r="N995" s="19"/>
      <c r="O995" s="19"/>
      <c r="P995" s="19"/>
    </row>
    <row r="996" spans="3:23" outlineLevel="1"/>
    <row r="997" spans="3:23" outlineLevel="1">
      <c r="C997" s="407" t="s">
        <v>859</v>
      </c>
      <c r="G997" s="6">
        <f>$G$32</f>
        <v>1</v>
      </c>
      <c r="H997" s="17" t="s">
        <v>325</v>
      </c>
      <c r="I997" s="17"/>
      <c r="K997" s="36">
        <f>INDEX(K998:K1000,$G997,0)</f>
        <v>0.01</v>
      </c>
      <c r="L997" s="36">
        <f t="shared" ref="L997:T997" si="158">INDEX(L998:L1000,$G997,0)</f>
        <v>0.01</v>
      </c>
      <c r="M997" s="36">
        <f t="shared" si="158"/>
        <v>0.01</v>
      </c>
      <c r="N997" s="36">
        <f t="shared" si="158"/>
        <v>0.01</v>
      </c>
      <c r="O997" s="36">
        <f t="shared" si="158"/>
        <v>0.01</v>
      </c>
      <c r="P997" s="36">
        <f t="shared" si="158"/>
        <v>0.01</v>
      </c>
      <c r="Q997" s="36">
        <f t="shared" si="158"/>
        <v>0.01</v>
      </c>
      <c r="R997" s="36">
        <f t="shared" si="158"/>
        <v>0.01</v>
      </c>
      <c r="S997" s="36">
        <f t="shared" si="158"/>
        <v>0.01</v>
      </c>
      <c r="T997" s="36">
        <f t="shared" si="158"/>
        <v>0.01</v>
      </c>
      <c r="U997" s="36">
        <f>INDEX(U998:U1000,$G997,0)</f>
        <v>0.01</v>
      </c>
      <c r="V997" s="36">
        <f>INDEX(V998:V1000,$G997,0)</f>
        <v>0.01</v>
      </c>
      <c r="W997" s="36">
        <f>INDEX(W998:W1000,$G997,0)</f>
        <v>0.01</v>
      </c>
    </row>
    <row r="998" spans="3:23" outlineLevel="1">
      <c r="C998" s="407" t="s">
        <v>840</v>
      </c>
      <c r="K998" s="26">
        <v>0.01</v>
      </c>
      <c r="L998" s="26">
        <v>0.01</v>
      </c>
      <c r="M998" s="26">
        <v>0.01</v>
      </c>
      <c r="N998" s="26">
        <v>0.01</v>
      </c>
      <c r="O998" s="26">
        <v>0.01</v>
      </c>
      <c r="P998" s="26">
        <v>0.01</v>
      </c>
      <c r="Q998" s="26">
        <v>0.01</v>
      </c>
      <c r="R998" s="26">
        <v>0.01</v>
      </c>
      <c r="S998" s="26">
        <v>0.01</v>
      </c>
      <c r="T998" s="26">
        <v>0.01</v>
      </c>
      <c r="U998" s="26">
        <v>0.01</v>
      </c>
      <c r="V998" s="26">
        <v>0.01</v>
      </c>
      <c r="W998" s="26">
        <v>0.01</v>
      </c>
    </row>
    <row r="999" spans="3:23" outlineLevel="1"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</row>
    <row r="1000" spans="3:23" outlineLevel="1"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</row>
    <row r="1001" spans="3:23" outlineLevel="1"/>
    <row r="1002" spans="3:23" outlineLevel="1">
      <c r="C1002" s="407" t="s">
        <v>870</v>
      </c>
      <c r="G1002" s="6">
        <f>$G$32</f>
        <v>1</v>
      </c>
      <c r="J1002" s="20">
        <f>INDEX(K1002:P1002,,$G1002)</f>
        <v>1.5713000670000001E-2</v>
      </c>
      <c r="K1002" s="19">
        <v>1.5713000670000001E-2</v>
      </c>
      <c r="L1002" s="19"/>
      <c r="M1002" s="19"/>
      <c r="N1002" s="19"/>
      <c r="O1002" s="19"/>
      <c r="P1002" s="19"/>
    </row>
    <row r="1003" spans="3:23" outlineLevel="1"/>
    <row r="1004" spans="3:23" outlineLevel="1">
      <c r="C1004" s="407" t="s">
        <v>858</v>
      </c>
      <c r="G1004" s="6">
        <f>$G$32</f>
        <v>1</v>
      </c>
      <c r="H1004" s="17" t="s">
        <v>325</v>
      </c>
      <c r="I1004" s="17"/>
      <c r="K1004" s="36">
        <f>INDEX(K1005:K1007,$G1004,0)</f>
        <v>0.01</v>
      </c>
      <c r="L1004" s="36">
        <f t="shared" ref="L1004:T1004" si="159">INDEX(L1005:L1007,$G1004,0)</f>
        <v>0.01</v>
      </c>
      <c r="M1004" s="36">
        <f t="shared" si="159"/>
        <v>0.01</v>
      </c>
      <c r="N1004" s="36">
        <f t="shared" si="159"/>
        <v>0.01</v>
      </c>
      <c r="O1004" s="36">
        <f t="shared" si="159"/>
        <v>0.01</v>
      </c>
      <c r="P1004" s="36">
        <f t="shared" si="159"/>
        <v>0.01</v>
      </c>
      <c r="Q1004" s="36">
        <f t="shared" si="159"/>
        <v>0.01</v>
      </c>
      <c r="R1004" s="36">
        <f t="shared" si="159"/>
        <v>0.01</v>
      </c>
      <c r="S1004" s="36">
        <f t="shared" si="159"/>
        <v>0.01</v>
      </c>
      <c r="T1004" s="36">
        <f t="shared" si="159"/>
        <v>0.01</v>
      </c>
      <c r="U1004" s="36">
        <f>INDEX(U1005:U1007,$G1004,0)</f>
        <v>0.01</v>
      </c>
      <c r="V1004" s="36">
        <f>INDEX(V1005:V1007,$G1004,0)</f>
        <v>0.01</v>
      </c>
      <c r="W1004" s="36">
        <f>INDEX(W1005:W1007,$G1004,0)</f>
        <v>0.01</v>
      </c>
    </row>
    <row r="1005" spans="3:23" outlineLevel="1">
      <c r="C1005" s="407" t="s">
        <v>840</v>
      </c>
      <c r="K1005" s="26">
        <v>0.01</v>
      </c>
      <c r="L1005" s="26">
        <v>0.01</v>
      </c>
      <c r="M1005" s="26">
        <v>0.01</v>
      </c>
      <c r="N1005" s="26">
        <v>0.01</v>
      </c>
      <c r="O1005" s="26">
        <v>0.01</v>
      </c>
      <c r="P1005" s="26">
        <v>0.01</v>
      </c>
      <c r="Q1005" s="26">
        <v>0.01</v>
      </c>
      <c r="R1005" s="26">
        <v>0.01</v>
      </c>
      <c r="S1005" s="26">
        <v>0.01</v>
      </c>
      <c r="T1005" s="26">
        <v>0.01</v>
      </c>
      <c r="U1005" s="26">
        <v>0.01</v>
      </c>
      <c r="V1005" s="26">
        <v>0.01</v>
      </c>
      <c r="W1005" s="26">
        <v>0.01</v>
      </c>
    </row>
    <row r="1006" spans="3:23" outlineLevel="1"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</row>
    <row r="1007" spans="3:23" outlineLevel="1"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</row>
    <row r="1008" spans="3:23" outlineLevel="1"/>
    <row r="1009" spans="3:23" outlineLevel="1">
      <c r="C1009" s="407" t="s">
        <v>870</v>
      </c>
      <c r="G1009" s="6">
        <f>$G$32</f>
        <v>1</v>
      </c>
      <c r="J1009" s="20">
        <f>INDEX(K1009:P1009,,$G1009)</f>
        <v>9.3991999999999999E-3</v>
      </c>
      <c r="K1009" s="19">
        <v>9.3991999999999999E-3</v>
      </c>
      <c r="L1009" s="19"/>
      <c r="M1009" s="19"/>
      <c r="N1009" s="19"/>
      <c r="O1009" s="19"/>
      <c r="P1009" s="19"/>
    </row>
    <row r="1011" spans="3:23" ht="20.25" thickBot="1">
      <c r="C1011" s="66" t="s">
        <v>597</v>
      </c>
      <c r="D1011" s="66"/>
      <c r="E1011" s="66"/>
      <c r="F1011" s="66"/>
      <c r="G1011" s="66"/>
      <c r="H1011" s="66"/>
      <c r="I1011" s="66"/>
      <c r="J1011" s="66"/>
      <c r="K1011" s="66"/>
      <c r="L1011" s="66"/>
      <c r="M1011" s="66"/>
      <c r="N1011" s="66"/>
      <c r="O1011" s="66"/>
      <c r="P1011" s="66"/>
      <c r="Q1011" s="66"/>
      <c r="R1011" s="66"/>
      <c r="S1011" s="66"/>
      <c r="T1011" s="66"/>
      <c r="U1011" s="66"/>
      <c r="V1011" s="66"/>
      <c r="W1011" s="66"/>
    </row>
    <row r="1012" spans="3:23" ht="15.75" thickTop="1"/>
    <row r="1013" spans="3:23" ht="23.25" outlineLevel="1">
      <c r="C1013" s="60" t="s">
        <v>9</v>
      </c>
    </row>
    <row r="1014" spans="3:23" outlineLevel="1"/>
    <row r="1015" spans="3:23" ht="15.75" outlineLevel="1">
      <c r="C1015" s="15" t="s">
        <v>573</v>
      </c>
    </row>
    <row r="1016" spans="3:23" outlineLevel="1">
      <c r="C1016" s="407" t="s">
        <v>839</v>
      </c>
      <c r="G1016" s="6">
        <f>$G$32</f>
        <v>1</v>
      </c>
      <c r="H1016" s="17" t="s">
        <v>325</v>
      </c>
      <c r="I1016" s="17"/>
      <c r="K1016" s="36">
        <f>INDEX(K1017:K1019,$G1016,0)</f>
        <v>0</v>
      </c>
      <c r="L1016" s="36">
        <f t="shared" ref="L1016:T1016" si="160">INDEX(L1017:L1019,$G1016,0)</f>
        <v>0.05</v>
      </c>
      <c r="M1016" s="36">
        <f t="shared" si="160"/>
        <v>0.05</v>
      </c>
      <c r="N1016" s="36">
        <f t="shared" si="160"/>
        <v>0.05</v>
      </c>
      <c r="O1016" s="36">
        <f t="shared" si="160"/>
        <v>0.05</v>
      </c>
      <c r="P1016" s="36">
        <f t="shared" si="160"/>
        <v>0.05</v>
      </c>
      <c r="Q1016" s="36">
        <f t="shared" si="160"/>
        <v>0.05</v>
      </c>
      <c r="R1016" s="36">
        <f t="shared" si="160"/>
        <v>0.05</v>
      </c>
      <c r="S1016" s="36">
        <f t="shared" si="160"/>
        <v>0.05</v>
      </c>
      <c r="T1016" s="36">
        <f t="shared" si="160"/>
        <v>0.05</v>
      </c>
      <c r="U1016" s="36">
        <f>INDEX(U1017:U1019,$G1016,0)</f>
        <v>0.05</v>
      </c>
      <c r="V1016" s="36">
        <f>INDEX(V1017:V1019,$G1016,0)</f>
        <v>0.05</v>
      </c>
      <c r="W1016" s="36">
        <f>INDEX(W1017:W1019,$G1016,0)</f>
        <v>0.05</v>
      </c>
    </row>
    <row r="1017" spans="3:23" outlineLevel="1">
      <c r="C1017" s="407" t="s">
        <v>840</v>
      </c>
      <c r="K1017" s="26"/>
      <c r="L1017" s="26">
        <v>0.05</v>
      </c>
      <c r="M1017" s="26">
        <v>0.05</v>
      </c>
      <c r="N1017" s="26">
        <v>0.05</v>
      </c>
      <c r="O1017" s="26">
        <v>0.05</v>
      </c>
      <c r="P1017" s="26">
        <v>0.05</v>
      </c>
      <c r="Q1017" s="26">
        <v>0.05</v>
      </c>
      <c r="R1017" s="26">
        <v>0.05</v>
      </c>
      <c r="S1017" s="26">
        <v>0.05</v>
      </c>
      <c r="T1017" s="26">
        <v>0.05</v>
      </c>
      <c r="U1017" s="26">
        <v>0.05</v>
      </c>
      <c r="V1017" s="26">
        <v>0.05</v>
      </c>
      <c r="W1017" s="26">
        <v>0.05</v>
      </c>
    </row>
    <row r="1018" spans="3:23" outlineLevel="1"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</row>
    <row r="1019" spans="3:23" outlineLevel="1"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</row>
    <row r="1020" spans="3:23" outlineLevel="1"/>
    <row r="1021" spans="3:23" outlineLevel="1">
      <c r="C1021" s="407" t="s">
        <v>903</v>
      </c>
      <c r="G1021" s="6">
        <f>$G$32</f>
        <v>1</v>
      </c>
      <c r="H1021" s="17" t="s">
        <v>543</v>
      </c>
      <c r="J1021" s="30"/>
      <c r="K1021" s="30"/>
      <c r="L1021" s="19"/>
      <c r="M1021" s="19">
        <v>100000</v>
      </c>
      <c r="N1021" s="19"/>
      <c r="O1021" s="19"/>
      <c r="P1021" s="19"/>
    </row>
    <row r="1022" spans="3:23" outlineLevel="1"/>
    <row r="1023" spans="3:23" outlineLevel="1">
      <c r="C1023" s="407" t="s">
        <v>882</v>
      </c>
      <c r="G1023" s="6">
        <f>$G$32</f>
        <v>1</v>
      </c>
      <c r="H1023" s="17" t="s">
        <v>485</v>
      </c>
      <c r="I1023" s="17"/>
      <c r="K1023" s="36">
        <f>INDEX(K1024:K1026,$G1023,0)</f>
        <v>0</v>
      </c>
      <c r="L1023" s="36">
        <f t="shared" ref="L1023:T1023" si="161">INDEX(L1024:L1026,$G1023,0)</f>
        <v>0</v>
      </c>
      <c r="M1023" s="36">
        <f t="shared" si="161"/>
        <v>16189.178284696094</v>
      </c>
      <c r="N1023" s="36">
        <f t="shared" si="161"/>
        <v>16674.853633236977</v>
      </c>
      <c r="O1023" s="36">
        <f t="shared" si="161"/>
        <v>17175.099242234086</v>
      </c>
      <c r="P1023" s="36">
        <f t="shared" si="161"/>
        <v>17690.35221950111</v>
      </c>
      <c r="Q1023" s="36">
        <f t="shared" si="161"/>
        <v>18221.062786086142</v>
      </c>
      <c r="R1023" s="36">
        <f t="shared" si="161"/>
        <v>18767.694669668726</v>
      </c>
      <c r="S1023" s="36">
        <f t="shared" si="161"/>
        <v>19330.725509758788</v>
      </c>
      <c r="T1023" s="36">
        <f t="shared" si="161"/>
        <v>19910.64727505155</v>
      </c>
      <c r="U1023" s="36">
        <f>INDEX(U1024:U1026,$G1023,0)</f>
        <v>19910.64727505155</v>
      </c>
      <c r="V1023" s="36">
        <f>INDEX(V1024:V1026,$G1023,0)</f>
        <v>19910.64727505155</v>
      </c>
      <c r="W1023" s="36">
        <f>INDEX(W1024:W1026,$G1023,0)</f>
        <v>19910.64727505155</v>
      </c>
    </row>
    <row r="1024" spans="3:23" outlineLevel="1">
      <c r="C1024" s="407" t="s">
        <v>840</v>
      </c>
      <c r="K1024" s="26"/>
      <c r="L1024" s="26"/>
      <c r="M1024" s="26">
        <v>16189.178284696094</v>
      </c>
      <c r="N1024" s="26">
        <v>16674.853633236977</v>
      </c>
      <c r="O1024" s="26">
        <v>17175.099242234086</v>
      </c>
      <c r="P1024" s="26">
        <v>17690.35221950111</v>
      </c>
      <c r="Q1024" s="26">
        <v>18221.062786086142</v>
      </c>
      <c r="R1024" s="26">
        <v>18767.694669668726</v>
      </c>
      <c r="S1024" s="26">
        <v>19330.725509758788</v>
      </c>
      <c r="T1024" s="26">
        <v>19910.64727505155</v>
      </c>
      <c r="U1024" s="26">
        <v>19910.64727505155</v>
      </c>
      <c r="V1024" s="26">
        <v>19910.64727505155</v>
      </c>
      <c r="W1024" s="26">
        <v>19910.64727505155</v>
      </c>
    </row>
    <row r="1025" spans="3:23" outlineLevel="1"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</row>
    <row r="1026" spans="3:23" outlineLevel="1"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</row>
    <row r="1027" spans="3:23" outlineLevel="1"/>
    <row r="1028" spans="3:23" ht="15.75" outlineLevel="1">
      <c r="C1028" s="15" t="s">
        <v>574</v>
      </c>
    </row>
    <row r="1029" spans="3:23" outlineLevel="1">
      <c r="C1029" s="407" t="s">
        <v>839</v>
      </c>
      <c r="G1029" s="6">
        <f>$G$32</f>
        <v>1</v>
      </c>
      <c r="H1029" s="17" t="s">
        <v>325</v>
      </c>
      <c r="I1029" s="17"/>
      <c r="K1029" s="36">
        <f>INDEX(K1030:K1032,$G1029,0)</f>
        <v>0</v>
      </c>
      <c r="L1029" s="36">
        <f t="shared" ref="L1029:T1029" si="162">INDEX(L1030:L1032,$G1029,0)</f>
        <v>0.05</v>
      </c>
      <c r="M1029" s="36">
        <f t="shared" si="162"/>
        <v>0.05</v>
      </c>
      <c r="N1029" s="36">
        <f t="shared" si="162"/>
        <v>0.05</v>
      </c>
      <c r="O1029" s="36">
        <f t="shared" si="162"/>
        <v>0.05</v>
      </c>
      <c r="P1029" s="36">
        <f t="shared" si="162"/>
        <v>0.05</v>
      </c>
      <c r="Q1029" s="36">
        <f t="shared" si="162"/>
        <v>0.05</v>
      </c>
      <c r="R1029" s="36">
        <f t="shared" si="162"/>
        <v>0.05</v>
      </c>
      <c r="S1029" s="36">
        <f t="shared" si="162"/>
        <v>0.05</v>
      </c>
      <c r="T1029" s="36">
        <f t="shared" si="162"/>
        <v>0.05</v>
      </c>
      <c r="U1029" s="36">
        <f>INDEX(U1030:U1032,$G1029,0)</f>
        <v>0.05</v>
      </c>
      <c r="V1029" s="36">
        <f>INDEX(V1030:V1032,$G1029,0)</f>
        <v>0.05</v>
      </c>
      <c r="W1029" s="36">
        <f>INDEX(W1030:W1032,$G1029,0)</f>
        <v>0.05</v>
      </c>
    </row>
    <row r="1030" spans="3:23" outlineLevel="1">
      <c r="C1030" s="407" t="s">
        <v>840</v>
      </c>
      <c r="K1030" s="26"/>
      <c r="L1030" s="26">
        <f t="shared" ref="L1030:T1030" si="163">L1016</f>
        <v>0.05</v>
      </c>
      <c r="M1030" s="26">
        <f t="shared" si="163"/>
        <v>0.05</v>
      </c>
      <c r="N1030" s="26">
        <f t="shared" si="163"/>
        <v>0.05</v>
      </c>
      <c r="O1030" s="26">
        <f t="shared" si="163"/>
        <v>0.05</v>
      </c>
      <c r="P1030" s="26">
        <f t="shared" si="163"/>
        <v>0.05</v>
      </c>
      <c r="Q1030" s="26">
        <f t="shared" si="163"/>
        <v>0.05</v>
      </c>
      <c r="R1030" s="26">
        <f t="shared" si="163"/>
        <v>0.05</v>
      </c>
      <c r="S1030" s="26">
        <f t="shared" si="163"/>
        <v>0.05</v>
      </c>
      <c r="T1030" s="26">
        <f t="shared" si="163"/>
        <v>0.05</v>
      </c>
      <c r="U1030" s="26">
        <f>U1016</f>
        <v>0.05</v>
      </c>
      <c r="V1030" s="26">
        <f>V1016</f>
        <v>0.05</v>
      </c>
      <c r="W1030" s="26">
        <f>W1016</f>
        <v>0.05</v>
      </c>
    </row>
    <row r="1031" spans="3:23" outlineLevel="1"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</row>
    <row r="1032" spans="3:23" outlineLevel="1"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</row>
    <row r="1033" spans="3:23" outlineLevel="1"/>
    <row r="1034" spans="3:23" outlineLevel="1">
      <c r="C1034" s="407" t="s">
        <v>886</v>
      </c>
      <c r="G1034" s="6">
        <f>$G$32</f>
        <v>1</v>
      </c>
      <c r="H1034" s="17" t="s">
        <v>543</v>
      </c>
      <c r="K1034" s="30">
        <v>771624</v>
      </c>
      <c r="L1034" s="19"/>
      <c r="M1034" s="19"/>
      <c r="N1034" s="19"/>
      <c r="O1034" s="19"/>
      <c r="P1034" s="19"/>
    </row>
    <row r="1035" spans="3:23" outlineLevel="1"/>
    <row r="1036" spans="3:23" outlineLevel="1">
      <c r="C1036" s="407" t="s">
        <v>882</v>
      </c>
      <c r="G1036" s="6">
        <f>$G$32</f>
        <v>1</v>
      </c>
      <c r="H1036" s="17" t="s">
        <v>485</v>
      </c>
      <c r="I1036" s="17"/>
      <c r="K1036" s="36">
        <f>INDEX(K1037:K1039,$G1036,0)</f>
        <v>14300.28815172633</v>
      </c>
      <c r="L1036" s="36">
        <f t="shared" ref="L1036:T1036" si="164">INDEX(L1037:L1039,$G1036,0)</f>
        <v>14729.29679627812</v>
      </c>
      <c r="M1036" s="36">
        <f t="shared" si="164"/>
        <v>15171.175700166465</v>
      </c>
      <c r="N1036" s="36">
        <f t="shared" si="164"/>
        <v>15626.310971171459</v>
      </c>
      <c r="O1036" s="36">
        <f t="shared" si="164"/>
        <v>16095.100300306602</v>
      </c>
      <c r="P1036" s="36">
        <f t="shared" si="164"/>
        <v>16577.953309315799</v>
      </c>
      <c r="Q1036" s="36">
        <f t="shared" si="164"/>
        <v>17075.291908595274</v>
      </c>
      <c r="R1036" s="36">
        <f t="shared" si="164"/>
        <v>17587.550665853134</v>
      </c>
      <c r="S1036" s="36">
        <f t="shared" si="164"/>
        <v>18115.177185828728</v>
      </c>
      <c r="T1036" s="36">
        <f t="shared" si="164"/>
        <v>18658.63250140359</v>
      </c>
      <c r="U1036" s="36">
        <f>INDEX(U1037:U1039,$G1036,0)</f>
        <v>18658.63250140359</v>
      </c>
      <c r="V1036" s="36">
        <f>INDEX(V1037:V1039,$G1036,0)</f>
        <v>18658.63250140359</v>
      </c>
      <c r="W1036" s="36">
        <f>INDEX(W1037:W1039,$G1036,0)</f>
        <v>18658.63250140359</v>
      </c>
    </row>
    <row r="1037" spans="3:23" outlineLevel="1">
      <c r="C1037" s="407" t="s">
        <v>840</v>
      </c>
      <c r="K1037" s="26">
        <v>14300.28815172633</v>
      </c>
      <c r="L1037" s="26">
        <v>14729.29679627812</v>
      </c>
      <c r="M1037" s="26">
        <v>15171.175700166465</v>
      </c>
      <c r="N1037" s="26">
        <v>15626.310971171459</v>
      </c>
      <c r="O1037" s="26">
        <v>16095.100300306602</v>
      </c>
      <c r="P1037" s="26">
        <v>16577.953309315799</v>
      </c>
      <c r="Q1037" s="26">
        <v>17075.291908595274</v>
      </c>
      <c r="R1037" s="26">
        <v>17587.550665853134</v>
      </c>
      <c r="S1037" s="26">
        <v>18115.177185828728</v>
      </c>
      <c r="T1037" s="26">
        <v>18658.63250140359</v>
      </c>
      <c r="U1037" s="26">
        <v>18658.63250140359</v>
      </c>
      <c r="V1037" s="26">
        <v>18658.63250140359</v>
      </c>
      <c r="W1037" s="26">
        <v>18658.63250140359</v>
      </c>
    </row>
    <row r="1038" spans="3:23" outlineLevel="1"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</row>
    <row r="1039" spans="3:23" outlineLevel="1"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</row>
    <row r="1040" spans="3:23" outlineLevel="1"/>
    <row r="1041" spans="3:23" ht="15.75" outlineLevel="1">
      <c r="C1041" s="15" t="s">
        <v>575</v>
      </c>
    </row>
    <row r="1042" spans="3:23" outlineLevel="1">
      <c r="C1042" s="407" t="s">
        <v>839</v>
      </c>
      <c r="G1042" s="6">
        <f>$G$32</f>
        <v>1</v>
      </c>
      <c r="H1042" s="17" t="s">
        <v>325</v>
      </c>
      <c r="I1042" s="17"/>
      <c r="K1042" s="36">
        <f>INDEX(K1043:K1045,$G1042,0)</f>
        <v>0</v>
      </c>
      <c r="L1042" s="36">
        <f t="shared" ref="L1042:T1042" si="165">INDEX(L1043:L1045,$G1042,0)</f>
        <v>0.05</v>
      </c>
      <c r="M1042" s="36">
        <f t="shared" si="165"/>
        <v>0.05</v>
      </c>
      <c r="N1042" s="36">
        <f t="shared" si="165"/>
        <v>0.05</v>
      </c>
      <c r="O1042" s="36">
        <f t="shared" si="165"/>
        <v>0.05</v>
      </c>
      <c r="P1042" s="36">
        <f t="shared" si="165"/>
        <v>0.05</v>
      </c>
      <c r="Q1042" s="36">
        <f t="shared" si="165"/>
        <v>0.05</v>
      </c>
      <c r="R1042" s="36">
        <f t="shared" si="165"/>
        <v>0.05</v>
      </c>
      <c r="S1042" s="36">
        <f t="shared" si="165"/>
        <v>0.05</v>
      </c>
      <c r="T1042" s="36">
        <f t="shared" si="165"/>
        <v>0.05</v>
      </c>
      <c r="U1042" s="36">
        <f>INDEX(U1043:U1045,$G1042,0)</f>
        <v>0.05</v>
      </c>
      <c r="V1042" s="36">
        <f>INDEX(V1043:V1045,$G1042,0)</f>
        <v>0.05</v>
      </c>
      <c r="W1042" s="36">
        <f>INDEX(W1043:W1045,$G1042,0)</f>
        <v>0.05</v>
      </c>
    </row>
    <row r="1043" spans="3:23" outlineLevel="1">
      <c r="C1043" s="407" t="s">
        <v>840</v>
      </c>
      <c r="K1043" s="26"/>
      <c r="L1043" s="26">
        <f t="shared" ref="L1043:T1043" si="166">L1029</f>
        <v>0.05</v>
      </c>
      <c r="M1043" s="26">
        <f t="shared" si="166"/>
        <v>0.05</v>
      </c>
      <c r="N1043" s="26">
        <f t="shared" si="166"/>
        <v>0.05</v>
      </c>
      <c r="O1043" s="26">
        <f t="shared" si="166"/>
        <v>0.05</v>
      </c>
      <c r="P1043" s="26">
        <f t="shared" si="166"/>
        <v>0.05</v>
      </c>
      <c r="Q1043" s="26">
        <f t="shared" si="166"/>
        <v>0.05</v>
      </c>
      <c r="R1043" s="26">
        <f t="shared" si="166"/>
        <v>0.05</v>
      </c>
      <c r="S1043" s="26">
        <f t="shared" si="166"/>
        <v>0.05</v>
      </c>
      <c r="T1043" s="26">
        <f t="shared" si="166"/>
        <v>0.05</v>
      </c>
      <c r="U1043" s="26">
        <f>U1029</f>
        <v>0.05</v>
      </c>
      <c r="V1043" s="26">
        <f>V1029</f>
        <v>0.05</v>
      </c>
      <c r="W1043" s="26">
        <f>W1029</f>
        <v>0.05</v>
      </c>
    </row>
    <row r="1044" spans="3:23" outlineLevel="1"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</row>
    <row r="1045" spans="3:23" outlineLevel="1"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</row>
    <row r="1046" spans="3:23" outlineLevel="1"/>
    <row r="1047" spans="3:23" outlineLevel="1">
      <c r="C1047" s="407" t="s">
        <v>886</v>
      </c>
      <c r="G1047" s="6">
        <f>$G$32</f>
        <v>1</v>
      </c>
      <c r="H1047" s="17" t="s">
        <v>543</v>
      </c>
      <c r="K1047" s="30"/>
      <c r="L1047" s="19"/>
      <c r="M1047" s="19">
        <v>200000</v>
      </c>
      <c r="N1047" s="19"/>
      <c r="O1047" s="19"/>
      <c r="P1047" s="19"/>
    </row>
    <row r="1048" spans="3:23" outlineLevel="1"/>
    <row r="1049" spans="3:23" outlineLevel="1">
      <c r="C1049" s="407" t="s">
        <v>882</v>
      </c>
      <c r="G1049" s="6">
        <f>$G$32</f>
        <v>1</v>
      </c>
      <c r="H1049" s="17" t="s">
        <v>485</v>
      </c>
      <c r="I1049" s="17"/>
      <c r="K1049" s="36">
        <f>INDEX(K1050:K1052,$G1049,0)</f>
        <v>0</v>
      </c>
      <c r="L1049" s="36">
        <f t="shared" ref="L1049:T1049" si="167">INDEX(L1050:L1052,$G1049,0)</f>
        <v>0</v>
      </c>
      <c r="M1049" s="36">
        <f t="shared" si="167"/>
        <v>16189.178284696094</v>
      </c>
      <c r="N1049" s="36">
        <f t="shared" si="167"/>
        <v>16674.853633236977</v>
      </c>
      <c r="O1049" s="36">
        <f t="shared" si="167"/>
        <v>17175.099242234086</v>
      </c>
      <c r="P1049" s="36">
        <f t="shared" si="167"/>
        <v>17690.35221950111</v>
      </c>
      <c r="Q1049" s="36">
        <f t="shared" si="167"/>
        <v>18221.062786086142</v>
      </c>
      <c r="R1049" s="36">
        <f t="shared" si="167"/>
        <v>18767.694669668726</v>
      </c>
      <c r="S1049" s="36">
        <f t="shared" si="167"/>
        <v>19330.725509758788</v>
      </c>
      <c r="T1049" s="36">
        <f t="shared" si="167"/>
        <v>19910.64727505155</v>
      </c>
      <c r="U1049" s="36">
        <f>INDEX(U1050:U1052,$G1049,0)</f>
        <v>19910.64727505155</v>
      </c>
      <c r="V1049" s="36">
        <f>INDEX(V1050:V1052,$G1049,0)</f>
        <v>19910.64727505155</v>
      </c>
      <c r="W1049" s="36">
        <f>INDEX(W1050:W1052,$G1049,0)</f>
        <v>19910.64727505155</v>
      </c>
    </row>
    <row r="1050" spans="3:23" outlineLevel="1">
      <c r="C1050" s="407" t="s">
        <v>840</v>
      </c>
      <c r="K1050" s="26"/>
      <c r="L1050" s="26"/>
      <c r="M1050" s="26">
        <v>16189.178284696094</v>
      </c>
      <c r="N1050" s="26">
        <v>16674.853633236977</v>
      </c>
      <c r="O1050" s="26">
        <v>17175.099242234086</v>
      </c>
      <c r="P1050" s="26">
        <v>17690.35221950111</v>
      </c>
      <c r="Q1050" s="26">
        <v>18221.062786086142</v>
      </c>
      <c r="R1050" s="26">
        <v>18767.694669668726</v>
      </c>
      <c r="S1050" s="26">
        <v>19330.725509758788</v>
      </c>
      <c r="T1050" s="26">
        <v>19910.64727505155</v>
      </c>
      <c r="U1050" s="26">
        <v>19910.64727505155</v>
      </c>
      <c r="V1050" s="26">
        <v>19910.64727505155</v>
      </c>
      <c r="W1050" s="26">
        <v>19910.64727505155</v>
      </c>
    </row>
    <row r="1051" spans="3:23" outlineLevel="1"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</row>
    <row r="1052" spans="3:23" outlineLevel="1"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</row>
    <row r="1053" spans="3:23" outlineLevel="1"/>
    <row r="1054" spans="3:23" ht="15.75" outlineLevel="1">
      <c r="C1054" s="15" t="s">
        <v>599</v>
      </c>
    </row>
    <row r="1055" spans="3:23" outlineLevel="1">
      <c r="C1055" s="407" t="s">
        <v>839</v>
      </c>
      <c r="G1055" s="6">
        <f>$G$32</f>
        <v>1</v>
      </c>
      <c r="H1055" s="17" t="s">
        <v>325</v>
      </c>
      <c r="I1055" s="17"/>
      <c r="K1055" s="36">
        <f>INDEX(K1056:K1058,$G1055,0)</f>
        <v>0</v>
      </c>
      <c r="L1055" s="36">
        <f t="shared" ref="L1055:T1055" si="168">INDEX(L1056:L1058,$G1055,0)</f>
        <v>0.05</v>
      </c>
      <c r="M1055" s="36">
        <f t="shared" si="168"/>
        <v>0.05</v>
      </c>
      <c r="N1055" s="36">
        <f t="shared" si="168"/>
        <v>0.05</v>
      </c>
      <c r="O1055" s="36">
        <f t="shared" si="168"/>
        <v>0.05</v>
      </c>
      <c r="P1055" s="36">
        <f t="shared" si="168"/>
        <v>0.05</v>
      </c>
      <c r="Q1055" s="36">
        <f t="shared" si="168"/>
        <v>0.05</v>
      </c>
      <c r="R1055" s="36">
        <f t="shared" si="168"/>
        <v>0.05</v>
      </c>
      <c r="S1055" s="36">
        <f t="shared" si="168"/>
        <v>0.05</v>
      </c>
      <c r="T1055" s="36">
        <f t="shared" si="168"/>
        <v>0.05</v>
      </c>
      <c r="U1055" s="36">
        <f>INDEX(U1056:U1058,$G1055,0)</f>
        <v>0.05</v>
      </c>
      <c r="V1055" s="36">
        <f>INDEX(V1056:V1058,$G1055,0)</f>
        <v>0.05</v>
      </c>
      <c r="W1055" s="36">
        <f>INDEX(W1056:W1058,$G1055,0)</f>
        <v>0.05</v>
      </c>
    </row>
    <row r="1056" spans="3:23" outlineLevel="1">
      <c r="C1056" s="407" t="s">
        <v>840</v>
      </c>
      <c r="K1056" s="26"/>
      <c r="L1056" s="26">
        <f t="shared" ref="L1056:T1056" si="169">L1042</f>
        <v>0.05</v>
      </c>
      <c r="M1056" s="26">
        <f t="shared" si="169"/>
        <v>0.05</v>
      </c>
      <c r="N1056" s="26">
        <f t="shared" si="169"/>
        <v>0.05</v>
      </c>
      <c r="O1056" s="26">
        <f t="shared" si="169"/>
        <v>0.05</v>
      </c>
      <c r="P1056" s="26">
        <f t="shared" si="169"/>
        <v>0.05</v>
      </c>
      <c r="Q1056" s="26">
        <f t="shared" si="169"/>
        <v>0.05</v>
      </c>
      <c r="R1056" s="26">
        <f t="shared" si="169"/>
        <v>0.05</v>
      </c>
      <c r="S1056" s="26">
        <f t="shared" si="169"/>
        <v>0.05</v>
      </c>
      <c r="T1056" s="26">
        <f t="shared" si="169"/>
        <v>0.05</v>
      </c>
      <c r="U1056" s="26">
        <f>U1042</f>
        <v>0.05</v>
      </c>
      <c r="V1056" s="26">
        <f>V1042</f>
        <v>0.05</v>
      </c>
      <c r="W1056" s="26">
        <f>W1042</f>
        <v>0.05</v>
      </c>
    </row>
    <row r="1057" spans="3:23" outlineLevel="1"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</row>
    <row r="1058" spans="3:23" outlineLevel="1"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</row>
    <row r="1059" spans="3:23" outlineLevel="1"/>
    <row r="1060" spans="3:23" outlineLevel="1">
      <c r="C1060" s="407" t="s">
        <v>886</v>
      </c>
      <c r="G1060" s="6">
        <f>$G$32</f>
        <v>1</v>
      </c>
      <c r="H1060" s="17" t="s">
        <v>543</v>
      </c>
      <c r="K1060" s="30">
        <v>490000</v>
      </c>
      <c r="L1060" s="19"/>
      <c r="M1060" s="19"/>
      <c r="N1060" s="19"/>
      <c r="O1060" s="19"/>
      <c r="P1060" s="19"/>
    </row>
    <row r="1061" spans="3:23" outlineLevel="1"/>
    <row r="1062" spans="3:23" outlineLevel="1">
      <c r="C1062" s="407" t="s">
        <v>882</v>
      </c>
      <c r="G1062" s="6">
        <f>$G$32</f>
        <v>1</v>
      </c>
      <c r="H1062" s="17" t="s">
        <v>485</v>
      </c>
      <c r="I1062" s="17"/>
      <c r="K1062" s="36">
        <f>INDEX(K1063:K1065,$G1062,0)</f>
        <v>15259.853223391548</v>
      </c>
      <c r="L1062" s="36">
        <f t="shared" ref="L1062:T1062" si="170">INDEX(L1063:L1065,$G1062,0)</f>
        <v>15717.648820093294</v>
      </c>
      <c r="M1062" s="36">
        <f t="shared" si="170"/>
        <v>16189.178284696094</v>
      </c>
      <c r="N1062" s="36">
        <f t="shared" si="170"/>
        <v>16674.853633236977</v>
      </c>
      <c r="O1062" s="36">
        <f t="shared" si="170"/>
        <v>17175.099242234086</v>
      </c>
      <c r="P1062" s="36">
        <f t="shared" si="170"/>
        <v>17690.35221950111</v>
      </c>
      <c r="Q1062" s="36">
        <f t="shared" si="170"/>
        <v>18221.062786086142</v>
      </c>
      <c r="R1062" s="36">
        <f t="shared" si="170"/>
        <v>18767.694669668726</v>
      </c>
      <c r="S1062" s="36">
        <f t="shared" si="170"/>
        <v>19330.725509758788</v>
      </c>
      <c r="T1062" s="36">
        <f t="shared" si="170"/>
        <v>19910.64727505155</v>
      </c>
      <c r="U1062" s="36">
        <f>INDEX(U1063:U1065,$G1062,0)</f>
        <v>19910.64727505155</v>
      </c>
      <c r="V1062" s="36">
        <f>INDEX(V1063:V1065,$G1062,0)</f>
        <v>19910.64727505155</v>
      </c>
      <c r="W1062" s="36">
        <f>INDEX(W1063:W1065,$G1062,0)</f>
        <v>19910.64727505155</v>
      </c>
    </row>
    <row r="1063" spans="3:23" outlineLevel="1">
      <c r="C1063" s="407" t="s">
        <v>840</v>
      </c>
      <c r="K1063" s="26">
        <v>15259.853223391548</v>
      </c>
      <c r="L1063" s="26">
        <v>15717.648820093294</v>
      </c>
      <c r="M1063" s="26">
        <v>16189.178284696094</v>
      </c>
      <c r="N1063" s="26">
        <v>16674.853633236977</v>
      </c>
      <c r="O1063" s="26">
        <v>17175.099242234086</v>
      </c>
      <c r="P1063" s="26">
        <v>17690.35221950111</v>
      </c>
      <c r="Q1063" s="26">
        <v>18221.062786086142</v>
      </c>
      <c r="R1063" s="26">
        <v>18767.694669668726</v>
      </c>
      <c r="S1063" s="26">
        <v>19330.725509758788</v>
      </c>
      <c r="T1063" s="26">
        <v>19910.64727505155</v>
      </c>
      <c r="U1063" s="26">
        <v>19910.64727505155</v>
      </c>
      <c r="V1063" s="26">
        <v>19910.64727505155</v>
      </c>
      <c r="W1063" s="26">
        <v>19910.64727505155</v>
      </c>
    </row>
    <row r="1064" spans="3:23" outlineLevel="1"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</row>
    <row r="1065" spans="3:23" outlineLevel="1"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</row>
    <row r="1066" spans="3:23" outlineLevel="1"/>
    <row r="1067" spans="3:23" outlineLevel="1"/>
    <row r="1068" spans="3:23" ht="23.25" outlineLevel="1">
      <c r="C1068" s="60" t="s">
        <v>473</v>
      </c>
    </row>
    <row r="1069" spans="3:23" outlineLevel="1">
      <c r="C1069" t="s">
        <v>895</v>
      </c>
    </row>
    <row r="1070" spans="3:23" outlineLevel="1">
      <c r="C1070" t="s">
        <v>896</v>
      </c>
      <c r="G1070" s="16">
        <v>1</v>
      </c>
      <c r="H1070" s="17" t="s">
        <v>897</v>
      </c>
      <c r="J1070" s="20">
        <f>INDEX(K1070:P1070,,$G1070)</f>
        <v>8.4549649870000003</v>
      </c>
      <c r="K1070" s="30">
        <v>8.4549649870000003</v>
      </c>
      <c r="L1070" s="19"/>
      <c r="M1070" s="19"/>
      <c r="N1070" s="19"/>
      <c r="O1070" s="19"/>
      <c r="P1070" s="19"/>
      <c r="Q1070" s="19"/>
      <c r="R1070" s="19"/>
      <c r="S1070" s="19"/>
      <c r="T1070" s="19"/>
      <c r="U1070" s="19"/>
      <c r="V1070" s="19"/>
      <c r="W1070" s="19"/>
    </row>
    <row r="1071" spans="3:23" outlineLevel="1">
      <c r="C1071" s="2"/>
      <c r="H1071" s="17"/>
    </row>
    <row r="1072" spans="3:23" outlineLevel="1">
      <c r="C1072" s="430" t="s">
        <v>492</v>
      </c>
      <c r="H1072" s="17" t="s">
        <v>315</v>
      </c>
      <c r="J1072" s="30">
        <v>1.6419999970000002E-2</v>
      </c>
      <c r="K1072" s="30"/>
      <c r="L1072" s="39"/>
      <c r="M1072" s="39"/>
      <c r="N1072" s="39"/>
      <c r="O1072" s="39"/>
      <c r="P1072" s="39"/>
      <c r="Q1072" s="39"/>
      <c r="R1072" s="39"/>
      <c r="S1072" s="39"/>
      <c r="T1072" s="39"/>
      <c r="U1072" s="39"/>
      <c r="V1072" s="39"/>
      <c r="W1072" s="39"/>
    </row>
    <row r="1073" spans="3:23" outlineLevel="1">
      <c r="C1073" s="430" t="s">
        <v>585</v>
      </c>
      <c r="H1073" s="17" t="s">
        <v>315</v>
      </c>
      <c r="J1073" s="30">
        <v>8.0000000000000004E-4</v>
      </c>
      <c r="K1073" s="30"/>
      <c r="L1073" s="39"/>
      <c r="M1073" s="39"/>
      <c r="N1073" s="39"/>
      <c r="O1073" s="39"/>
      <c r="P1073" s="39"/>
      <c r="Q1073" s="39"/>
      <c r="R1073" s="39"/>
      <c r="S1073" s="39"/>
      <c r="T1073" s="39"/>
      <c r="U1073" s="39"/>
      <c r="V1073" s="39"/>
      <c r="W1073" s="39"/>
    </row>
    <row r="1074" spans="3:23" outlineLevel="1">
      <c r="C1074" s="430" t="s">
        <v>586</v>
      </c>
      <c r="H1074" s="17" t="s">
        <v>315</v>
      </c>
      <c r="J1074" s="69"/>
      <c r="K1074" s="30"/>
      <c r="L1074" s="39"/>
      <c r="M1074" s="39"/>
      <c r="N1074" s="39"/>
      <c r="O1074" s="39"/>
      <c r="P1074" s="39"/>
      <c r="Q1074" s="39"/>
      <c r="R1074" s="39"/>
      <c r="S1074" s="39"/>
      <c r="T1074" s="39"/>
      <c r="U1074" s="39"/>
      <c r="V1074" s="39"/>
      <c r="W1074" s="39"/>
    </row>
    <row r="1075" spans="3:23" outlineLevel="1"/>
    <row r="1076" spans="3:23" outlineLevel="1"/>
    <row r="1077" spans="3:23" outlineLevel="1">
      <c r="C1077" s="407" t="s">
        <v>887</v>
      </c>
      <c r="G1077" s="6">
        <f>$G$32</f>
        <v>1</v>
      </c>
      <c r="H1077" s="17" t="s">
        <v>325</v>
      </c>
      <c r="I1077" s="17"/>
      <c r="K1077" s="36">
        <f>INDEX(K1078:K1080,$G1077,0)</f>
        <v>3.5000000000000003E-2</v>
      </c>
      <c r="L1077" s="36">
        <f t="shared" ref="L1077:T1077" si="171">INDEX(L1078:L1080,$G1077,0)</f>
        <v>3.5000000000000003E-2</v>
      </c>
      <c r="M1077" s="36">
        <f t="shared" si="171"/>
        <v>3.5000000000000003E-2</v>
      </c>
      <c r="N1077" s="36">
        <f t="shared" si="171"/>
        <v>3.5000000000000003E-2</v>
      </c>
      <c r="O1077" s="36">
        <f t="shared" si="171"/>
        <v>3.5000000000000003E-2</v>
      </c>
      <c r="P1077" s="36">
        <f t="shared" si="171"/>
        <v>3.5000000000000003E-2</v>
      </c>
      <c r="Q1077" s="36">
        <f t="shared" si="171"/>
        <v>3.5000000000000003E-2</v>
      </c>
      <c r="R1077" s="36">
        <f t="shared" si="171"/>
        <v>3.5000000000000003E-2</v>
      </c>
      <c r="S1077" s="36">
        <f t="shared" si="171"/>
        <v>3.5000000000000003E-2</v>
      </c>
      <c r="T1077" s="36">
        <f t="shared" si="171"/>
        <v>3.5000000000000003E-2</v>
      </c>
      <c r="U1077" s="36">
        <f>INDEX(U1078:U1080,$G1077,0)</f>
        <v>3.5000000000000003E-2</v>
      </c>
      <c r="V1077" s="36">
        <f>INDEX(V1078:V1080,$G1077,0)</f>
        <v>3.5000000000000003E-2</v>
      </c>
      <c r="W1077" s="36">
        <f>INDEX(W1078:W1080,$G1077,0)</f>
        <v>3.5000000000000003E-2</v>
      </c>
    </row>
    <row r="1078" spans="3:23" outlineLevel="1">
      <c r="C1078" s="407" t="s">
        <v>840</v>
      </c>
      <c r="K1078" s="26">
        <v>3.5000000000000003E-2</v>
      </c>
      <c r="L1078" s="26">
        <v>3.5000000000000003E-2</v>
      </c>
      <c r="M1078" s="26">
        <v>3.5000000000000003E-2</v>
      </c>
      <c r="N1078" s="26">
        <v>3.5000000000000003E-2</v>
      </c>
      <c r="O1078" s="26">
        <v>3.5000000000000003E-2</v>
      </c>
      <c r="P1078" s="26">
        <v>3.5000000000000003E-2</v>
      </c>
      <c r="Q1078" s="26">
        <v>3.5000000000000003E-2</v>
      </c>
      <c r="R1078" s="26">
        <v>3.5000000000000003E-2</v>
      </c>
      <c r="S1078" s="26">
        <v>3.5000000000000003E-2</v>
      </c>
      <c r="T1078" s="26">
        <v>3.5000000000000003E-2</v>
      </c>
      <c r="U1078" s="26">
        <v>3.5000000000000003E-2</v>
      </c>
      <c r="V1078" s="26">
        <v>3.5000000000000003E-2</v>
      </c>
      <c r="W1078" s="26">
        <v>3.5000000000000003E-2</v>
      </c>
    </row>
    <row r="1079" spans="3:23" outlineLevel="1"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</row>
    <row r="1080" spans="3:23" outlineLevel="1"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</row>
    <row r="1081" spans="3:23" outlineLevel="1"/>
    <row r="1082" spans="3:23" outlineLevel="1">
      <c r="C1082" s="407" t="s">
        <v>870</v>
      </c>
      <c r="G1082" s="6">
        <f>$G$32</f>
        <v>1</v>
      </c>
      <c r="H1082" s="17" t="s">
        <v>315</v>
      </c>
      <c r="J1082" s="20">
        <f>INDEX(K1082:P1082,,$G1082)</f>
        <v>0.25664334700000002</v>
      </c>
      <c r="K1082" s="19">
        <v>0.25664334700000002</v>
      </c>
      <c r="L1082" s="19"/>
      <c r="M1082" s="19"/>
      <c r="N1082" s="19"/>
      <c r="O1082" s="19"/>
      <c r="P1082" s="19"/>
    </row>
    <row r="1083" spans="3:23" outlineLevel="1"/>
    <row r="1084" spans="3:23" outlineLevel="1"/>
    <row r="1085" spans="3:23" ht="23.25" outlineLevel="1">
      <c r="C1085" s="59" t="s">
        <v>535</v>
      </c>
    </row>
    <row r="1086" spans="3:23" outlineLevel="1">
      <c r="C1086" s="407" t="s">
        <v>854</v>
      </c>
      <c r="G1086" s="6">
        <f>$G$32</f>
        <v>1</v>
      </c>
      <c r="H1086" s="17" t="s">
        <v>325</v>
      </c>
      <c r="I1086" s="17"/>
      <c r="K1086" s="36">
        <f>INDEX(K1087:K1089,$G1086,0)</f>
        <v>0.01</v>
      </c>
      <c r="L1086" s="36">
        <f t="shared" ref="L1086:T1086" si="172">INDEX(L1087:L1089,$G1086,0)</f>
        <v>0.01</v>
      </c>
      <c r="M1086" s="36">
        <f t="shared" si="172"/>
        <v>0.01</v>
      </c>
      <c r="N1086" s="36">
        <f t="shared" si="172"/>
        <v>0.01</v>
      </c>
      <c r="O1086" s="36">
        <f t="shared" si="172"/>
        <v>0.01</v>
      </c>
      <c r="P1086" s="36">
        <f t="shared" si="172"/>
        <v>0.01</v>
      </c>
      <c r="Q1086" s="36">
        <f t="shared" si="172"/>
        <v>0.01</v>
      </c>
      <c r="R1086" s="36">
        <f t="shared" si="172"/>
        <v>0.01</v>
      </c>
      <c r="S1086" s="36">
        <f t="shared" si="172"/>
        <v>0.01</v>
      </c>
      <c r="T1086" s="36">
        <f t="shared" si="172"/>
        <v>0.01</v>
      </c>
      <c r="U1086" s="36">
        <f>INDEX(U1087:U1089,$G1086,0)</f>
        <v>0.01</v>
      </c>
      <c r="V1086" s="36">
        <f>INDEX(V1087:V1089,$G1086,0)</f>
        <v>0.01</v>
      </c>
      <c r="W1086" s="36">
        <f>INDEX(W1087:W1089,$G1086,0)</f>
        <v>0.01</v>
      </c>
    </row>
    <row r="1087" spans="3:23" outlineLevel="1">
      <c r="C1087" s="407" t="s">
        <v>840</v>
      </c>
      <c r="K1087" s="26">
        <v>0.01</v>
      </c>
      <c r="L1087" s="26">
        <v>0.01</v>
      </c>
      <c r="M1087" s="26">
        <v>0.01</v>
      </c>
      <c r="N1087" s="26">
        <v>0.01</v>
      </c>
      <c r="O1087" s="26">
        <v>0.01</v>
      </c>
      <c r="P1087" s="26">
        <v>0.01</v>
      </c>
      <c r="Q1087" s="26">
        <v>0.01</v>
      </c>
      <c r="R1087" s="26">
        <v>0.01</v>
      </c>
      <c r="S1087" s="26">
        <v>0.01</v>
      </c>
      <c r="T1087" s="26">
        <v>0.01</v>
      </c>
      <c r="U1087" s="26">
        <v>0.01</v>
      </c>
      <c r="V1087" s="26">
        <v>0.01</v>
      </c>
      <c r="W1087" s="26">
        <v>0.01</v>
      </c>
    </row>
    <row r="1088" spans="3:23" outlineLevel="1"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</row>
    <row r="1089" spans="3:23" outlineLevel="1"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</row>
    <row r="1090" spans="3:23" outlineLevel="1"/>
    <row r="1091" spans="3:23" outlineLevel="1">
      <c r="C1091" s="407" t="s">
        <v>870</v>
      </c>
      <c r="G1091" s="6">
        <f>$G$32</f>
        <v>1</v>
      </c>
      <c r="J1091" s="20">
        <f>INDEX(K1091:P1091,,$G1091)</f>
        <v>2.5705493999999999E-2</v>
      </c>
      <c r="K1091" s="19">
        <v>2.5705493999999999E-2</v>
      </c>
      <c r="L1091" s="19"/>
      <c r="M1091" s="19"/>
      <c r="N1091" s="19"/>
      <c r="O1091" s="19"/>
      <c r="P1091" s="19"/>
    </row>
    <row r="1092" spans="3:23" outlineLevel="1"/>
    <row r="1093" spans="3:23" outlineLevel="1">
      <c r="C1093" s="407" t="s">
        <v>857</v>
      </c>
      <c r="G1093" s="6">
        <f>$G$32</f>
        <v>1</v>
      </c>
      <c r="H1093" s="17" t="s">
        <v>325</v>
      </c>
      <c r="I1093" s="17"/>
      <c r="K1093" s="36">
        <f>INDEX(K1094:K1096,$G1093,0)</f>
        <v>0.01</v>
      </c>
      <c r="L1093" s="36">
        <f t="shared" ref="L1093:T1093" si="173">INDEX(L1094:L1096,$G1093,0)</f>
        <v>0.01</v>
      </c>
      <c r="M1093" s="36">
        <f t="shared" si="173"/>
        <v>0.01</v>
      </c>
      <c r="N1093" s="36">
        <f t="shared" si="173"/>
        <v>0.01</v>
      </c>
      <c r="O1093" s="36">
        <f t="shared" si="173"/>
        <v>0.01</v>
      </c>
      <c r="P1093" s="36">
        <f t="shared" si="173"/>
        <v>0.01</v>
      </c>
      <c r="Q1093" s="36">
        <f t="shared" si="173"/>
        <v>0.01</v>
      </c>
      <c r="R1093" s="36">
        <f t="shared" si="173"/>
        <v>0.01</v>
      </c>
      <c r="S1093" s="36">
        <f t="shared" si="173"/>
        <v>0.01</v>
      </c>
      <c r="T1093" s="36">
        <f t="shared" si="173"/>
        <v>0.01</v>
      </c>
      <c r="U1093" s="36">
        <f>INDEX(U1094:U1096,$G1093,0)</f>
        <v>0.01</v>
      </c>
      <c r="V1093" s="36">
        <f>INDEX(V1094:V1096,$G1093,0)</f>
        <v>0.01</v>
      </c>
      <c r="W1093" s="36">
        <f>INDEX(W1094:W1096,$G1093,0)</f>
        <v>0.01</v>
      </c>
    </row>
    <row r="1094" spans="3:23" outlineLevel="1">
      <c r="C1094" s="407" t="s">
        <v>840</v>
      </c>
      <c r="K1094" s="26">
        <v>0.01</v>
      </c>
      <c r="L1094" s="26">
        <v>0.01</v>
      </c>
      <c r="M1094" s="26">
        <v>0.01</v>
      </c>
      <c r="N1094" s="26">
        <v>0.01</v>
      </c>
      <c r="O1094" s="26">
        <v>0.01</v>
      </c>
      <c r="P1094" s="26">
        <v>0.01</v>
      </c>
      <c r="Q1094" s="26">
        <v>0.01</v>
      </c>
      <c r="R1094" s="26">
        <v>0.01</v>
      </c>
      <c r="S1094" s="26">
        <v>0.01</v>
      </c>
      <c r="T1094" s="26">
        <v>0.01</v>
      </c>
      <c r="U1094" s="26">
        <v>0.01</v>
      </c>
      <c r="V1094" s="26">
        <v>0.01</v>
      </c>
      <c r="W1094" s="26">
        <v>0.01</v>
      </c>
    </row>
    <row r="1095" spans="3:23" outlineLevel="1"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</row>
    <row r="1096" spans="3:23" outlineLevel="1"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</row>
    <row r="1097" spans="3:23" outlineLevel="1"/>
    <row r="1098" spans="3:23" outlineLevel="1">
      <c r="C1098" s="407" t="s">
        <v>870</v>
      </c>
      <c r="G1098" s="6">
        <f>$G$32</f>
        <v>1</v>
      </c>
      <c r="J1098" s="20">
        <f>INDEX(K1098:P1098,,$G1098)</f>
        <v>0.20696752500000001</v>
      </c>
      <c r="K1098" s="19">
        <v>0.20696752500000001</v>
      </c>
      <c r="L1098" s="19"/>
      <c r="M1098" s="19"/>
      <c r="N1098" s="19"/>
      <c r="O1098" s="19"/>
      <c r="P1098" s="19"/>
    </row>
    <row r="1099" spans="3:23" outlineLevel="1"/>
    <row r="1100" spans="3:23" outlineLevel="1">
      <c r="C1100" s="407" t="s">
        <v>894</v>
      </c>
      <c r="G1100" s="6">
        <f>$G$32</f>
        <v>1</v>
      </c>
      <c r="H1100" s="17" t="s">
        <v>325</v>
      </c>
      <c r="I1100" s="17"/>
      <c r="K1100" s="36">
        <f>INDEX(K1101:K1103,$G1100,0)</f>
        <v>0.01</v>
      </c>
      <c r="L1100" s="36">
        <f t="shared" ref="L1100:T1100" si="174">INDEX(L1101:L1103,$G1100,0)</f>
        <v>0.01</v>
      </c>
      <c r="M1100" s="36">
        <f t="shared" si="174"/>
        <v>0.01</v>
      </c>
      <c r="N1100" s="36">
        <f t="shared" si="174"/>
        <v>0.01</v>
      </c>
      <c r="O1100" s="36">
        <f t="shared" si="174"/>
        <v>0.01</v>
      </c>
      <c r="P1100" s="36">
        <f t="shared" si="174"/>
        <v>0.01</v>
      </c>
      <c r="Q1100" s="36">
        <f t="shared" si="174"/>
        <v>0.01</v>
      </c>
      <c r="R1100" s="36">
        <f t="shared" si="174"/>
        <v>0.01</v>
      </c>
      <c r="S1100" s="36">
        <f t="shared" si="174"/>
        <v>0.01</v>
      </c>
      <c r="T1100" s="36">
        <f t="shared" si="174"/>
        <v>0.01</v>
      </c>
      <c r="U1100" s="36">
        <f>INDEX(U1101:U1103,$G1100,0)</f>
        <v>0.01</v>
      </c>
      <c r="V1100" s="36">
        <f>INDEX(V1101:V1103,$G1100,0)</f>
        <v>0.01</v>
      </c>
      <c r="W1100" s="36">
        <f>INDEX(W1101:W1103,$G1100,0)</f>
        <v>0.01</v>
      </c>
    </row>
    <row r="1101" spans="3:23" outlineLevel="1">
      <c r="C1101" s="407" t="s">
        <v>840</v>
      </c>
      <c r="K1101" s="26">
        <v>0.01</v>
      </c>
      <c r="L1101" s="26">
        <v>0.01</v>
      </c>
      <c r="M1101" s="26">
        <v>0.01</v>
      </c>
      <c r="N1101" s="26">
        <v>0.01</v>
      </c>
      <c r="O1101" s="26">
        <v>0.01</v>
      </c>
      <c r="P1101" s="26">
        <v>0.01</v>
      </c>
      <c r="Q1101" s="26">
        <v>0.01</v>
      </c>
      <c r="R1101" s="26">
        <v>0.01</v>
      </c>
      <c r="S1101" s="26">
        <v>0.01</v>
      </c>
      <c r="T1101" s="26">
        <v>0.01</v>
      </c>
      <c r="U1101" s="26">
        <v>0.01</v>
      </c>
      <c r="V1101" s="26">
        <v>0.01</v>
      </c>
      <c r="W1101" s="26">
        <v>0.01</v>
      </c>
    </row>
    <row r="1102" spans="3:23" outlineLevel="1"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</row>
    <row r="1103" spans="3:23" outlineLevel="1"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</row>
    <row r="1104" spans="3:23" outlineLevel="1"/>
    <row r="1105" spans="3:23" outlineLevel="1">
      <c r="C1105" s="407" t="s">
        <v>870</v>
      </c>
      <c r="G1105" s="6">
        <f>$G$32</f>
        <v>1</v>
      </c>
      <c r="J1105" s="20">
        <f>INDEX(K1105:P1105,,$G1105)</f>
        <v>3.3630008000000003E-2</v>
      </c>
      <c r="K1105" s="19">
        <v>3.3630008000000003E-2</v>
      </c>
      <c r="L1105" s="19"/>
      <c r="M1105" s="19"/>
      <c r="N1105" s="19"/>
      <c r="O1105" s="19"/>
      <c r="P1105" s="19"/>
    </row>
    <row r="1106" spans="3:23" outlineLevel="1"/>
    <row r="1107" spans="3:23" outlineLevel="1">
      <c r="C1107" s="407" t="s">
        <v>859</v>
      </c>
      <c r="G1107" s="6">
        <f>$G$32</f>
        <v>1</v>
      </c>
      <c r="H1107" s="17" t="s">
        <v>325</v>
      </c>
      <c r="I1107" s="17"/>
      <c r="K1107" s="36">
        <f>INDEX(K1108:K1110,$G1107,0)</f>
        <v>0.01</v>
      </c>
      <c r="L1107" s="36">
        <f t="shared" ref="L1107:T1107" si="175">INDEX(L1108:L1110,$G1107,0)</f>
        <v>0.01</v>
      </c>
      <c r="M1107" s="36">
        <f t="shared" si="175"/>
        <v>0.01</v>
      </c>
      <c r="N1107" s="36">
        <f t="shared" si="175"/>
        <v>0.01</v>
      </c>
      <c r="O1107" s="36">
        <f t="shared" si="175"/>
        <v>0.01</v>
      </c>
      <c r="P1107" s="36">
        <f t="shared" si="175"/>
        <v>0.01</v>
      </c>
      <c r="Q1107" s="36">
        <f t="shared" si="175"/>
        <v>0.01</v>
      </c>
      <c r="R1107" s="36">
        <f t="shared" si="175"/>
        <v>0.01</v>
      </c>
      <c r="S1107" s="36">
        <f t="shared" si="175"/>
        <v>0.01</v>
      </c>
      <c r="T1107" s="36">
        <f t="shared" si="175"/>
        <v>0.01</v>
      </c>
      <c r="U1107" s="36">
        <f>INDEX(U1108:U1110,$G1107,0)</f>
        <v>0.01</v>
      </c>
      <c r="V1107" s="36">
        <f>INDEX(V1108:V1110,$G1107,0)</f>
        <v>0.01</v>
      </c>
      <c r="W1107" s="36">
        <f>INDEX(W1108:W1110,$G1107,0)</f>
        <v>0.01</v>
      </c>
    </row>
    <row r="1108" spans="3:23" outlineLevel="1">
      <c r="C1108" s="407" t="s">
        <v>840</v>
      </c>
      <c r="K1108" s="26">
        <v>0.01</v>
      </c>
      <c r="L1108" s="26">
        <v>0.01</v>
      </c>
      <c r="M1108" s="26">
        <v>0.01</v>
      </c>
      <c r="N1108" s="26">
        <v>0.01</v>
      </c>
      <c r="O1108" s="26">
        <v>0.01</v>
      </c>
      <c r="P1108" s="26">
        <v>0.01</v>
      </c>
      <c r="Q1108" s="26">
        <v>0.01</v>
      </c>
      <c r="R1108" s="26">
        <v>0.01</v>
      </c>
      <c r="S1108" s="26">
        <v>0.01</v>
      </c>
      <c r="T1108" s="26">
        <v>0.01</v>
      </c>
      <c r="U1108" s="26">
        <v>0.01</v>
      </c>
      <c r="V1108" s="26">
        <v>0.01</v>
      </c>
      <c r="W1108" s="26">
        <v>0.01</v>
      </c>
    </row>
    <row r="1109" spans="3:23" outlineLevel="1"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</row>
    <row r="1110" spans="3:23" outlineLevel="1"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</row>
    <row r="1111" spans="3:23" outlineLevel="1"/>
    <row r="1112" spans="3:23" outlineLevel="1">
      <c r="C1112" s="407" t="s">
        <v>870</v>
      </c>
      <c r="G1112" s="6">
        <f>$G$32</f>
        <v>1</v>
      </c>
      <c r="J1112" s="20">
        <f>INDEX(K1112:P1112,,$G1112)</f>
        <v>9.6439427129999991E-2</v>
      </c>
      <c r="K1112" s="19">
        <v>9.6439427129999991E-2</v>
      </c>
      <c r="L1112" s="19"/>
      <c r="M1112" s="19"/>
      <c r="N1112" s="19"/>
      <c r="O1112" s="19"/>
      <c r="P1112" s="19"/>
    </row>
    <row r="1113" spans="3:23" outlineLevel="1"/>
    <row r="1114" spans="3:23" outlineLevel="1">
      <c r="C1114" s="407" t="s">
        <v>858</v>
      </c>
      <c r="G1114" s="6">
        <f>$G$32</f>
        <v>1</v>
      </c>
      <c r="H1114" s="17" t="s">
        <v>325</v>
      </c>
      <c r="I1114" s="17"/>
      <c r="K1114" s="36">
        <f>INDEX(K1115:K1117,$G1114,0)</f>
        <v>0.01</v>
      </c>
      <c r="L1114" s="36">
        <f t="shared" ref="L1114:T1114" si="176">INDEX(L1115:L1117,$G1114,0)</f>
        <v>0.01</v>
      </c>
      <c r="M1114" s="36">
        <f t="shared" si="176"/>
        <v>0.01</v>
      </c>
      <c r="N1114" s="36">
        <f t="shared" si="176"/>
        <v>0.01</v>
      </c>
      <c r="O1114" s="36">
        <f t="shared" si="176"/>
        <v>0.01</v>
      </c>
      <c r="P1114" s="36">
        <f t="shared" si="176"/>
        <v>0.01</v>
      </c>
      <c r="Q1114" s="36">
        <f t="shared" si="176"/>
        <v>0.01</v>
      </c>
      <c r="R1114" s="36">
        <f t="shared" si="176"/>
        <v>0.01</v>
      </c>
      <c r="S1114" s="36">
        <f t="shared" si="176"/>
        <v>0.01</v>
      </c>
      <c r="T1114" s="36">
        <f t="shared" si="176"/>
        <v>0.01</v>
      </c>
      <c r="U1114" s="36">
        <f>INDEX(U1115:U1117,$G1114,0)</f>
        <v>0.01</v>
      </c>
      <c r="V1114" s="36">
        <f>INDEX(V1115:V1117,$G1114,0)</f>
        <v>0.01</v>
      </c>
      <c r="W1114" s="36">
        <f>INDEX(W1115:W1117,$G1114,0)</f>
        <v>0.01</v>
      </c>
    </row>
    <row r="1115" spans="3:23" outlineLevel="1">
      <c r="C1115" s="407" t="s">
        <v>840</v>
      </c>
      <c r="K1115" s="26">
        <v>0.01</v>
      </c>
      <c r="L1115" s="26">
        <v>0.01</v>
      </c>
      <c r="M1115" s="26">
        <v>0.01</v>
      </c>
      <c r="N1115" s="26">
        <v>0.01</v>
      </c>
      <c r="O1115" s="26">
        <v>0.01</v>
      </c>
      <c r="P1115" s="26">
        <v>0.01</v>
      </c>
      <c r="Q1115" s="26">
        <v>0.01</v>
      </c>
      <c r="R1115" s="26">
        <v>0.01</v>
      </c>
      <c r="S1115" s="26">
        <v>0.01</v>
      </c>
      <c r="T1115" s="26">
        <v>0.01</v>
      </c>
      <c r="U1115" s="26">
        <v>0.01</v>
      </c>
      <c r="V1115" s="26">
        <v>0.01</v>
      </c>
      <c r="W1115" s="26">
        <v>0.01</v>
      </c>
    </row>
    <row r="1116" spans="3:23" outlineLevel="1"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</row>
    <row r="1117" spans="3:23" outlineLevel="1"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</row>
    <row r="1118" spans="3:23" outlineLevel="1"/>
    <row r="1119" spans="3:23" outlineLevel="1">
      <c r="C1119" s="407" t="s">
        <v>870</v>
      </c>
      <c r="G1119" s="6">
        <f>$G$32</f>
        <v>1</v>
      </c>
      <c r="J1119" s="20">
        <f>INDEX(K1119:P1119,,$G1119)</f>
        <v>1.65E-3</v>
      </c>
      <c r="K1119" s="19">
        <v>1.65E-3</v>
      </c>
      <c r="L1119" s="19"/>
      <c r="M1119" s="19"/>
      <c r="N1119" s="19"/>
      <c r="O1119" s="19"/>
      <c r="P1119" s="19"/>
    </row>
    <row r="1120" spans="3:23" outlineLevel="1"/>
    <row r="1121" spans="3:23" outlineLevel="1">
      <c r="C1121" s="407" t="s">
        <v>860</v>
      </c>
      <c r="G1121" s="6">
        <f>$G$32</f>
        <v>1</v>
      </c>
      <c r="H1121" s="17" t="s">
        <v>325</v>
      </c>
      <c r="I1121" s="17"/>
      <c r="K1121" s="36">
        <f>INDEX(K1122:K1124,$G1121,0)</f>
        <v>0.01</v>
      </c>
      <c r="L1121" s="36">
        <f t="shared" ref="L1121:T1121" si="177">INDEX(L1122:L1124,$G1121,0)</f>
        <v>0.01</v>
      </c>
      <c r="M1121" s="36">
        <f t="shared" si="177"/>
        <v>0.01</v>
      </c>
      <c r="N1121" s="36">
        <f t="shared" si="177"/>
        <v>0.01</v>
      </c>
      <c r="O1121" s="36">
        <f t="shared" si="177"/>
        <v>0.01</v>
      </c>
      <c r="P1121" s="36">
        <f t="shared" si="177"/>
        <v>0.01</v>
      </c>
      <c r="Q1121" s="36">
        <f t="shared" si="177"/>
        <v>0.01</v>
      </c>
      <c r="R1121" s="36">
        <f t="shared" si="177"/>
        <v>0.01</v>
      </c>
      <c r="S1121" s="36">
        <f t="shared" si="177"/>
        <v>0.01</v>
      </c>
      <c r="T1121" s="36">
        <f t="shared" si="177"/>
        <v>0.01</v>
      </c>
      <c r="U1121" s="36">
        <f>INDEX(U1122:U1124,$G1121,0)</f>
        <v>0.01</v>
      </c>
      <c r="V1121" s="36">
        <f>INDEX(V1122:V1124,$G1121,0)</f>
        <v>0.01</v>
      </c>
      <c r="W1121" s="36">
        <f>INDEX(W1122:W1124,$G1121,0)</f>
        <v>0.01</v>
      </c>
    </row>
    <row r="1122" spans="3:23" outlineLevel="1">
      <c r="C1122" s="407" t="s">
        <v>840</v>
      </c>
      <c r="K1122" s="26">
        <v>0.01</v>
      </c>
      <c r="L1122" s="26">
        <v>0.01</v>
      </c>
      <c r="M1122" s="26">
        <v>0.01</v>
      </c>
      <c r="N1122" s="26">
        <v>0.01</v>
      </c>
      <c r="O1122" s="26">
        <v>0.01</v>
      </c>
      <c r="P1122" s="26">
        <v>0.01</v>
      </c>
      <c r="Q1122" s="26">
        <v>0.01</v>
      </c>
      <c r="R1122" s="26">
        <v>0.01</v>
      </c>
      <c r="S1122" s="26">
        <v>0.01</v>
      </c>
      <c r="T1122" s="26">
        <v>0.01</v>
      </c>
      <c r="U1122" s="26">
        <v>0.01</v>
      </c>
      <c r="V1122" s="26">
        <v>0.01</v>
      </c>
      <c r="W1122" s="26">
        <v>0.01</v>
      </c>
    </row>
    <row r="1123" spans="3:23" outlineLevel="1"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</row>
    <row r="1124" spans="3:23" outlineLevel="1"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</row>
    <row r="1125" spans="3:23" outlineLevel="1"/>
    <row r="1126" spans="3:23" outlineLevel="1">
      <c r="C1126" s="407" t="s">
        <v>870</v>
      </c>
      <c r="G1126" s="6">
        <f>$G$32</f>
        <v>1</v>
      </c>
      <c r="J1126" s="20">
        <f>INDEX(K1126:P1126,,$G1126)</f>
        <v>5.16E-2</v>
      </c>
      <c r="K1126" s="19">
        <v>5.16E-2</v>
      </c>
      <c r="L1126" s="19"/>
      <c r="M1126" s="19"/>
      <c r="N1126" s="19"/>
      <c r="O1126" s="19"/>
      <c r="P1126" s="19"/>
    </row>
    <row r="1128" spans="3:23" ht="20.25" thickBot="1">
      <c r="C1128" s="66" t="s">
        <v>299</v>
      </c>
      <c r="D1128" s="66"/>
      <c r="E1128" s="66"/>
      <c r="F1128" s="66"/>
      <c r="G1128" s="66"/>
      <c r="H1128" s="66"/>
      <c r="I1128" s="66"/>
      <c r="J1128" s="66"/>
      <c r="K1128" s="66"/>
      <c r="L1128" s="66"/>
      <c r="M1128" s="66"/>
      <c r="N1128" s="66"/>
      <c r="O1128" s="66"/>
      <c r="P1128" s="66"/>
      <c r="Q1128" s="66"/>
      <c r="R1128" s="66"/>
      <c r="S1128" s="66"/>
      <c r="T1128" s="66"/>
      <c r="U1128" s="66"/>
      <c r="V1128" s="66"/>
      <c r="W1128" s="66"/>
    </row>
    <row r="1129" spans="3:23" ht="15.75" thickTop="1"/>
    <row r="1130" spans="3:23" ht="23.25" outlineLevel="1">
      <c r="C1130" s="60" t="s">
        <v>9</v>
      </c>
    </row>
    <row r="1131" spans="3:23" outlineLevel="1"/>
    <row r="1132" spans="3:23" ht="15.75" outlineLevel="1">
      <c r="C1132" s="15" t="s">
        <v>602</v>
      </c>
    </row>
    <row r="1133" spans="3:23" outlineLevel="1">
      <c r="C1133" s="407" t="s">
        <v>904</v>
      </c>
      <c r="G1133" s="6">
        <f>$G$32</f>
        <v>1</v>
      </c>
      <c r="H1133" s="17" t="s">
        <v>905</v>
      </c>
      <c r="I1133" s="17"/>
      <c r="K1133" s="36">
        <f>INDEX(K1134:K1136,$G1133,0)</f>
        <v>0</v>
      </c>
      <c r="L1133" s="36">
        <f t="shared" ref="L1133:T1133" si="178">INDEX(L1134:L1136,$G1133,0)</f>
        <v>0</v>
      </c>
      <c r="M1133" s="36">
        <f t="shared" si="178"/>
        <v>0</v>
      </c>
      <c r="N1133" s="36">
        <f t="shared" si="178"/>
        <v>0</v>
      </c>
      <c r="O1133" s="36">
        <f t="shared" si="178"/>
        <v>255000</v>
      </c>
      <c r="P1133" s="36">
        <f t="shared" si="178"/>
        <v>355000</v>
      </c>
      <c r="Q1133" s="36">
        <f t="shared" si="178"/>
        <v>500000</v>
      </c>
      <c r="R1133" s="36">
        <f t="shared" si="178"/>
        <v>500000</v>
      </c>
      <c r="S1133" s="36">
        <f t="shared" si="178"/>
        <v>500000</v>
      </c>
      <c r="T1133" s="36">
        <f t="shared" si="178"/>
        <v>500000</v>
      </c>
      <c r="U1133" s="36">
        <f>INDEX(U1134:U1136,$G1133,0)</f>
        <v>500000</v>
      </c>
      <c r="V1133" s="36">
        <f>INDEX(V1134:V1136,$G1133,0)</f>
        <v>500000</v>
      </c>
      <c r="W1133" s="36">
        <f>INDEX(W1134:W1136,$G1133,0)</f>
        <v>500000</v>
      </c>
    </row>
    <row r="1134" spans="3:23" outlineLevel="1">
      <c r="C1134" s="407" t="s">
        <v>840</v>
      </c>
      <c r="K1134" s="26"/>
      <c r="L1134" s="26"/>
      <c r="M1134" s="26"/>
      <c r="N1134" s="26">
        <v>0</v>
      </c>
      <c r="O1134" s="26">
        <v>255000</v>
      </c>
      <c r="P1134" s="26">
        <v>355000</v>
      </c>
      <c r="Q1134" s="26">
        <v>500000</v>
      </c>
      <c r="R1134" s="26">
        <v>500000</v>
      </c>
      <c r="S1134" s="26">
        <v>500000</v>
      </c>
      <c r="T1134" s="26">
        <v>500000</v>
      </c>
      <c r="U1134" s="26">
        <v>500000</v>
      </c>
      <c r="V1134" s="26">
        <v>500000</v>
      </c>
      <c r="W1134" s="26">
        <v>500000</v>
      </c>
    </row>
    <row r="1135" spans="3:23" outlineLevel="1">
      <c r="K1135" s="26"/>
      <c r="L1135" s="26"/>
      <c r="M1135" s="26"/>
      <c r="N1135" s="26">
        <v>120000</v>
      </c>
      <c r="O1135" s="26">
        <v>255000</v>
      </c>
      <c r="P1135" s="26">
        <v>355000</v>
      </c>
      <c r="Q1135" s="26">
        <v>500000</v>
      </c>
      <c r="R1135" s="26">
        <v>500000</v>
      </c>
      <c r="S1135" s="26">
        <v>500000</v>
      </c>
      <c r="T1135" s="26">
        <v>500000</v>
      </c>
      <c r="U1135" s="26">
        <v>500000</v>
      </c>
      <c r="V1135" s="26">
        <v>500000</v>
      </c>
      <c r="W1135" s="26">
        <v>500000</v>
      </c>
    </row>
    <row r="1136" spans="3:23" outlineLevel="1"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</row>
    <row r="1137" spans="3:23" outlineLevel="1"/>
    <row r="1138" spans="3:23" outlineLevel="1">
      <c r="C1138" s="407" t="s">
        <v>906</v>
      </c>
      <c r="G1138" s="6">
        <f>$G$32</f>
        <v>1</v>
      </c>
      <c r="H1138" s="17" t="s">
        <v>907</v>
      </c>
      <c r="J1138" s="30"/>
      <c r="K1138" s="30"/>
      <c r="L1138" s="19"/>
      <c r="M1138" s="19"/>
      <c r="N1138" s="19">
        <v>0</v>
      </c>
      <c r="O1138" s="19"/>
      <c r="P1138" s="19"/>
    </row>
    <row r="1139" spans="3:23" outlineLevel="1"/>
    <row r="1140" spans="3:23" outlineLevel="1">
      <c r="C1140" s="407" t="s">
        <v>908</v>
      </c>
      <c r="G1140" s="6">
        <f>$G$32</f>
        <v>1</v>
      </c>
      <c r="H1140" s="17" t="s">
        <v>907</v>
      </c>
      <c r="I1140" s="17"/>
      <c r="K1140" s="36">
        <f>INDEX(K1141:K1143,$G1140,0)</f>
        <v>0</v>
      </c>
      <c r="L1140" s="36">
        <f t="shared" ref="L1140:T1140" si="179">INDEX(L1141:L1143,$G1140,0)</f>
        <v>0</v>
      </c>
      <c r="M1140" s="36">
        <f t="shared" si="179"/>
        <v>0</v>
      </c>
      <c r="N1140" s="36">
        <f t="shared" si="179"/>
        <v>0</v>
      </c>
      <c r="O1140" s="36">
        <f t="shared" si="179"/>
        <v>0.03</v>
      </c>
      <c r="P1140" s="36">
        <f t="shared" si="179"/>
        <v>0.03</v>
      </c>
      <c r="Q1140" s="36">
        <f t="shared" si="179"/>
        <v>0.03</v>
      </c>
      <c r="R1140" s="36">
        <f t="shared" si="179"/>
        <v>0.03</v>
      </c>
      <c r="S1140" s="36">
        <f t="shared" si="179"/>
        <v>0.03</v>
      </c>
      <c r="T1140" s="36">
        <f t="shared" si="179"/>
        <v>0.03</v>
      </c>
      <c r="U1140" s="36">
        <f>INDEX(U1141:U1143,$G1140,0)</f>
        <v>0.03</v>
      </c>
      <c r="V1140" s="36">
        <f>INDEX(V1141:V1143,$G1140,0)</f>
        <v>0.03</v>
      </c>
      <c r="W1140" s="36">
        <f>INDEX(W1141:W1143,$G1140,0)</f>
        <v>0.03</v>
      </c>
    </row>
    <row r="1141" spans="3:23" outlineLevel="1">
      <c r="C1141" s="407" t="s">
        <v>840</v>
      </c>
      <c r="K1141" s="26"/>
      <c r="L1141" s="26"/>
      <c r="M1141" s="26"/>
      <c r="N1141" s="26"/>
      <c r="O1141" s="26">
        <v>0.03</v>
      </c>
      <c r="P1141" s="26">
        <v>0.03</v>
      </c>
      <c r="Q1141" s="26">
        <v>0.03</v>
      </c>
      <c r="R1141" s="26">
        <v>0.03</v>
      </c>
      <c r="S1141" s="26">
        <v>0.03</v>
      </c>
      <c r="T1141" s="26">
        <v>0.03</v>
      </c>
      <c r="U1141" s="26">
        <v>0.03</v>
      </c>
      <c r="V1141" s="26">
        <v>0.03</v>
      </c>
      <c r="W1141" s="26">
        <v>0.03</v>
      </c>
    </row>
    <row r="1142" spans="3:23" outlineLevel="1"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</row>
    <row r="1143" spans="3:23" outlineLevel="1"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</row>
    <row r="1144" spans="3:23" outlineLevel="1"/>
    <row r="1145" spans="3:23" ht="15.75" outlineLevel="1">
      <c r="C1145" s="15" t="s">
        <v>605</v>
      </c>
    </row>
    <row r="1146" spans="3:23" outlineLevel="1">
      <c r="C1146" s="407" t="s">
        <v>909</v>
      </c>
      <c r="G1146" s="6">
        <f>$G$32</f>
        <v>1</v>
      </c>
      <c r="H1146" s="17" t="s">
        <v>325</v>
      </c>
      <c r="I1146" s="17"/>
      <c r="K1146" s="36">
        <f>INDEX(K1147:K1149,$G1146,0)</f>
        <v>0</v>
      </c>
      <c r="L1146" s="36">
        <f t="shared" ref="L1146:T1146" si="180">INDEX(L1147:L1149,$G1146,0)</f>
        <v>0</v>
      </c>
      <c r="M1146" s="36">
        <f t="shared" si="180"/>
        <v>0</v>
      </c>
      <c r="N1146" s="36">
        <f t="shared" si="180"/>
        <v>0</v>
      </c>
      <c r="O1146" s="36">
        <f t="shared" si="180"/>
        <v>1.4999999999999999E-2</v>
      </c>
      <c r="P1146" s="36">
        <f t="shared" si="180"/>
        <v>1.4999999999999999E-2</v>
      </c>
      <c r="Q1146" s="36">
        <f t="shared" si="180"/>
        <v>1.4999999999999999E-2</v>
      </c>
      <c r="R1146" s="36">
        <f t="shared" si="180"/>
        <v>1.4999999999999999E-2</v>
      </c>
      <c r="S1146" s="36">
        <f t="shared" si="180"/>
        <v>1.4999999999999999E-2</v>
      </c>
      <c r="T1146" s="36">
        <f t="shared" si="180"/>
        <v>1.4999999999999999E-2</v>
      </c>
      <c r="U1146" s="36">
        <f>INDEX(U1147:U1149,$G1146,0)</f>
        <v>1.4999999999999999E-2</v>
      </c>
      <c r="V1146" s="36">
        <f>INDEX(V1147:V1149,$G1146,0)</f>
        <v>1.4999999999999999E-2</v>
      </c>
      <c r="W1146" s="36">
        <f>INDEX(W1147:W1149,$G1146,0)</f>
        <v>1.4999999999999999E-2</v>
      </c>
    </row>
    <row r="1147" spans="3:23" outlineLevel="1">
      <c r="C1147" s="407" t="s">
        <v>840</v>
      </c>
      <c r="K1147" s="26"/>
      <c r="L1147" s="26">
        <f>L1133</f>
        <v>0</v>
      </c>
      <c r="M1147" s="26">
        <f>M1133</f>
        <v>0</v>
      </c>
      <c r="N1147" s="26"/>
      <c r="O1147" s="24">
        <v>1.4999999999999999E-2</v>
      </c>
      <c r="P1147" s="24">
        <v>1.4999999999999999E-2</v>
      </c>
      <c r="Q1147" s="24">
        <v>1.4999999999999999E-2</v>
      </c>
      <c r="R1147" s="24">
        <v>1.4999999999999999E-2</v>
      </c>
      <c r="S1147" s="24">
        <v>1.4999999999999999E-2</v>
      </c>
      <c r="T1147" s="24">
        <v>1.4999999999999999E-2</v>
      </c>
      <c r="U1147" s="24">
        <v>1.4999999999999999E-2</v>
      </c>
      <c r="V1147" s="24">
        <v>1.4999999999999999E-2</v>
      </c>
      <c r="W1147" s="24">
        <v>1.4999999999999999E-2</v>
      </c>
    </row>
    <row r="1148" spans="3:23" outlineLevel="1"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</row>
    <row r="1149" spans="3:23" outlineLevel="1"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</row>
    <row r="1150" spans="3:23" outlineLevel="1"/>
    <row r="1151" spans="3:23" outlineLevel="1">
      <c r="C1151" s="407" t="s">
        <v>906</v>
      </c>
      <c r="G1151" s="6">
        <f>$G$32</f>
        <v>1</v>
      </c>
      <c r="H1151" s="17" t="s">
        <v>543</v>
      </c>
      <c r="K1151" s="30"/>
      <c r="L1151" s="19"/>
      <c r="M1151" s="19"/>
      <c r="N1151" s="19"/>
      <c r="O1151" s="19">
        <v>55000</v>
      </c>
      <c r="P1151" s="19"/>
    </row>
    <row r="1152" spans="3:23" outlineLevel="1"/>
    <row r="1153" spans="3:23" outlineLevel="1">
      <c r="C1153" s="407" t="s">
        <v>908</v>
      </c>
      <c r="G1153" s="6">
        <f>$G$32</f>
        <v>1</v>
      </c>
      <c r="H1153" s="17" t="s">
        <v>485</v>
      </c>
      <c r="I1153" s="17"/>
      <c r="K1153" s="36">
        <f>INDEX(K1154:K1156,$G1153,0)</f>
        <v>0</v>
      </c>
      <c r="L1153" s="36">
        <f t="shared" ref="L1153:T1153" si="181">INDEX(L1154:L1156,$G1153,0)</f>
        <v>0</v>
      </c>
      <c r="M1153" s="36">
        <f t="shared" si="181"/>
        <v>0</v>
      </c>
      <c r="N1153" s="36">
        <f t="shared" si="181"/>
        <v>0</v>
      </c>
      <c r="O1153" s="36">
        <f t="shared" si="181"/>
        <v>0</v>
      </c>
      <c r="P1153" s="36">
        <f t="shared" si="181"/>
        <v>0.03</v>
      </c>
      <c r="Q1153" s="36">
        <f t="shared" si="181"/>
        <v>0.03</v>
      </c>
      <c r="R1153" s="36">
        <f t="shared" si="181"/>
        <v>0.03</v>
      </c>
      <c r="S1153" s="36">
        <f t="shared" si="181"/>
        <v>0.03</v>
      </c>
      <c r="T1153" s="36">
        <f t="shared" si="181"/>
        <v>0.03</v>
      </c>
      <c r="U1153" s="36">
        <f>INDEX(U1154:U1156,$G1153,0)</f>
        <v>0.03</v>
      </c>
      <c r="V1153" s="36">
        <f>INDEX(V1154:V1156,$G1153,0)</f>
        <v>0.03</v>
      </c>
      <c r="W1153" s="36">
        <f>INDEX(W1154:W1156,$G1153,0)</f>
        <v>0.03</v>
      </c>
    </row>
    <row r="1154" spans="3:23" outlineLevel="1">
      <c r="C1154" s="407" t="s">
        <v>840</v>
      </c>
      <c r="K1154" s="26"/>
      <c r="L1154" s="26"/>
      <c r="M1154" s="26"/>
      <c r="N1154" s="26"/>
      <c r="O1154" s="26"/>
      <c r="P1154" s="26">
        <v>0.03</v>
      </c>
      <c r="Q1154" s="26">
        <v>0.03</v>
      </c>
      <c r="R1154" s="26">
        <v>0.03</v>
      </c>
      <c r="S1154" s="26">
        <v>0.03</v>
      </c>
      <c r="T1154" s="26">
        <v>0.03</v>
      </c>
      <c r="U1154" s="26">
        <v>0.03</v>
      </c>
      <c r="V1154" s="26">
        <v>0.03</v>
      </c>
      <c r="W1154" s="26">
        <v>0.03</v>
      </c>
    </row>
    <row r="1155" spans="3:23" outlineLevel="1"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</row>
    <row r="1156" spans="3:23" outlineLevel="1"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</row>
    <row r="1157" spans="3:23" outlineLevel="1"/>
    <row r="1158" spans="3:23" ht="15.75" outlineLevel="1">
      <c r="C1158" s="15" t="s">
        <v>611</v>
      </c>
    </row>
    <row r="1159" spans="3:23" outlineLevel="1">
      <c r="C1159" s="407" t="s">
        <v>909</v>
      </c>
      <c r="G1159" s="6">
        <f>$G$32</f>
        <v>1</v>
      </c>
      <c r="H1159" s="17" t="s">
        <v>325</v>
      </c>
      <c r="I1159" s="17"/>
      <c r="K1159" s="36">
        <f>INDEX(K1160:K1162,$G1159,0)</f>
        <v>0</v>
      </c>
      <c r="L1159" s="36">
        <f t="shared" ref="L1159:T1159" si="182">INDEX(L1160:L1162,$G1159,0)</f>
        <v>0</v>
      </c>
      <c r="M1159" s="36">
        <f t="shared" si="182"/>
        <v>0</v>
      </c>
      <c r="N1159" s="36">
        <f t="shared" si="182"/>
        <v>0</v>
      </c>
      <c r="O1159" s="36">
        <f t="shared" si="182"/>
        <v>0</v>
      </c>
      <c r="P1159" s="36">
        <f t="shared" si="182"/>
        <v>0.05</v>
      </c>
      <c r="Q1159" s="36">
        <f t="shared" si="182"/>
        <v>0.05</v>
      </c>
      <c r="R1159" s="36">
        <f t="shared" si="182"/>
        <v>0.05</v>
      </c>
      <c r="S1159" s="36">
        <f t="shared" si="182"/>
        <v>0.05</v>
      </c>
      <c r="T1159" s="36">
        <f t="shared" si="182"/>
        <v>0.05</v>
      </c>
      <c r="U1159" s="36">
        <f>INDEX(U1160:U1162,$G1159,0)</f>
        <v>0.05</v>
      </c>
      <c r="V1159" s="36">
        <f>INDEX(V1160:V1162,$G1159,0)</f>
        <v>0.05</v>
      </c>
      <c r="W1159" s="36">
        <f>INDEX(W1160:W1162,$G1159,0)</f>
        <v>0.05</v>
      </c>
    </row>
    <row r="1160" spans="3:23" outlineLevel="1">
      <c r="C1160" s="407" t="s">
        <v>840</v>
      </c>
      <c r="K1160" s="26"/>
      <c r="L1160" s="26">
        <f>L1146</f>
        <v>0</v>
      </c>
      <c r="M1160" s="26">
        <f>M1146</f>
        <v>0</v>
      </c>
      <c r="N1160" s="26"/>
      <c r="O1160" s="24"/>
      <c r="P1160" s="24">
        <v>0.05</v>
      </c>
      <c r="Q1160" s="24">
        <v>0.05</v>
      </c>
      <c r="R1160" s="24">
        <v>0.05</v>
      </c>
      <c r="S1160" s="24">
        <v>0.05</v>
      </c>
      <c r="T1160" s="24">
        <v>0.05</v>
      </c>
      <c r="U1160" s="24">
        <v>0.05</v>
      </c>
      <c r="V1160" s="24">
        <v>0.05</v>
      </c>
      <c r="W1160" s="24">
        <v>0.05</v>
      </c>
    </row>
    <row r="1161" spans="3:23" outlineLevel="1"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</row>
    <row r="1162" spans="3:23" outlineLevel="1"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</row>
    <row r="1163" spans="3:23" outlineLevel="1"/>
    <row r="1164" spans="3:23" outlineLevel="1">
      <c r="C1164" s="407" t="s">
        <v>906</v>
      </c>
      <c r="G1164" s="6">
        <f>$G$32</f>
        <v>1</v>
      </c>
      <c r="H1164" s="17" t="s">
        <v>543</v>
      </c>
      <c r="K1164" s="30"/>
      <c r="L1164" s="19"/>
      <c r="M1164" s="19"/>
      <c r="N1164" s="19"/>
      <c r="O1164" s="19"/>
      <c r="P1164" s="19">
        <v>65000</v>
      </c>
    </row>
    <row r="1165" spans="3:23" outlineLevel="1"/>
    <row r="1166" spans="3:23" outlineLevel="1">
      <c r="C1166" s="407" t="s">
        <v>908</v>
      </c>
      <c r="G1166" s="6">
        <f>$G$32</f>
        <v>1</v>
      </c>
      <c r="H1166" s="17" t="s">
        <v>485</v>
      </c>
      <c r="I1166" s="17"/>
      <c r="K1166" s="36">
        <f>INDEX(K1167:K1169,$G1166,0)</f>
        <v>0</v>
      </c>
      <c r="L1166" s="36">
        <f t="shared" ref="L1166:T1166" si="183">INDEX(L1167:L1169,$G1166,0)</f>
        <v>0</v>
      </c>
      <c r="M1166" s="36">
        <f t="shared" si="183"/>
        <v>0</v>
      </c>
      <c r="N1166" s="36">
        <f t="shared" si="183"/>
        <v>0</v>
      </c>
      <c r="O1166" s="36">
        <f t="shared" si="183"/>
        <v>0</v>
      </c>
      <c r="P1166" s="36">
        <f t="shared" si="183"/>
        <v>0</v>
      </c>
      <c r="Q1166" s="36">
        <f t="shared" si="183"/>
        <v>0.03</v>
      </c>
      <c r="R1166" s="36">
        <f t="shared" si="183"/>
        <v>0.03</v>
      </c>
      <c r="S1166" s="36">
        <f t="shared" si="183"/>
        <v>0.03</v>
      </c>
      <c r="T1166" s="36">
        <f t="shared" si="183"/>
        <v>0.03</v>
      </c>
      <c r="U1166" s="36">
        <f>INDEX(U1167:U1169,$G1166,0)</f>
        <v>0.03</v>
      </c>
      <c r="V1166" s="36">
        <f>INDEX(V1167:V1169,$G1166,0)</f>
        <v>0.03</v>
      </c>
      <c r="W1166" s="36">
        <f>INDEX(W1167:W1169,$G1166,0)</f>
        <v>0.03</v>
      </c>
    </row>
    <row r="1167" spans="3:23" outlineLevel="1">
      <c r="C1167" s="407" t="s">
        <v>840</v>
      </c>
      <c r="K1167" s="26"/>
      <c r="L1167" s="26"/>
      <c r="M1167" s="26"/>
      <c r="N1167" s="26"/>
      <c r="O1167" s="26"/>
      <c r="P1167" s="26"/>
      <c r="Q1167" s="26">
        <v>0.03</v>
      </c>
      <c r="R1167" s="26">
        <v>0.03</v>
      </c>
      <c r="S1167" s="26">
        <v>0.03</v>
      </c>
      <c r="T1167" s="26">
        <v>0.03</v>
      </c>
      <c r="U1167" s="26">
        <v>0.03</v>
      </c>
      <c r="V1167" s="26">
        <v>0.03</v>
      </c>
      <c r="W1167" s="26">
        <v>0.03</v>
      </c>
    </row>
    <row r="1168" spans="3:23" outlineLevel="1"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</row>
    <row r="1169" spans="3:23" outlineLevel="1"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</row>
    <row r="1170" spans="3:23" outlineLevel="1"/>
    <row r="1171" spans="3:23" ht="15.75" outlineLevel="1">
      <c r="C1171" s="15" t="s">
        <v>612</v>
      </c>
    </row>
    <row r="1172" spans="3:23" outlineLevel="1">
      <c r="C1172" s="407" t="s">
        <v>839</v>
      </c>
      <c r="G1172" s="6">
        <f>$G$32</f>
        <v>1</v>
      </c>
      <c r="H1172" s="17" t="s">
        <v>325</v>
      </c>
      <c r="I1172" s="17"/>
      <c r="K1172" s="36">
        <f>INDEX(K1173:K1175,$G1172,0)</f>
        <v>0</v>
      </c>
      <c r="L1172" s="36">
        <f t="shared" ref="L1172:T1172" si="184">INDEX(L1173:L1175,$G1172,0)</f>
        <v>0</v>
      </c>
      <c r="M1172" s="36">
        <f t="shared" si="184"/>
        <v>0</v>
      </c>
      <c r="N1172" s="36">
        <f t="shared" si="184"/>
        <v>0</v>
      </c>
      <c r="O1172" s="36">
        <f t="shared" si="184"/>
        <v>0</v>
      </c>
      <c r="P1172" s="36">
        <f t="shared" si="184"/>
        <v>1000000</v>
      </c>
      <c r="Q1172" s="36">
        <f t="shared" si="184"/>
        <v>1500000</v>
      </c>
      <c r="R1172" s="36">
        <f t="shared" si="184"/>
        <v>2700000</v>
      </c>
      <c r="S1172" s="36">
        <f t="shared" si="184"/>
        <v>2000000</v>
      </c>
      <c r="T1172" s="36">
        <f t="shared" si="184"/>
        <v>3000000</v>
      </c>
      <c r="U1172" s="36">
        <f>INDEX(U1173:U1175,$G1172,0)</f>
        <v>3000000</v>
      </c>
      <c r="V1172" s="36">
        <f>INDEX(V1173:V1175,$G1172,0)</f>
        <v>3000000</v>
      </c>
      <c r="W1172" s="36">
        <f>INDEX(W1173:W1175,$G1172,0)</f>
        <v>3000000</v>
      </c>
    </row>
    <row r="1173" spans="3:23" outlineLevel="1">
      <c r="C1173" s="407" t="s">
        <v>840</v>
      </c>
      <c r="K1173" s="26"/>
      <c r="L1173" s="26">
        <f>L1146</f>
        <v>0</v>
      </c>
      <c r="M1173" s="26">
        <f>M1146</f>
        <v>0</v>
      </c>
      <c r="N1173" s="26"/>
      <c r="O1173" s="26"/>
      <c r="P1173" s="26">
        <v>1000000</v>
      </c>
      <c r="Q1173" s="26">
        <v>1500000</v>
      </c>
      <c r="R1173" s="26">
        <f>1200000+Q1173</f>
        <v>2700000</v>
      </c>
      <c r="S1173" s="26">
        <v>2000000</v>
      </c>
      <c r="T1173" s="26">
        <v>3000000</v>
      </c>
      <c r="U1173" s="26">
        <f>T1173</f>
        <v>3000000</v>
      </c>
      <c r="V1173" s="26">
        <f>U1173</f>
        <v>3000000</v>
      </c>
      <c r="W1173" s="26">
        <f>V1173</f>
        <v>3000000</v>
      </c>
    </row>
    <row r="1174" spans="3:23" outlineLevel="1">
      <c r="K1174" s="26"/>
      <c r="L1174" s="26"/>
      <c r="M1174" s="26"/>
      <c r="N1174" s="26"/>
      <c r="O1174" s="26"/>
      <c r="P1174" s="26">
        <v>600000</v>
      </c>
      <c r="Q1174" s="26">
        <v>600000</v>
      </c>
      <c r="R1174" s="26">
        <v>1200000</v>
      </c>
      <c r="S1174" s="26">
        <v>1800000</v>
      </c>
      <c r="T1174" s="26">
        <v>2000000</v>
      </c>
      <c r="U1174" s="26">
        <v>2000000</v>
      </c>
      <c r="V1174" s="26">
        <v>2000000</v>
      </c>
      <c r="W1174" s="26">
        <v>2000000</v>
      </c>
    </row>
    <row r="1175" spans="3:23" outlineLevel="1">
      <c r="K1175" s="26"/>
      <c r="L1175" s="26"/>
      <c r="M1175" s="26"/>
      <c r="N1175" s="26"/>
      <c r="O1175" s="26"/>
      <c r="P1175" s="26">
        <v>600000</v>
      </c>
      <c r="Q1175" s="26">
        <v>600000</v>
      </c>
      <c r="R1175" s="26">
        <f>1200000+Q1175</f>
        <v>1800000</v>
      </c>
      <c r="S1175" s="26">
        <v>2000000</v>
      </c>
      <c r="T1175" s="26">
        <v>3000000</v>
      </c>
      <c r="U1175" s="26">
        <f>T1175+500000</f>
        <v>3500000</v>
      </c>
      <c r="V1175" s="26">
        <f>U1175+500000</f>
        <v>4000000</v>
      </c>
      <c r="W1175" s="26">
        <f>V1175+500000</f>
        <v>4500000</v>
      </c>
    </row>
    <row r="1176" spans="3:23" outlineLevel="1"/>
    <row r="1177" spans="3:23" outlineLevel="1">
      <c r="C1177" s="407" t="s">
        <v>882</v>
      </c>
      <c r="G1177" s="6">
        <f>$G$32</f>
        <v>1</v>
      </c>
      <c r="H1177" s="17" t="s">
        <v>485</v>
      </c>
      <c r="I1177" s="17"/>
      <c r="K1177" s="36">
        <f>INDEX(K1178:K1180,$G1177,0)</f>
        <v>0</v>
      </c>
      <c r="L1177" s="36">
        <f t="shared" ref="L1177:T1177" si="185">INDEX(L1178:L1180,$G1177,0)</f>
        <v>0</v>
      </c>
      <c r="M1177" s="36">
        <f t="shared" si="185"/>
        <v>0</v>
      </c>
      <c r="N1177" s="36">
        <f t="shared" si="185"/>
        <v>0</v>
      </c>
      <c r="O1177" s="36">
        <f t="shared" si="185"/>
        <v>15000</v>
      </c>
      <c r="P1177" s="36">
        <f t="shared" si="185"/>
        <v>15000</v>
      </c>
      <c r="Q1177" s="36">
        <f t="shared" si="185"/>
        <v>15000</v>
      </c>
      <c r="R1177" s="36">
        <f t="shared" si="185"/>
        <v>15000</v>
      </c>
      <c r="S1177" s="36">
        <f t="shared" si="185"/>
        <v>15000</v>
      </c>
      <c r="T1177" s="36">
        <f t="shared" si="185"/>
        <v>15000</v>
      </c>
      <c r="U1177" s="36">
        <f>INDEX(U1178:U1180,$G1177,0)</f>
        <v>15000</v>
      </c>
      <c r="V1177" s="36">
        <f>INDEX(V1178:V1180,$G1177,0)</f>
        <v>15000</v>
      </c>
      <c r="W1177" s="36">
        <f>INDEX(W1178:W1180,$G1177,0)</f>
        <v>15000</v>
      </c>
    </row>
    <row r="1178" spans="3:23" outlineLevel="1">
      <c r="C1178" s="407" t="s">
        <v>840</v>
      </c>
      <c r="K1178" s="26"/>
      <c r="L1178" s="26"/>
      <c r="M1178" s="26"/>
      <c r="N1178" s="26"/>
      <c r="O1178" s="26">
        <v>15000</v>
      </c>
      <c r="P1178" s="26">
        <v>15000</v>
      </c>
      <c r="Q1178" s="26">
        <v>15000</v>
      </c>
      <c r="R1178" s="26">
        <v>15000</v>
      </c>
      <c r="S1178" s="26">
        <v>15000</v>
      </c>
      <c r="T1178" s="26">
        <v>15000</v>
      </c>
      <c r="U1178" s="26">
        <v>15000</v>
      </c>
      <c r="V1178" s="26">
        <v>15000</v>
      </c>
      <c r="W1178" s="26">
        <v>15000</v>
      </c>
    </row>
    <row r="1179" spans="3:23" outlineLevel="1"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</row>
    <row r="1180" spans="3:23" outlineLevel="1"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</row>
    <row r="1181" spans="3:23" outlineLevel="1"/>
    <row r="1182" spans="3:23" outlineLevel="1"/>
    <row r="1183" spans="3:23" ht="23.25" outlineLevel="1">
      <c r="C1183" s="60" t="s">
        <v>473</v>
      </c>
    </row>
    <row r="1184" spans="3:23" outlineLevel="1"/>
    <row r="1185" spans="3:23" outlineLevel="1"/>
    <row r="1186" spans="3:23" outlineLevel="1">
      <c r="C1186" s="407" t="s">
        <v>910</v>
      </c>
      <c r="G1186" s="6">
        <f>$G$32</f>
        <v>1</v>
      </c>
      <c r="H1186" s="17" t="s">
        <v>325</v>
      </c>
      <c r="I1186" s="17"/>
      <c r="K1186" s="36">
        <f t="shared" ref="K1186:T1186" si="186">INDEX(K1187:K1189,$G1186,0)</f>
        <v>0</v>
      </c>
      <c r="L1186" s="36">
        <f t="shared" si="186"/>
        <v>0</v>
      </c>
      <c r="M1186" s="36">
        <f t="shared" si="186"/>
        <v>40.024592683676609</v>
      </c>
      <c r="N1186" s="36">
        <f t="shared" si="186"/>
        <v>0</v>
      </c>
      <c r="O1186" s="36">
        <f t="shared" si="186"/>
        <v>0</v>
      </c>
      <c r="P1186" s="36">
        <f t="shared" si="186"/>
        <v>0</v>
      </c>
      <c r="Q1186" s="36">
        <f t="shared" si="186"/>
        <v>0</v>
      </c>
      <c r="R1186" s="36">
        <f t="shared" si="186"/>
        <v>0</v>
      </c>
      <c r="S1186" s="36">
        <f t="shared" si="186"/>
        <v>0</v>
      </c>
      <c r="T1186" s="36">
        <f t="shared" si="186"/>
        <v>0</v>
      </c>
      <c r="U1186" s="36">
        <f>INDEX(U1187:U1189,$G1186,0)</f>
        <v>0</v>
      </c>
      <c r="V1186" s="36">
        <f>INDEX(V1187:V1189,$G1186,0)</f>
        <v>0</v>
      </c>
      <c r="W1186" s="36">
        <f>INDEX(W1187:W1189,$G1186,0)</f>
        <v>0</v>
      </c>
    </row>
    <row r="1187" spans="3:23" outlineLevel="1">
      <c r="C1187" s="407" t="s">
        <v>840</v>
      </c>
      <c r="K1187" s="26"/>
      <c r="L1187" s="26"/>
      <c r="M1187" s="26">
        <f>108-68+K1276</f>
        <v>40.024592683676609</v>
      </c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</row>
    <row r="1188" spans="3:23" outlineLevel="1"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</row>
    <row r="1189" spans="3:23" outlineLevel="1"/>
    <row r="1190" spans="3:23" outlineLevel="1">
      <c r="C1190" s="407" t="s">
        <v>911</v>
      </c>
      <c r="K1190" s="26"/>
      <c r="L1190" s="26"/>
      <c r="M1190" s="26"/>
      <c r="N1190" s="26">
        <v>28.017214878573625</v>
      </c>
      <c r="O1190" s="26">
        <v>12.007377805102983</v>
      </c>
      <c r="P1190" s="26"/>
      <c r="Q1190" s="26"/>
      <c r="R1190" s="26"/>
      <c r="S1190" s="26"/>
      <c r="T1190" s="26"/>
      <c r="U1190" s="26"/>
      <c r="V1190" s="26"/>
      <c r="W1190" s="26"/>
    </row>
    <row r="1191" spans="3:23" outlineLevel="1">
      <c r="C1191" s="407"/>
      <c r="K1191" s="26"/>
      <c r="L1191" s="26"/>
      <c r="M1191" s="26">
        <v>16</v>
      </c>
      <c r="N1191" s="26">
        <v>22</v>
      </c>
      <c r="O1191" s="26">
        <v>12</v>
      </c>
      <c r="P1191" s="26"/>
      <c r="Q1191" s="26"/>
      <c r="R1191" s="26"/>
      <c r="S1191" s="26"/>
      <c r="T1191" s="26"/>
      <c r="U1191" s="26"/>
      <c r="V1191" s="26"/>
      <c r="W1191" s="26"/>
    </row>
    <row r="1192" spans="3:23" outlineLevel="1"/>
    <row r="1193" spans="3:23" outlineLevel="1">
      <c r="C1193" s="407" t="s">
        <v>912</v>
      </c>
      <c r="G1193" s="6">
        <f>$G$32</f>
        <v>1</v>
      </c>
      <c r="J1193" s="20">
        <f>INDEX(K1193:P1193,,$G1193)</f>
        <v>0</v>
      </c>
      <c r="K1193" s="39">
        <v>0</v>
      </c>
      <c r="L1193" s="19"/>
      <c r="M1193" s="19"/>
      <c r="N1193" s="19"/>
      <c r="O1193" s="19"/>
      <c r="P1193" s="19"/>
    </row>
    <row r="1194" spans="3:23" outlineLevel="1">
      <c r="C1194" s="407" t="s">
        <v>876</v>
      </c>
      <c r="G1194" s="6">
        <f>$G$32</f>
        <v>1</v>
      </c>
      <c r="J1194" s="20">
        <f>INDEX(K1194:P1194,,$G1194)</f>
        <v>0.9</v>
      </c>
      <c r="K1194" s="39">
        <v>0.9</v>
      </c>
      <c r="L1194" s="19"/>
      <c r="M1194" s="19"/>
      <c r="N1194" s="19"/>
      <c r="O1194" s="19"/>
      <c r="P1194" s="19"/>
    </row>
    <row r="1195" spans="3:23" outlineLevel="1">
      <c r="C1195" s="407" t="s">
        <v>877</v>
      </c>
      <c r="G1195" s="6">
        <f>$G$32</f>
        <v>1</v>
      </c>
      <c r="J1195" s="20">
        <f>INDEX(K1195:P1195,,$G1195)</f>
        <v>0.1</v>
      </c>
      <c r="K1195" s="39">
        <v>0.1</v>
      </c>
      <c r="L1195" s="19"/>
      <c r="M1195" s="19"/>
      <c r="N1195" s="19"/>
      <c r="O1195" s="19"/>
      <c r="P1195" s="19"/>
    </row>
    <row r="1196" spans="3:23" ht="23.25" outlineLevel="1">
      <c r="C1196" s="61"/>
      <c r="K1196" s="407"/>
    </row>
    <row r="1197" spans="3:23" outlineLevel="1">
      <c r="C1197" s="407" t="s">
        <v>878</v>
      </c>
      <c r="G1197" s="6">
        <f>$G$32</f>
        <v>1</v>
      </c>
      <c r="J1197" s="20">
        <f>INDEX(K1197:P1197,,$G1197)</f>
        <v>90</v>
      </c>
      <c r="K1197" s="30">
        <v>90</v>
      </c>
      <c r="L1197" s="19"/>
      <c r="M1197" s="19"/>
      <c r="N1197" s="19"/>
      <c r="O1197" s="19"/>
      <c r="P1197" s="19"/>
    </row>
    <row r="1198" spans="3:23" outlineLevel="1">
      <c r="C1198" s="407" t="s">
        <v>879</v>
      </c>
      <c r="G1198" s="6">
        <f>$G$32</f>
        <v>1</v>
      </c>
      <c r="J1198" s="20">
        <f>INDEX(K1198:P1198,,$G1198)</f>
        <v>20</v>
      </c>
      <c r="K1198" s="30">
        <v>20</v>
      </c>
      <c r="L1198" s="19"/>
      <c r="M1198" s="19"/>
      <c r="N1198" s="19"/>
      <c r="O1198" s="19"/>
      <c r="P1198" s="19"/>
    </row>
    <row r="1199" spans="3:23" outlineLevel="1">
      <c r="C1199" s="407" t="s">
        <v>879</v>
      </c>
      <c r="G1199" s="6">
        <f>$G$32</f>
        <v>1</v>
      </c>
      <c r="J1199" s="20">
        <f>INDEX(K1199:P1199,,$G1199)</f>
        <v>8</v>
      </c>
      <c r="K1199" s="30">
        <v>8</v>
      </c>
      <c r="L1199" s="19"/>
      <c r="M1199" s="19"/>
      <c r="N1199" s="19"/>
      <c r="O1199" s="19"/>
      <c r="P1199" s="19"/>
    </row>
    <row r="1200" spans="3:23" outlineLevel="1"/>
    <row r="1201" spans="3:23" outlineLevel="1"/>
    <row r="1202" spans="3:23" outlineLevel="1">
      <c r="C1202" s="407" t="s">
        <v>913</v>
      </c>
      <c r="G1202" s="6">
        <f>$G$32</f>
        <v>1</v>
      </c>
      <c r="H1202" s="17" t="s">
        <v>325</v>
      </c>
      <c r="I1202" s="17"/>
      <c r="K1202" s="36">
        <f>INDEX(K1203:K1205,$G1202,0)</f>
        <v>0</v>
      </c>
      <c r="L1202" s="36">
        <f t="shared" ref="L1202:T1202" si="187">INDEX(L1203:L1205,$G1202,0)</f>
        <v>0</v>
      </c>
      <c r="M1202" s="36">
        <f t="shared" si="187"/>
        <v>0</v>
      </c>
      <c r="N1202" s="36">
        <f t="shared" si="187"/>
        <v>1</v>
      </c>
      <c r="O1202" s="36">
        <f t="shared" si="187"/>
        <v>1</v>
      </c>
      <c r="P1202" s="36">
        <f t="shared" si="187"/>
        <v>1</v>
      </c>
      <c r="Q1202" s="36">
        <f t="shared" si="187"/>
        <v>1</v>
      </c>
      <c r="R1202" s="36">
        <f t="shared" si="187"/>
        <v>1</v>
      </c>
      <c r="S1202" s="36">
        <f t="shared" si="187"/>
        <v>1</v>
      </c>
      <c r="T1202" s="36">
        <f t="shared" si="187"/>
        <v>1</v>
      </c>
      <c r="U1202" s="36">
        <f>INDEX(U1203:U1205,$G1202,0)</f>
        <v>1</v>
      </c>
      <c r="V1202" s="36">
        <f>INDEX(V1203:V1205,$G1202,0)</f>
        <v>1</v>
      </c>
      <c r="W1202" s="36">
        <f>INDEX(W1203:W1205,$G1202,0)</f>
        <v>1</v>
      </c>
    </row>
    <row r="1203" spans="3:23" outlineLevel="1">
      <c r="C1203" s="407" t="s">
        <v>840</v>
      </c>
      <c r="K1203" s="26"/>
      <c r="L1203" s="26"/>
      <c r="M1203" s="26"/>
      <c r="N1203" s="26">
        <v>1</v>
      </c>
      <c r="O1203" s="26">
        <v>1</v>
      </c>
      <c r="P1203" s="26">
        <v>1</v>
      </c>
      <c r="Q1203" s="26">
        <v>1</v>
      </c>
      <c r="R1203" s="26">
        <v>1</v>
      </c>
      <c r="S1203" s="26">
        <v>1</v>
      </c>
      <c r="T1203" s="26">
        <v>1</v>
      </c>
      <c r="U1203" s="26">
        <v>1</v>
      </c>
      <c r="V1203" s="26">
        <v>1</v>
      </c>
      <c r="W1203" s="26">
        <v>1</v>
      </c>
    </row>
    <row r="1204" spans="3:23" outlineLevel="1">
      <c r="K1204" s="26"/>
      <c r="L1204" s="26"/>
      <c r="M1204" s="26"/>
      <c r="N1204" s="26"/>
      <c r="O1204" s="26">
        <v>0.31481481481481483</v>
      </c>
      <c r="P1204" s="26">
        <v>0.7592592592592593</v>
      </c>
      <c r="Q1204" s="26">
        <v>1</v>
      </c>
      <c r="R1204" s="26">
        <v>1</v>
      </c>
      <c r="S1204" s="26">
        <v>1</v>
      </c>
      <c r="T1204" s="26">
        <v>1</v>
      </c>
      <c r="U1204" s="26">
        <v>1</v>
      </c>
      <c r="V1204" s="26">
        <v>1</v>
      </c>
      <c r="W1204" s="26">
        <v>1</v>
      </c>
    </row>
    <row r="1205" spans="3:23" outlineLevel="1"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</row>
    <row r="1206" spans="3:23" outlineLevel="1"/>
    <row r="1207" spans="3:23" outlineLevel="1">
      <c r="C1207" s="407" t="s">
        <v>618</v>
      </c>
      <c r="G1207" s="6">
        <f>$G$32</f>
        <v>1</v>
      </c>
      <c r="H1207" s="17" t="s">
        <v>325</v>
      </c>
      <c r="I1207" s="17"/>
      <c r="K1207" s="36">
        <f>INDEX(K1208:K1210,$G1207,0)</f>
        <v>0</v>
      </c>
      <c r="L1207" s="36">
        <f t="shared" ref="L1207:T1207" si="188">INDEX(L1208:L1210,$G1207,0)</f>
        <v>0.3</v>
      </c>
      <c r="M1207" s="36">
        <f t="shared" si="188"/>
        <v>0.3</v>
      </c>
      <c r="N1207" s="36">
        <f t="shared" si="188"/>
        <v>0.3</v>
      </c>
      <c r="O1207" s="36">
        <f t="shared" si="188"/>
        <v>0.3</v>
      </c>
      <c r="P1207" s="36">
        <f t="shared" si="188"/>
        <v>0.3</v>
      </c>
      <c r="Q1207" s="36">
        <f t="shared" si="188"/>
        <v>0.3</v>
      </c>
      <c r="R1207" s="36">
        <f t="shared" si="188"/>
        <v>0.3</v>
      </c>
      <c r="S1207" s="36">
        <f t="shared" si="188"/>
        <v>0.3</v>
      </c>
      <c r="T1207" s="36">
        <f t="shared" si="188"/>
        <v>0.3</v>
      </c>
      <c r="U1207" s="36">
        <f>INDEX(U1208:U1210,$G1207,0)</f>
        <v>0.3</v>
      </c>
      <c r="V1207" s="36">
        <f>INDEX(V1208:V1210,$G1207,0)</f>
        <v>0.3</v>
      </c>
      <c r="W1207" s="36">
        <f>INDEX(W1208:W1210,$G1207,0)</f>
        <v>0.3</v>
      </c>
    </row>
    <row r="1208" spans="3:23" outlineLevel="1">
      <c r="C1208" s="407" t="s">
        <v>914</v>
      </c>
      <c r="K1208" s="26"/>
      <c r="L1208" s="26">
        <v>0.3</v>
      </c>
      <c r="M1208" s="26">
        <v>0.3</v>
      </c>
      <c r="N1208" s="26">
        <v>0.3</v>
      </c>
      <c r="O1208" s="26">
        <v>0.3</v>
      </c>
      <c r="P1208" s="26">
        <v>0.3</v>
      </c>
      <c r="Q1208" s="26">
        <v>0.3</v>
      </c>
      <c r="R1208" s="26">
        <v>0.3</v>
      </c>
      <c r="S1208" s="26">
        <v>0.3</v>
      </c>
      <c r="T1208" s="26">
        <v>0.3</v>
      </c>
      <c r="U1208" s="26">
        <v>0.3</v>
      </c>
      <c r="V1208" s="26">
        <v>0.3</v>
      </c>
      <c r="W1208" s="26">
        <v>0.3</v>
      </c>
    </row>
    <row r="1209" spans="3:23" outlineLevel="1">
      <c r="K1209" s="26"/>
      <c r="L1209" s="26"/>
      <c r="M1209" s="26"/>
      <c r="N1209" s="26"/>
      <c r="O1209" s="26">
        <v>0.5</v>
      </c>
      <c r="P1209" s="26">
        <v>0.5</v>
      </c>
      <c r="Q1209" s="26">
        <v>0.5</v>
      </c>
      <c r="R1209" s="26">
        <v>0.5</v>
      </c>
      <c r="S1209" s="26">
        <v>0.5</v>
      </c>
      <c r="T1209" s="26">
        <v>0.5</v>
      </c>
      <c r="U1209" s="26">
        <v>0.5</v>
      </c>
      <c r="V1209" s="26">
        <v>0.5</v>
      </c>
      <c r="W1209" s="26">
        <v>0.5</v>
      </c>
    </row>
    <row r="1210" spans="3:23" outlineLevel="1"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</row>
    <row r="1211" spans="3:23" outlineLevel="1"/>
    <row r="1212" spans="3:23" outlineLevel="1"/>
    <row r="1213" spans="3:23" outlineLevel="1"/>
    <row r="1214" spans="3:23" ht="23.25" outlineLevel="1">
      <c r="C1214" s="59" t="s">
        <v>535</v>
      </c>
    </row>
    <row r="1215" spans="3:23" outlineLevel="1">
      <c r="C1215" s="407" t="s">
        <v>915</v>
      </c>
      <c r="G1215" s="6">
        <f>$G$32</f>
        <v>1</v>
      </c>
      <c r="H1215" s="17" t="s">
        <v>325</v>
      </c>
      <c r="I1215" s="17"/>
      <c r="K1215" s="36">
        <f>INDEX(K1216:K1218,$G1215,0)</f>
        <v>0</v>
      </c>
      <c r="L1215" s="36">
        <f t="shared" ref="L1215:T1215" si="189">INDEX(L1216:L1218,$G1215,0)</f>
        <v>0</v>
      </c>
      <c r="M1215" s="36">
        <f t="shared" si="189"/>
        <v>0</v>
      </c>
      <c r="N1215" s="36">
        <f t="shared" si="189"/>
        <v>0.18</v>
      </c>
      <c r="O1215" s="36">
        <f t="shared" si="189"/>
        <v>0.18</v>
      </c>
      <c r="P1215" s="36">
        <f t="shared" si="189"/>
        <v>0.18</v>
      </c>
      <c r="Q1215" s="36">
        <f t="shared" si="189"/>
        <v>0.18</v>
      </c>
      <c r="R1215" s="36">
        <f t="shared" si="189"/>
        <v>0.18</v>
      </c>
      <c r="S1215" s="36">
        <f t="shared" si="189"/>
        <v>0.18</v>
      </c>
      <c r="T1215" s="36">
        <f t="shared" si="189"/>
        <v>0.18</v>
      </c>
      <c r="U1215" s="36">
        <f>INDEX(U1216:U1218,$G1215,0)</f>
        <v>0.18</v>
      </c>
      <c r="V1215" s="36">
        <f>INDEX(V1216:V1218,$G1215,0)</f>
        <v>0.18</v>
      </c>
      <c r="W1215" s="36">
        <f>INDEX(W1216:W1218,$G1215,0)</f>
        <v>0.18</v>
      </c>
    </row>
    <row r="1216" spans="3:23" outlineLevel="1">
      <c r="C1216" s="407" t="s">
        <v>840</v>
      </c>
      <c r="K1216" s="26"/>
      <c r="L1216" s="26"/>
      <c r="M1216" s="26"/>
      <c r="N1216" s="26">
        <v>0.18</v>
      </c>
      <c r="O1216" s="26">
        <v>0.18</v>
      </c>
      <c r="P1216" s="26">
        <v>0.18</v>
      </c>
      <c r="Q1216" s="26">
        <v>0.18</v>
      </c>
      <c r="R1216" s="26">
        <v>0.18</v>
      </c>
      <c r="S1216" s="26">
        <v>0.18</v>
      </c>
      <c r="T1216" s="26">
        <v>0.18</v>
      </c>
      <c r="U1216" s="26">
        <v>0.18</v>
      </c>
      <c r="V1216" s="26">
        <v>0.18</v>
      </c>
      <c r="W1216" s="26">
        <v>0.18</v>
      </c>
    </row>
    <row r="1217" spans="3:23" outlineLevel="1"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</row>
    <row r="1218" spans="3:23" outlineLevel="1"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</row>
    <row r="1219" spans="3:23" outlineLevel="1"/>
    <row r="1222" spans="3:23" ht="24" thickBot="1">
      <c r="C1222" s="14" t="s">
        <v>300</v>
      </c>
      <c r="D1222" s="14"/>
      <c r="E1222" s="14"/>
      <c r="F1222" s="14"/>
      <c r="G1222" s="14"/>
      <c r="H1222" s="14"/>
      <c r="I1222" s="14"/>
      <c r="J1222" s="14"/>
      <c r="K1222" s="14"/>
      <c r="L1222" s="14"/>
      <c r="M1222" s="14"/>
      <c r="N1222" s="14"/>
      <c r="O1222" s="14"/>
      <c r="P1222" s="14"/>
      <c r="Q1222" s="14"/>
      <c r="R1222" s="14"/>
      <c r="S1222" s="14"/>
      <c r="T1222" s="14"/>
      <c r="U1222" s="14"/>
      <c r="V1222" s="14"/>
      <c r="W1222" s="14"/>
    </row>
    <row r="1224" spans="3:23">
      <c r="C1224" s="407" t="s">
        <v>303</v>
      </c>
      <c r="G1224" s="6">
        <v>1</v>
      </c>
      <c r="J1224" s="27">
        <f>INDEX(K1224:P1224,,$G1224)</f>
        <v>0</v>
      </c>
      <c r="K1224" s="26"/>
      <c r="L1224" s="19"/>
      <c r="M1224" s="19"/>
      <c r="N1224" s="19"/>
      <c r="O1224" s="19"/>
      <c r="P1224" s="19"/>
    </row>
    <row r="1225" spans="3:23">
      <c r="C1225" s="407" t="s">
        <v>308</v>
      </c>
      <c r="G1225" s="6">
        <v>1</v>
      </c>
      <c r="J1225" s="27">
        <f>INDEX(K1225:P1225,,$G1225)</f>
        <v>0</v>
      </c>
      <c r="K1225" s="26"/>
      <c r="L1225" s="19"/>
      <c r="M1225" s="19"/>
      <c r="N1225" s="19"/>
      <c r="O1225" s="19"/>
      <c r="P1225" s="19"/>
    </row>
    <row r="1226" spans="3:23">
      <c r="C1226" s="407" t="s">
        <v>310</v>
      </c>
      <c r="G1226" s="6">
        <v>1</v>
      </c>
      <c r="J1226" s="27">
        <f>INDEX(K1226:P1226,,$G1226)</f>
        <v>0</v>
      </c>
      <c r="K1226" s="26"/>
      <c r="L1226" s="19"/>
      <c r="M1226" s="19"/>
      <c r="N1226" s="19"/>
      <c r="O1226" s="19"/>
      <c r="P1226" s="19"/>
    </row>
    <row r="1229" spans="3:23">
      <c r="C1229" s="407" t="s">
        <v>916</v>
      </c>
      <c r="G1229" s="6">
        <v>1</v>
      </c>
      <c r="J1229" s="27">
        <f>INDEX(K1229:P1229,,$G1229)</f>
        <v>0</v>
      </c>
      <c r="K1229" s="24"/>
      <c r="L1229" s="19"/>
      <c r="M1229" s="19"/>
      <c r="N1229" s="19"/>
      <c r="O1229" s="19"/>
      <c r="P1229" s="19"/>
    </row>
    <row r="1232" spans="3:23">
      <c r="C1232" s="407" t="s">
        <v>917</v>
      </c>
      <c r="G1232" s="6">
        <v>1</v>
      </c>
      <c r="J1232" s="27">
        <f>INDEX(K1232:P1232,,$G1232)</f>
        <v>0</v>
      </c>
      <c r="K1232" s="30"/>
      <c r="L1232" s="19"/>
      <c r="M1232" s="19"/>
      <c r="N1232" s="19"/>
      <c r="O1232" s="19"/>
      <c r="P1232" s="19"/>
    </row>
    <row r="1234" spans="2:23" ht="24" thickBot="1">
      <c r="C1234" s="14" t="s">
        <v>918</v>
      </c>
      <c r="D1234" s="14"/>
      <c r="E1234" s="14"/>
      <c r="F1234" s="14"/>
      <c r="G1234" s="14"/>
      <c r="H1234" s="14"/>
      <c r="I1234" s="14"/>
      <c r="J1234" s="14"/>
      <c r="K1234" s="14"/>
      <c r="L1234" s="14"/>
      <c r="M1234" s="14"/>
      <c r="N1234" s="14"/>
      <c r="O1234" s="14"/>
      <c r="P1234" s="14"/>
      <c r="Q1234" s="14"/>
      <c r="R1234" s="14"/>
      <c r="S1234" s="14"/>
      <c r="T1234" s="14"/>
      <c r="U1234" s="14"/>
      <c r="V1234" s="14"/>
      <c r="W1234" s="14"/>
    </row>
    <row r="1237" spans="2:23">
      <c r="C1237" s="407" t="s">
        <v>919</v>
      </c>
      <c r="G1237" s="6">
        <v>1</v>
      </c>
      <c r="H1237" s="17" t="s">
        <v>176</v>
      </c>
      <c r="J1237" s="27">
        <f t="shared" ref="J1237:J1243" si="190">INDEX(K1237:P1237,,$G1237)</f>
        <v>12</v>
      </c>
      <c r="K1237" s="30">
        <v>12</v>
      </c>
      <c r="L1237" s="30"/>
      <c r="M1237" s="30"/>
      <c r="N1237" s="30"/>
      <c r="O1237" s="30"/>
      <c r="P1237" s="19"/>
    </row>
    <row r="1238" spans="2:23">
      <c r="B1238" t="s">
        <v>397</v>
      </c>
      <c r="C1238" t="s">
        <v>920</v>
      </c>
      <c r="G1238" s="6">
        <v>1</v>
      </c>
      <c r="H1238" s="17" t="s">
        <v>176</v>
      </c>
      <c r="J1238" s="27">
        <f t="shared" si="190"/>
        <v>8</v>
      </c>
      <c r="K1238" s="30">
        <v>8</v>
      </c>
      <c r="L1238" s="30"/>
      <c r="M1238" s="30"/>
      <c r="N1238" s="30"/>
      <c r="O1238" s="30"/>
      <c r="P1238" s="19"/>
    </row>
    <row r="1239" spans="2:23">
      <c r="B1239" t="s">
        <v>397</v>
      </c>
      <c r="C1239" t="s">
        <v>921</v>
      </c>
      <c r="G1239" s="6">
        <v>1</v>
      </c>
      <c r="H1239" s="17" t="s">
        <v>176</v>
      </c>
      <c r="J1239" s="27">
        <f t="shared" si="190"/>
        <v>14</v>
      </c>
      <c r="K1239" s="30">
        <v>14</v>
      </c>
      <c r="L1239" s="30"/>
      <c r="M1239" s="30"/>
      <c r="N1239" s="30"/>
      <c r="O1239" s="30"/>
      <c r="P1239" s="19"/>
    </row>
    <row r="1240" spans="2:23">
      <c r="C1240" t="s">
        <v>391</v>
      </c>
      <c r="G1240" s="6">
        <v>1</v>
      </c>
      <c r="H1240" s="17" t="s">
        <v>176</v>
      </c>
      <c r="J1240" s="27">
        <f t="shared" si="190"/>
        <v>20</v>
      </c>
      <c r="K1240" s="30">
        <v>20</v>
      </c>
      <c r="L1240" s="30"/>
      <c r="M1240" s="30"/>
      <c r="N1240" s="30"/>
      <c r="O1240" s="30"/>
      <c r="P1240" s="19"/>
    </row>
    <row r="1241" spans="2:23">
      <c r="C1241" t="s">
        <v>297</v>
      </c>
      <c r="G1241" s="6">
        <v>2</v>
      </c>
      <c r="H1241" s="17" t="s">
        <v>176</v>
      </c>
      <c r="J1241" s="27">
        <f t="shared" si="190"/>
        <v>5</v>
      </c>
      <c r="K1241" s="30">
        <v>17</v>
      </c>
      <c r="L1241" s="30">
        <v>5</v>
      </c>
      <c r="M1241" s="30"/>
      <c r="N1241" s="30"/>
      <c r="O1241" s="30"/>
      <c r="P1241" s="19"/>
    </row>
    <row r="1242" spans="2:23">
      <c r="B1242" t="s">
        <v>922</v>
      </c>
      <c r="C1242" t="s">
        <v>299</v>
      </c>
      <c r="G1242" s="6">
        <v>1</v>
      </c>
      <c r="H1242" s="17" t="s">
        <v>176</v>
      </c>
      <c r="I1242" s="99">
        <f>J1242*USD_IDR*Million</f>
        <v>813650000000</v>
      </c>
      <c r="J1242" s="27">
        <f t="shared" si="190"/>
        <v>50.024592683676609</v>
      </c>
      <c r="K1242" s="30">
        <f>108-58+K1276</f>
        <v>50.024592683676609</v>
      </c>
      <c r="L1242" s="30"/>
      <c r="M1242" s="30"/>
      <c r="N1242" s="30"/>
      <c r="O1242" s="30"/>
      <c r="P1242" s="19"/>
    </row>
    <row r="1243" spans="2:23">
      <c r="C1243" t="s">
        <v>923</v>
      </c>
      <c r="G1243" s="6">
        <v>1</v>
      </c>
      <c r="H1243" s="17" t="s">
        <v>176</v>
      </c>
      <c r="J1243" s="27">
        <f t="shared" si="190"/>
        <v>120</v>
      </c>
      <c r="K1243" s="30">
        <v>120</v>
      </c>
      <c r="L1243" s="30"/>
      <c r="M1243" s="30"/>
      <c r="N1243" s="30"/>
      <c r="O1243" s="30"/>
      <c r="P1243" s="19"/>
    </row>
    <row r="1246" spans="2:23">
      <c r="H1246" s="17" t="s">
        <v>922</v>
      </c>
      <c r="I1246" t="s">
        <v>924</v>
      </c>
      <c r="J1246">
        <v>957</v>
      </c>
      <c r="K1246" t="s">
        <v>150</v>
      </c>
      <c r="L1246" s="314">
        <f>J1246/1756</f>
        <v>0.54498861047835989</v>
      </c>
    </row>
    <row r="1247" spans="2:23">
      <c r="I1247" t="s">
        <v>925</v>
      </c>
      <c r="J1247">
        <v>57</v>
      </c>
    </row>
    <row r="1248" spans="2:23">
      <c r="I1248" t="s">
        <v>818</v>
      </c>
      <c r="J1248">
        <v>1600</v>
      </c>
    </row>
    <row r="1249" spans="3:23">
      <c r="H1249" t="s">
        <v>922</v>
      </c>
      <c r="I1249" t="s">
        <v>926</v>
      </c>
      <c r="J1249">
        <v>560</v>
      </c>
    </row>
    <row r="1250" spans="3:23">
      <c r="I1250" t="s">
        <v>927</v>
      </c>
      <c r="J1250">
        <v>30</v>
      </c>
    </row>
    <row r="1251" spans="3:23">
      <c r="I1251" t="s">
        <v>928</v>
      </c>
      <c r="J1251">
        <v>20</v>
      </c>
    </row>
    <row r="1252" spans="3:23">
      <c r="I1252" t="s">
        <v>929</v>
      </c>
      <c r="J1252">
        <v>15</v>
      </c>
    </row>
    <row r="1253" spans="3:23">
      <c r="I1253" t="s">
        <v>930</v>
      </c>
      <c r="J1253">
        <v>2</v>
      </c>
      <c r="O1253">
        <f>USD_IDR</f>
        <v>16265</v>
      </c>
    </row>
    <row r="1254" spans="3:23">
      <c r="J1254">
        <f>SUM(J1246:J1253)</f>
        <v>3241</v>
      </c>
    </row>
    <row r="1257" spans="3:23">
      <c r="C1257" s="455" t="s">
        <v>391</v>
      </c>
    </row>
    <row r="1258" spans="3:23" outlineLevel="1">
      <c r="C1258" s="407" t="s">
        <v>324</v>
      </c>
      <c r="G1258" s="6">
        <f>$G$32</f>
        <v>1</v>
      </c>
      <c r="H1258" s="17" t="s">
        <v>325</v>
      </c>
      <c r="I1258" s="17"/>
      <c r="J1258">
        <f>SUM(K1258:W1258)</f>
        <v>6.8095238095238102</v>
      </c>
      <c r="K1258" s="456">
        <f>INDEX(K1259:K1261,$G1258,0)</f>
        <v>0</v>
      </c>
      <c r="L1258" s="36">
        <f t="shared" ref="L1258:U1258" si="191">INDEX(L1259:L1261,$G1258,0)</f>
        <v>0</v>
      </c>
      <c r="M1258" s="456">
        <f t="shared" si="191"/>
        <v>6.8095238095238102</v>
      </c>
      <c r="N1258" s="36">
        <f t="shared" si="191"/>
        <v>0</v>
      </c>
      <c r="O1258" s="36">
        <f t="shared" si="191"/>
        <v>0</v>
      </c>
      <c r="P1258" s="36">
        <f t="shared" si="191"/>
        <v>0</v>
      </c>
      <c r="Q1258" s="36">
        <f t="shared" si="191"/>
        <v>0</v>
      </c>
      <c r="R1258" s="36">
        <f t="shared" si="191"/>
        <v>0</v>
      </c>
      <c r="S1258" s="36">
        <f t="shared" si="191"/>
        <v>0</v>
      </c>
      <c r="T1258" s="36">
        <f t="shared" si="191"/>
        <v>0</v>
      </c>
      <c r="U1258" s="36">
        <f t="shared" si="191"/>
        <v>0</v>
      </c>
      <c r="V1258" s="36">
        <f>INDEX(V1259:V1261,$G1258,0)</f>
        <v>0</v>
      </c>
      <c r="W1258" s="36">
        <f>INDEX(W1259:W1261,$G1258,0)</f>
        <v>0</v>
      </c>
    </row>
    <row r="1259" spans="3:23" outlineLevel="1">
      <c r="C1259" s="407" t="s">
        <v>840</v>
      </c>
      <c r="K1259" s="26"/>
      <c r="L1259" s="26"/>
      <c r="M1259" s="26">
        <f>6.5+0.30952380952381</f>
        <v>6.8095238095238102</v>
      </c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</row>
    <row r="1260" spans="3:23" outlineLevel="1"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</row>
    <row r="1261" spans="3:23" outlineLevel="1"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</row>
    <row r="1263" spans="3:23">
      <c r="C1263" s="407" t="s">
        <v>931</v>
      </c>
    </row>
    <row r="1264" spans="3:23" outlineLevel="1">
      <c r="C1264" s="407" t="s">
        <v>324</v>
      </c>
      <c r="G1264" s="6">
        <f>$G$32</f>
        <v>1</v>
      </c>
      <c r="H1264" s="17" t="s">
        <v>325</v>
      </c>
      <c r="I1264" s="17"/>
      <c r="J1264" s="462">
        <f>SUM(K1264:W1264)</f>
        <v>3.7622963418383031</v>
      </c>
      <c r="K1264" s="36">
        <f>INDEX(K1265:K1267,$G1264,0)</f>
        <v>0</v>
      </c>
      <c r="L1264" s="36">
        <f t="shared" ref="L1264:U1264" si="192">INDEX(L1265:L1267,$G1264,0)</f>
        <v>0</v>
      </c>
      <c r="M1264" s="456">
        <f t="shared" si="192"/>
        <v>3.7622963418383031</v>
      </c>
      <c r="N1264" s="36">
        <f t="shared" si="192"/>
        <v>0</v>
      </c>
      <c r="O1264" s="36">
        <f t="shared" si="192"/>
        <v>0</v>
      </c>
      <c r="P1264" s="36">
        <f t="shared" si="192"/>
        <v>0</v>
      </c>
      <c r="Q1264" s="36">
        <f t="shared" si="192"/>
        <v>0</v>
      </c>
      <c r="R1264" s="36">
        <f t="shared" si="192"/>
        <v>0</v>
      </c>
      <c r="S1264" s="36">
        <f t="shared" si="192"/>
        <v>0</v>
      </c>
      <c r="T1264" s="36">
        <f t="shared" si="192"/>
        <v>0</v>
      </c>
      <c r="U1264" s="36">
        <f t="shared" si="192"/>
        <v>0</v>
      </c>
      <c r="V1264" s="36">
        <f>INDEX(V1265:V1267,$G1264,0)</f>
        <v>0</v>
      </c>
      <c r="W1264" s="36">
        <f>INDEX(W1265:W1267,$G1264,0)</f>
        <v>0</v>
      </c>
    </row>
    <row r="1265" spans="3:23" outlineLevel="1">
      <c r="C1265" s="407" t="s">
        <v>840</v>
      </c>
      <c r="K1265" s="26"/>
      <c r="L1265" s="26"/>
      <c r="M1265" s="26">
        <f>(7.5+K1276)/2</f>
        <v>3.7622963418383031</v>
      </c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</row>
    <row r="1266" spans="3:23" outlineLevel="1"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</row>
    <row r="1267" spans="3:23" outlineLevel="1"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</row>
    <row r="1269" spans="3:23">
      <c r="C1269" s="407" t="s">
        <v>932</v>
      </c>
    </row>
    <row r="1270" spans="3:23" outlineLevel="1">
      <c r="C1270" s="407" t="s">
        <v>324</v>
      </c>
      <c r="G1270" s="6">
        <f>$G$32</f>
        <v>1</v>
      </c>
      <c r="H1270" s="17" t="s">
        <v>325</v>
      </c>
      <c r="I1270" s="17"/>
      <c r="J1270">
        <f>SUM(K1270:W1270)</f>
        <v>6.0245926836766062</v>
      </c>
      <c r="K1270" s="36">
        <f>INDEX(K1271:K1273,$G1270,0)</f>
        <v>0</v>
      </c>
      <c r="L1270" s="36">
        <f t="shared" ref="L1270:U1270" si="193">INDEX(L1271:L1273,$G1270,0)</f>
        <v>0</v>
      </c>
      <c r="M1270" s="36">
        <f t="shared" si="193"/>
        <v>6.0245926836766062</v>
      </c>
      <c r="N1270" s="36">
        <f t="shared" si="193"/>
        <v>0</v>
      </c>
      <c r="O1270" s="36">
        <f t="shared" si="193"/>
        <v>0</v>
      </c>
      <c r="P1270" s="36">
        <f t="shared" si="193"/>
        <v>0</v>
      </c>
      <c r="Q1270" s="36">
        <f t="shared" si="193"/>
        <v>0</v>
      </c>
      <c r="R1270" s="36">
        <f t="shared" si="193"/>
        <v>0</v>
      </c>
      <c r="S1270" s="36">
        <f t="shared" si="193"/>
        <v>0</v>
      </c>
      <c r="T1270" s="36">
        <f t="shared" si="193"/>
        <v>0</v>
      </c>
      <c r="U1270" s="36">
        <f t="shared" si="193"/>
        <v>0</v>
      </c>
      <c r="V1270" s="36">
        <f>INDEX(V1271:V1273,$G1270,0)</f>
        <v>0</v>
      </c>
      <c r="W1270" s="36">
        <f>INDEX(W1271:W1273,$G1270,0)</f>
        <v>0</v>
      </c>
    </row>
    <row r="1271" spans="3:23" outlineLevel="1">
      <c r="C1271" s="407" t="s">
        <v>840</v>
      </c>
      <c r="K1271" s="26"/>
      <c r="L1271" s="26"/>
      <c r="M1271" s="26">
        <f>6+K1276</f>
        <v>6.0245926836766062</v>
      </c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</row>
    <row r="1272" spans="3:23" outlineLevel="1"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</row>
    <row r="1273" spans="3:23" outlineLevel="1"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</row>
    <row r="1275" spans="3:23">
      <c r="C1275" t="s">
        <v>933</v>
      </c>
      <c r="K1275" s="30">
        <f>2*Billion/USD_IDR/Million</f>
        <v>0.12296341838303106</v>
      </c>
    </row>
    <row r="1276" spans="3:23">
      <c r="C1276" t="s">
        <v>517</v>
      </c>
      <c r="K1276" s="22">
        <f>K1275/5</f>
        <v>2.4592683676606213E-2</v>
      </c>
    </row>
  </sheetData>
  <conditionalFormatting sqref="K11:W11">
    <cfRule type="cellIs" dxfId="36" priority="2" operator="equal">
      <formula>1</formula>
    </cfRule>
  </conditionalFormatting>
  <conditionalFormatting sqref="K12:W12">
    <cfRule type="cellIs" dxfId="35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558B2-F347-4CDC-8992-1A64EA8EC899}">
  <sheetPr codeName="Sheet7">
    <tabColor theme="9" tint="0.39997558519241921"/>
  </sheetPr>
  <dimension ref="A1:V1560"/>
  <sheetViews>
    <sheetView showGridLines="0" zoomScale="87" zoomScaleNormal="87" workbookViewId="0">
      <pane xSplit="9" ySplit="15" topLeftCell="J16" activePane="bottomRight" state="frozen"/>
      <selection pane="topRight" activeCell="G206" sqref="G206"/>
      <selection pane="bottomLeft" activeCell="G206" sqref="G206"/>
      <selection pane="bottomRight" activeCell="J21" sqref="J21"/>
    </sheetView>
  </sheetViews>
  <sheetFormatPr defaultColWidth="0" defaultRowHeight="15"/>
  <cols>
    <col min="1" max="1" width="3" customWidth="1"/>
    <col min="2" max="4" width="9.140625" customWidth="1"/>
    <col min="5" max="5" width="15.28515625" customWidth="1"/>
    <col min="6" max="6" width="15.42578125" bestFit="1" customWidth="1"/>
    <col min="7" max="7" width="15.28515625" style="17" customWidth="1"/>
    <col min="8" max="8" width="35.42578125" customWidth="1"/>
    <col min="9" max="9" width="13.28515625" bestFit="1" customWidth="1"/>
    <col min="10" max="22" width="14.42578125" customWidth="1"/>
    <col min="23" max="23" width="10.5703125" customWidth="1"/>
  </cols>
  <sheetData>
    <row r="1" spans="2:22" s="3" customFormat="1" ht="23.25">
      <c r="B1" s="4" t="s">
        <v>459</v>
      </c>
    </row>
    <row r="2" spans="2:22" ht="15.75">
      <c r="B2" s="5" t="s">
        <v>460</v>
      </c>
      <c r="G2"/>
    </row>
    <row r="3" spans="2:22">
      <c r="G3"/>
    </row>
    <row r="4" spans="2:22">
      <c r="B4" t="s">
        <v>29</v>
      </c>
      <c r="D4" s="6">
        <v>1</v>
      </c>
      <c r="G4"/>
    </row>
    <row r="5" spans="2:22">
      <c r="B5" s="455" t="s">
        <v>819</v>
      </c>
      <c r="D5" s="6">
        <v>0</v>
      </c>
      <c r="G5"/>
      <c r="J5" s="438"/>
      <c r="K5" s="438"/>
      <c r="L5" s="438" t="s">
        <v>790</v>
      </c>
      <c r="M5" s="438" t="str">
        <f>"Y"&amp;SUM($M$13:M13)</f>
        <v>Y1</v>
      </c>
      <c r="N5" s="438" t="str">
        <f>"Y"&amp;SUM($M$13:N13)</f>
        <v>Y2</v>
      </c>
      <c r="O5" s="438" t="str">
        <f>"Y"&amp;SUM($M$13:O13)</f>
        <v>Y3</v>
      </c>
      <c r="P5" s="438" t="str">
        <f>"Y"&amp;SUM($M$13:P13)</f>
        <v>Y4</v>
      </c>
      <c r="Q5" s="438" t="str">
        <f>"Y"&amp;SUM($M$13:Q13)</f>
        <v>Y5</v>
      </c>
      <c r="R5" s="438" t="str">
        <f>"Y"&amp;SUM($M$13:R13)</f>
        <v>Y6</v>
      </c>
      <c r="S5" s="438" t="str">
        <f>"Y"&amp;SUM($M$13:S13)</f>
        <v>Y7</v>
      </c>
      <c r="T5" s="438" t="str">
        <f>"Y"&amp;SUM($M$13:T13)</f>
        <v>Y8</v>
      </c>
      <c r="U5" s="438" t="str">
        <f>"Y"&amp;SUM($M$13:U13)</f>
        <v>Y9</v>
      </c>
      <c r="V5" s="438" t="str">
        <f>"Y"&amp;SUM($M$13:V13)</f>
        <v>Y10</v>
      </c>
    </row>
    <row r="6" spans="2:22">
      <c r="B6" t="s">
        <v>30</v>
      </c>
      <c r="G6"/>
      <c r="J6" s="7">
        <f>I7+1</f>
        <v>45292</v>
      </c>
      <c r="K6" s="7">
        <f t="shared" ref="K6:V6" si="0">J7+1</f>
        <v>45658</v>
      </c>
      <c r="L6" s="7">
        <f t="shared" si="0"/>
        <v>46023</v>
      </c>
      <c r="M6" s="7">
        <f t="shared" si="0"/>
        <v>46388</v>
      </c>
      <c r="N6" s="7">
        <f t="shared" si="0"/>
        <v>46753</v>
      </c>
      <c r="O6" s="7">
        <f t="shared" si="0"/>
        <v>47119</v>
      </c>
      <c r="P6" s="7">
        <f t="shared" si="0"/>
        <v>47484</v>
      </c>
      <c r="Q6" s="7">
        <f t="shared" si="0"/>
        <v>47849</v>
      </c>
      <c r="R6" s="7">
        <f t="shared" si="0"/>
        <v>48214</v>
      </c>
      <c r="S6" s="7">
        <f t="shared" si="0"/>
        <v>48580</v>
      </c>
      <c r="T6" s="7">
        <f t="shared" si="0"/>
        <v>48945</v>
      </c>
      <c r="U6" s="7">
        <f t="shared" si="0"/>
        <v>49310</v>
      </c>
      <c r="V6" s="7">
        <f t="shared" si="0"/>
        <v>49675</v>
      </c>
    </row>
    <row r="7" spans="2:22">
      <c r="B7" t="s">
        <v>31</v>
      </c>
      <c r="G7"/>
      <c r="I7" s="8">
        <v>45291</v>
      </c>
      <c r="J7" s="7">
        <f>EOMONTH(J6,12-1)</f>
        <v>45657</v>
      </c>
      <c r="K7" s="7">
        <f t="shared" ref="K7:V7" si="1">EOMONTH(K6,12-1)</f>
        <v>46022</v>
      </c>
      <c r="L7" s="7">
        <f t="shared" si="1"/>
        <v>46387</v>
      </c>
      <c r="M7" s="7">
        <f t="shared" si="1"/>
        <v>46752</v>
      </c>
      <c r="N7" s="7">
        <f t="shared" si="1"/>
        <v>47118</v>
      </c>
      <c r="O7" s="7">
        <f t="shared" si="1"/>
        <v>47483</v>
      </c>
      <c r="P7" s="7">
        <f t="shared" si="1"/>
        <v>47848</v>
      </c>
      <c r="Q7" s="7">
        <f t="shared" si="1"/>
        <v>48213</v>
      </c>
      <c r="R7" s="7">
        <f t="shared" si="1"/>
        <v>48579</v>
      </c>
      <c r="S7" s="7">
        <f t="shared" si="1"/>
        <v>48944</v>
      </c>
      <c r="T7" s="7">
        <f t="shared" si="1"/>
        <v>49309</v>
      </c>
      <c r="U7" s="7">
        <f t="shared" si="1"/>
        <v>49674</v>
      </c>
      <c r="V7" s="7">
        <f t="shared" si="1"/>
        <v>50040</v>
      </c>
    </row>
    <row r="8" spans="2:22">
      <c r="B8" t="s">
        <v>32</v>
      </c>
      <c r="G8"/>
      <c r="I8" s="9">
        <f>YEAR(I7)</f>
        <v>2023</v>
      </c>
      <c r="J8" s="9">
        <f>YEAR(J7)</f>
        <v>2024</v>
      </c>
      <c r="K8" s="9">
        <f t="shared" ref="K8:V8" si="2">YEAR(K7)</f>
        <v>2025</v>
      </c>
      <c r="L8" s="9">
        <f t="shared" si="2"/>
        <v>2026</v>
      </c>
      <c r="M8" s="9">
        <f t="shared" si="2"/>
        <v>2027</v>
      </c>
      <c r="N8" s="9">
        <f t="shared" si="2"/>
        <v>2028</v>
      </c>
      <c r="O8" s="9">
        <f t="shared" si="2"/>
        <v>2029</v>
      </c>
      <c r="P8" s="9">
        <f t="shared" si="2"/>
        <v>2030</v>
      </c>
      <c r="Q8" s="9">
        <f t="shared" si="2"/>
        <v>2031</v>
      </c>
      <c r="R8" s="9">
        <f t="shared" si="2"/>
        <v>2032</v>
      </c>
      <c r="S8" s="9">
        <f t="shared" si="2"/>
        <v>2033</v>
      </c>
      <c r="T8" s="9">
        <f t="shared" si="2"/>
        <v>2034</v>
      </c>
      <c r="U8" s="9">
        <f t="shared" si="2"/>
        <v>2035</v>
      </c>
      <c r="V8" s="9">
        <f t="shared" si="2"/>
        <v>2036</v>
      </c>
    </row>
    <row r="9" spans="2:22">
      <c r="B9" t="s">
        <v>33</v>
      </c>
      <c r="G9"/>
      <c r="J9" s="10">
        <f>J7-J6+1</f>
        <v>366</v>
      </c>
      <c r="K9" s="10">
        <f t="shared" ref="K9:V9" si="3">K7-K6+1</f>
        <v>365</v>
      </c>
      <c r="L9" s="10">
        <f t="shared" si="3"/>
        <v>365</v>
      </c>
      <c r="M9" s="10">
        <f t="shared" si="3"/>
        <v>365</v>
      </c>
      <c r="N9" s="10">
        <f t="shared" si="3"/>
        <v>366</v>
      </c>
      <c r="O9" s="10">
        <f t="shared" si="3"/>
        <v>365</v>
      </c>
      <c r="P9" s="10">
        <f t="shared" si="3"/>
        <v>365</v>
      </c>
      <c r="Q9" s="10">
        <f t="shared" si="3"/>
        <v>365</v>
      </c>
      <c r="R9" s="10">
        <f t="shared" si="3"/>
        <v>366</v>
      </c>
      <c r="S9" s="10">
        <f t="shared" si="3"/>
        <v>365</v>
      </c>
      <c r="T9" s="10">
        <f t="shared" si="3"/>
        <v>365</v>
      </c>
      <c r="U9" s="10">
        <f t="shared" si="3"/>
        <v>365</v>
      </c>
      <c r="V9" s="10">
        <f t="shared" si="3"/>
        <v>366</v>
      </c>
    </row>
    <row r="10" spans="2:22">
      <c r="E10" s="11" t="s">
        <v>34</v>
      </c>
      <c r="F10" s="11" t="s">
        <v>35</v>
      </c>
      <c r="G10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</row>
    <row r="11" spans="2:22">
      <c r="B11" s="407" t="s">
        <v>36</v>
      </c>
      <c r="E11" s="12">
        <f>I7</f>
        <v>45291</v>
      </c>
      <c r="F11" s="12">
        <f>E11</f>
        <v>45291</v>
      </c>
      <c r="G11"/>
      <c r="J11" s="13">
        <f t="shared" ref="J11:V11" si="4">IF(J7=$F$11,1,0)</f>
        <v>0</v>
      </c>
      <c r="K11" s="13">
        <f t="shared" si="4"/>
        <v>0</v>
      </c>
      <c r="L11" s="13">
        <f t="shared" si="4"/>
        <v>0</v>
      </c>
      <c r="M11" s="13">
        <f t="shared" si="4"/>
        <v>0</v>
      </c>
      <c r="N11" s="13">
        <f t="shared" si="4"/>
        <v>0</v>
      </c>
      <c r="O11" s="13">
        <f t="shared" si="4"/>
        <v>0</v>
      </c>
      <c r="P11" s="13">
        <f t="shared" si="4"/>
        <v>0</v>
      </c>
      <c r="Q11" s="13">
        <f t="shared" si="4"/>
        <v>0</v>
      </c>
      <c r="R11" s="13">
        <f t="shared" si="4"/>
        <v>0</v>
      </c>
      <c r="S11" s="13">
        <f t="shared" si="4"/>
        <v>0</v>
      </c>
      <c r="T11" s="13">
        <f t="shared" si="4"/>
        <v>0</v>
      </c>
      <c r="U11" s="13">
        <f t="shared" si="4"/>
        <v>0</v>
      </c>
      <c r="V11" s="13">
        <f t="shared" si="4"/>
        <v>0</v>
      </c>
    </row>
    <row r="12" spans="2:22">
      <c r="B12" t="s">
        <v>37</v>
      </c>
      <c r="E12" s="12">
        <f>J6</f>
        <v>45292</v>
      </c>
      <c r="F12" s="12">
        <f>EOMONTH(E12,12*13-1)</f>
        <v>50040</v>
      </c>
      <c r="G12"/>
      <c r="J12" s="71">
        <f>IF(J11=1,0,IF(J7&gt;$F$12,0,1))</f>
        <v>1</v>
      </c>
      <c r="K12" s="71">
        <f>IF(K11=1,0,IF(K7&gt;$F$12,0,1))</f>
        <v>1</v>
      </c>
      <c r="L12" s="71">
        <f t="shared" ref="L12:V12" si="5">IF(L11=1,0,IF(L7&gt;$F$12,0,1))</f>
        <v>1</v>
      </c>
      <c r="M12" s="71">
        <f t="shared" si="5"/>
        <v>1</v>
      </c>
      <c r="N12" s="71">
        <f t="shared" si="5"/>
        <v>1</v>
      </c>
      <c r="O12" s="71">
        <f t="shared" si="5"/>
        <v>1</v>
      </c>
      <c r="P12" s="71">
        <f t="shared" si="5"/>
        <v>1</v>
      </c>
      <c r="Q12" s="13">
        <f t="shared" si="5"/>
        <v>1</v>
      </c>
      <c r="R12" s="71">
        <f t="shared" si="5"/>
        <v>1</v>
      </c>
      <c r="S12" s="13">
        <f t="shared" si="5"/>
        <v>1</v>
      </c>
      <c r="T12" s="71">
        <f t="shared" si="5"/>
        <v>1</v>
      </c>
      <c r="U12" s="13">
        <f t="shared" si="5"/>
        <v>1</v>
      </c>
      <c r="V12" s="13">
        <f t="shared" si="5"/>
        <v>1</v>
      </c>
    </row>
    <row r="13" spans="2:22">
      <c r="B13" t="s">
        <v>791</v>
      </c>
      <c r="E13" s="12">
        <v>46388</v>
      </c>
      <c r="F13" s="12">
        <f>F12</f>
        <v>50040</v>
      </c>
      <c r="G13"/>
      <c r="J13" s="13">
        <f>IF(J7&gt;=$E$13,1,0)*J12</f>
        <v>0</v>
      </c>
      <c r="K13" s="13">
        <f t="shared" ref="K13:V13" si="6">IF(K7&gt;=$E$13,1,0)*K12</f>
        <v>0</v>
      </c>
      <c r="L13" s="13">
        <f t="shared" si="6"/>
        <v>0</v>
      </c>
      <c r="M13" s="13">
        <f t="shared" si="6"/>
        <v>1</v>
      </c>
      <c r="N13" s="13">
        <f t="shared" si="6"/>
        <v>1</v>
      </c>
      <c r="O13" s="13">
        <f t="shared" si="6"/>
        <v>1</v>
      </c>
      <c r="P13" s="13">
        <f t="shared" si="6"/>
        <v>1</v>
      </c>
      <c r="Q13" s="13">
        <f t="shared" si="6"/>
        <v>1</v>
      </c>
      <c r="R13" s="13">
        <f t="shared" si="6"/>
        <v>1</v>
      </c>
      <c r="S13" s="13">
        <f t="shared" si="6"/>
        <v>1</v>
      </c>
      <c r="T13" s="13">
        <f t="shared" si="6"/>
        <v>1</v>
      </c>
      <c r="U13" s="13">
        <f t="shared" si="6"/>
        <v>1</v>
      </c>
      <c r="V13" s="13">
        <f t="shared" si="6"/>
        <v>1</v>
      </c>
    </row>
    <row r="14" spans="2:22">
      <c r="F14" s="7"/>
      <c r="G14"/>
    </row>
    <row r="15" spans="2:22">
      <c r="B15" t="s">
        <v>38</v>
      </c>
      <c r="G15"/>
      <c r="J15">
        <f>SUM($J$12:J12)</f>
        <v>1</v>
      </c>
      <c r="K15">
        <f>SUM($J$12:K12)</f>
        <v>2</v>
      </c>
      <c r="L15">
        <f>SUM($J$12:L12)</f>
        <v>3</v>
      </c>
      <c r="M15">
        <f>SUM($J$12:M12)</f>
        <v>4</v>
      </c>
      <c r="N15">
        <f>SUM($J$12:N12)</f>
        <v>5</v>
      </c>
      <c r="O15">
        <f>SUM($J$12:O12)</f>
        <v>6</v>
      </c>
      <c r="P15">
        <f>SUM($J$12:P12)</f>
        <v>7</v>
      </c>
      <c r="Q15">
        <f>SUM($J$12:Q12)</f>
        <v>8</v>
      </c>
      <c r="R15">
        <f>SUM($J$12:R12)</f>
        <v>9</v>
      </c>
      <c r="S15">
        <f>SUM($J$12:S12)</f>
        <v>10</v>
      </c>
      <c r="T15">
        <f>SUM($J$12:T12)</f>
        <v>11</v>
      </c>
      <c r="U15">
        <f>SUM($J$12:U12)</f>
        <v>12</v>
      </c>
      <c r="V15">
        <f>SUM($J$12:V12)</f>
        <v>13</v>
      </c>
    </row>
    <row r="16" spans="2:22">
      <c r="G16"/>
    </row>
    <row r="17" spans="1:22">
      <c r="B17" t="s">
        <v>461</v>
      </c>
      <c r="F17" s="461">
        <v>16265</v>
      </c>
      <c r="G17"/>
    </row>
    <row r="18" spans="1:22" ht="24" thickBot="1">
      <c r="B18" s="14" t="s">
        <v>186</v>
      </c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</row>
    <row r="19" spans="1:22">
      <c r="G19"/>
    </row>
    <row r="20" spans="1:22" ht="15.75">
      <c r="B20" s="15" t="s">
        <v>462</v>
      </c>
      <c r="G20"/>
    </row>
    <row r="21" spans="1:22" ht="15.75">
      <c r="B21" s="41" t="s">
        <v>463</v>
      </c>
      <c r="G21"/>
      <c r="I21">
        <v>1</v>
      </c>
      <c r="J21" s="77">
        <f>I21*(1+Input!K36)*J12</f>
        <v>1</v>
      </c>
      <c r="K21" s="77">
        <f>J21*(1+Input!L36)*K12</f>
        <v>1.03</v>
      </c>
      <c r="L21" s="77">
        <f>K21*(1+Input!M36)*L12</f>
        <v>1.0609</v>
      </c>
      <c r="M21" s="77">
        <f>L21*(1+Input!N36)*M12</f>
        <v>1.092727</v>
      </c>
      <c r="N21" s="77">
        <f>M21*(1+Input!O36)*N12</f>
        <v>1.1255088100000001</v>
      </c>
      <c r="O21" s="77">
        <f>N21*(1+Input!P36)*O12</f>
        <v>1.1592740743000001</v>
      </c>
      <c r="P21" s="70">
        <f>O21*(1+Input!Q36)*P12</f>
        <v>1.1940522965290001</v>
      </c>
      <c r="Q21" s="70">
        <f>P21*(1+Input!R36)*Q12</f>
        <v>1.2298738654248702</v>
      </c>
      <c r="R21" s="70">
        <f>Q21*(1+Input!S36)*R12</f>
        <v>1.2667700813876164</v>
      </c>
      <c r="S21" s="77">
        <f>R21*(1+Input!T36)*S12</f>
        <v>1.3047731838292449</v>
      </c>
      <c r="T21" s="77">
        <f>S21*(1+Input!U36)*T12</f>
        <v>1.3439163793441222</v>
      </c>
      <c r="U21" s="70">
        <f>T21*(1+Input!V36)*U12</f>
        <v>1.3842338707244459</v>
      </c>
      <c r="V21" s="70">
        <f>U21*(1+Input!W36)*V12</f>
        <v>1.4257608868461793</v>
      </c>
    </row>
    <row r="22" spans="1:22">
      <c r="B22" s="407" t="s">
        <v>464</v>
      </c>
      <c r="E22" s="368" t="s">
        <v>792</v>
      </c>
      <c r="F22" s="6">
        <f>Input!J41*100%</f>
        <v>2063651.067</v>
      </c>
      <c r="G22" s="17" t="s">
        <v>315</v>
      </c>
      <c r="J22">
        <f>J21*$F22*J$12</f>
        <v>2063651.067</v>
      </c>
      <c r="K22">
        <f t="shared" ref="K22:V22" si="7">K21*$F22*K$12</f>
        <v>2125560.59901</v>
      </c>
      <c r="L22">
        <f t="shared" si="7"/>
        <v>2189327.4169803001</v>
      </c>
      <c r="M22">
        <f t="shared" si="7"/>
        <v>2255007.239489709</v>
      </c>
      <c r="N22">
        <f t="shared" si="7"/>
        <v>2322657.4566744007</v>
      </c>
      <c r="O22">
        <f t="shared" si="7"/>
        <v>2392337.1803746326</v>
      </c>
      <c r="P22">
        <f t="shared" si="7"/>
        <v>2464107.2957858718</v>
      </c>
      <c r="Q22">
        <f t="shared" si="7"/>
        <v>2538030.5146594481</v>
      </c>
      <c r="R22">
        <f t="shared" si="7"/>
        <v>2614171.4300992312</v>
      </c>
      <c r="S22">
        <f t="shared" si="7"/>
        <v>2692596.5730022085</v>
      </c>
      <c r="T22">
        <f t="shared" si="7"/>
        <v>2773374.4701922745</v>
      </c>
      <c r="U22">
        <f t="shared" si="7"/>
        <v>2856575.7042980432</v>
      </c>
      <c r="V22">
        <f t="shared" si="7"/>
        <v>2942272.975426984</v>
      </c>
    </row>
    <row r="23" spans="1:22">
      <c r="B23" s="407" t="s">
        <v>465</v>
      </c>
      <c r="E23" s="368" t="s">
        <v>792</v>
      </c>
      <c r="J23" s="462">
        <f>Input!K43</f>
        <v>42880</v>
      </c>
      <c r="K23" s="462">
        <f>Input!L43</f>
        <v>42880</v>
      </c>
      <c r="L23">
        <f>Input!M43</f>
        <v>42880</v>
      </c>
      <c r="M23">
        <f>Input!N43</f>
        <v>42880</v>
      </c>
      <c r="N23">
        <f>Input!O43</f>
        <v>42880</v>
      </c>
      <c r="O23">
        <f>Input!P43</f>
        <v>44166.400000000001</v>
      </c>
      <c r="P23">
        <f>Input!Q43</f>
        <v>44166.400000000001</v>
      </c>
      <c r="Q23">
        <f>Input!R43</f>
        <v>44166.400000000001</v>
      </c>
      <c r="R23">
        <f>Input!S43</f>
        <v>45491.392</v>
      </c>
      <c r="S23">
        <f>Input!T43</f>
        <v>45491.392</v>
      </c>
      <c r="T23">
        <f>Input!U43</f>
        <v>45491.392</v>
      </c>
      <c r="U23">
        <f>Input!V43</f>
        <v>45491.392</v>
      </c>
      <c r="V23">
        <f>Input!W43</f>
        <v>45491.392</v>
      </c>
    </row>
    <row r="24" spans="1:22">
      <c r="B24" s="28" t="s">
        <v>466</v>
      </c>
      <c r="C24" s="28"/>
      <c r="D24" s="28"/>
      <c r="E24" s="28"/>
      <c r="F24" s="28"/>
      <c r="G24" s="28"/>
      <c r="H24" s="28"/>
      <c r="I24" s="48">
        <f>SUM(J24:V24)</f>
        <v>1427.7639853911987</v>
      </c>
      <c r="J24" s="28">
        <f>J22*J23/Billion</f>
        <v>88.489357752960004</v>
      </c>
      <c r="K24" s="28">
        <f t="shared" ref="K24:V24" si="8">K22*K23/Billion</f>
        <v>91.144038485548791</v>
      </c>
      <c r="L24" s="28">
        <f t="shared" si="8"/>
        <v>93.878359640115264</v>
      </c>
      <c r="M24" s="28">
        <f t="shared" si="8"/>
        <v>96.694710429318732</v>
      </c>
      <c r="N24" s="28">
        <f t="shared" si="8"/>
        <v>99.59555174219831</v>
      </c>
      <c r="O24" s="28">
        <f t="shared" si="8"/>
        <v>105.66092084329817</v>
      </c>
      <c r="P24" s="28">
        <f t="shared" si="8"/>
        <v>108.83074846859714</v>
      </c>
      <c r="Q24" s="28">
        <f t="shared" si="8"/>
        <v>112.09567092265505</v>
      </c>
      <c r="R24" s="28">
        <f t="shared" si="8"/>
        <v>118.92229728184472</v>
      </c>
      <c r="S24" s="28">
        <f t="shared" si="8"/>
        <v>122.48996620030007</v>
      </c>
      <c r="T24" s="28">
        <f t="shared" si="8"/>
        <v>126.16466518630908</v>
      </c>
      <c r="U24" s="28">
        <f t="shared" si="8"/>
        <v>129.94960514189836</v>
      </c>
      <c r="V24" s="28">
        <f t="shared" si="8"/>
        <v>133.8480932961553</v>
      </c>
    </row>
    <row r="25" spans="1:22">
      <c r="G25"/>
      <c r="I25" s="21"/>
      <c r="K25" s="21"/>
      <c r="L25" s="21"/>
      <c r="M25" s="21"/>
      <c r="N25" s="21"/>
    </row>
    <row r="26" spans="1:22" ht="15.75">
      <c r="B26" s="41" t="s">
        <v>467</v>
      </c>
      <c r="G26"/>
      <c r="I26">
        <v>1</v>
      </c>
      <c r="J26" s="77">
        <f>I26*(1+Input!K50)*J$12</f>
        <v>1</v>
      </c>
      <c r="K26" s="77">
        <f>J26*(1+Input!L50)*K$12</f>
        <v>1.03</v>
      </c>
      <c r="L26" s="77">
        <f>K26*(1+Input!M50)*L$12</f>
        <v>1.0609</v>
      </c>
      <c r="M26" s="77">
        <f>L26*(1+Input!N50)*M$12</f>
        <v>1.092727</v>
      </c>
      <c r="N26" s="77">
        <f>M26*(1+Input!O50)*N$12</f>
        <v>1.1255088100000001</v>
      </c>
      <c r="O26" s="77">
        <f>N26*(1+Input!P50)*O$12</f>
        <v>1.1592740743000001</v>
      </c>
      <c r="P26" s="70">
        <f>O26*(1+Input!Q50)*P$12</f>
        <v>1.1940522965290001</v>
      </c>
      <c r="Q26" s="70">
        <f>P26*(1+Input!R50)*Q$12</f>
        <v>1.2298738654248702</v>
      </c>
      <c r="R26" s="70">
        <f>Q26*(1+Input!S50)*R$12</f>
        <v>1.2667700813876164</v>
      </c>
      <c r="S26" s="70">
        <f>R26*(1+Input!T50)*S$12</f>
        <v>1.3047731838292449</v>
      </c>
      <c r="T26" s="70">
        <f>S26*(1+Input!U50)*T$12</f>
        <v>1.3439163793441222</v>
      </c>
      <c r="U26" s="70">
        <f>T26*(1+Input!V50)*U$12</f>
        <v>1.3842338707244459</v>
      </c>
      <c r="V26" s="70">
        <f>U26*(1+Input!W50)*V$12</f>
        <v>1.4257608868461793</v>
      </c>
    </row>
    <row r="27" spans="1:22">
      <c r="B27" s="407" t="s">
        <v>468</v>
      </c>
      <c r="E27" s="368" t="s">
        <v>792</v>
      </c>
      <c r="F27" s="6">
        <f>Input!J55</f>
        <v>1602574.2089999998</v>
      </c>
      <c r="G27" s="17" t="s">
        <v>315</v>
      </c>
      <c r="J27">
        <f t="shared" ref="J27:V27" si="9">J26*$F27*J$12</f>
        <v>1602574.2089999998</v>
      </c>
      <c r="K27">
        <f t="shared" si="9"/>
        <v>1650651.4352699998</v>
      </c>
      <c r="L27">
        <f t="shared" si="9"/>
        <v>1700170.9783280997</v>
      </c>
      <c r="M27">
        <f t="shared" si="9"/>
        <v>1751176.1076779428</v>
      </c>
      <c r="N27">
        <f t="shared" si="9"/>
        <v>1803711.3909082813</v>
      </c>
      <c r="O27">
        <f t="shared" si="9"/>
        <v>1857822.7326355297</v>
      </c>
      <c r="P27">
        <f t="shared" si="9"/>
        <v>1913557.4146145957</v>
      </c>
      <c r="Q27">
        <f t="shared" si="9"/>
        <v>1970964.1370530336</v>
      </c>
      <c r="R27">
        <f t="shared" si="9"/>
        <v>2030093.0611646248</v>
      </c>
      <c r="S27">
        <f t="shared" si="9"/>
        <v>2090995.8529995636</v>
      </c>
      <c r="T27">
        <f t="shared" si="9"/>
        <v>2153725.7285895501</v>
      </c>
      <c r="U27">
        <f t="shared" si="9"/>
        <v>2218337.5004472369</v>
      </c>
      <c r="V27">
        <f t="shared" si="9"/>
        <v>2284887.625460654</v>
      </c>
    </row>
    <row r="28" spans="1:22">
      <c r="B28" s="407" t="s">
        <v>465</v>
      </c>
      <c r="J28">
        <f>Input!K57</f>
        <v>42400</v>
      </c>
      <c r="K28">
        <f>Input!L57</f>
        <v>42400</v>
      </c>
      <c r="L28">
        <f>Input!M57</f>
        <v>42400</v>
      </c>
      <c r="M28">
        <f>Input!N57</f>
        <v>42400</v>
      </c>
      <c r="N28">
        <f>Input!O57</f>
        <v>42400</v>
      </c>
      <c r="O28">
        <f>Input!P57</f>
        <v>43672</v>
      </c>
      <c r="P28">
        <f>Input!Q57</f>
        <v>43672</v>
      </c>
      <c r="Q28">
        <f>Input!R57</f>
        <v>43672</v>
      </c>
      <c r="R28">
        <f>Input!S57</f>
        <v>44982.16</v>
      </c>
      <c r="S28">
        <f>Input!T57</f>
        <v>44982.16</v>
      </c>
      <c r="T28">
        <f>Input!U57</f>
        <v>44982.16</v>
      </c>
      <c r="U28">
        <f>Input!V57</f>
        <v>44982.16</v>
      </c>
      <c r="V28">
        <f>Input!W57</f>
        <v>44982.16</v>
      </c>
    </row>
    <row r="29" spans="1:22">
      <c r="B29" s="28" t="s">
        <v>469</v>
      </c>
      <c r="C29" s="28"/>
      <c r="D29" s="28"/>
      <c r="E29" s="28"/>
      <c r="F29" s="28"/>
      <c r="G29" s="28"/>
      <c r="H29" s="28"/>
      <c r="I29" s="48">
        <f>SUM(J29:V29)</f>
        <v>1096.3504156826034</v>
      </c>
      <c r="J29" s="28">
        <f t="shared" ref="J29:V29" si="10">J27*J28/Billion</f>
        <v>67.949146461599994</v>
      </c>
      <c r="K29" s="28">
        <f t="shared" si="10"/>
        <v>69.987620855448</v>
      </c>
      <c r="L29" s="28">
        <f t="shared" si="10"/>
        <v>72.087249481111428</v>
      </c>
      <c r="M29" s="28">
        <f t="shared" si="10"/>
        <v>74.249866965544769</v>
      </c>
      <c r="N29" s="28">
        <f t="shared" si="10"/>
        <v>76.477362974511124</v>
      </c>
      <c r="O29" s="28">
        <f t="shared" si="10"/>
        <v>81.134834379658855</v>
      </c>
      <c r="P29" s="28">
        <f t="shared" si="10"/>
        <v>83.568879411048627</v>
      </c>
      <c r="Q29" s="28">
        <f t="shared" si="10"/>
        <v>86.075945793380086</v>
      </c>
      <c r="R29" s="28">
        <f t="shared" si="10"/>
        <v>91.317970892196939</v>
      </c>
      <c r="S29" s="28">
        <f t="shared" si="10"/>
        <v>94.057510018962859</v>
      </c>
      <c r="T29" s="28">
        <f t="shared" si="10"/>
        <v>96.879235319531716</v>
      </c>
      <c r="U29" s="28">
        <f t="shared" si="10"/>
        <v>99.785612379117694</v>
      </c>
      <c r="V29" s="28">
        <f t="shared" si="10"/>
        <v>102.77918075049122</v>
      </c>
    </row>
    <row r="30" spans="1:22">
      <c r="G30"/>
      <c r="I30" s="21"/>
      <c r="K30" s="21"/>
      <c r="L30" s="21"/>
      <c r="M30" s="21"/>
      <c r="N30" s="21"/>
    </row>
    <row r="31" spans="1:22" ht="15.75">
      <c r="A31" s="277"/>
      <c r="B31" s="41" t="s">
        <v>470</v>
      </c>
      <c r="G31"/>
      <c r="I31">
        <v>1</v>
      </c>
      <c r="J31" s="77">
        <f>J1091</f>
        <v>0</v>
      </c>
      <c r="K31" s="77">
        <f t="shared" ref="K31:V31" si="11">K1091</f>
        <v>0</v>
      </c>
      <c r="L31" s="77">
        <f t="shared" si="11"/>
        <v>0</v>
      </c>
      <c r="M31" s="77">
        <f t="shared" si="11"/>
        <v>1</v>
      </c>
      <c r="N31" s="77">
        <f t="shared" si="11"/>
        <v>1</v>
      </c>
      <c r="O31" s="77">
        <f t="shared" si="11"/>
        <v>1</v>
      </c>
      <c r="P31" s="77">
        <f t="shared" si="11"/>
        <v>1</v>
      </c>
      <c r="Q31" s="77">
        <f t="shared" si="11"/>
        <v>1</v>
      </c>
      <c r="R31" s="77">
        <f t="shared" si="11"/>
        <v>1</v>
      </c>
      <c r="S31" s="77">
        <f t="shared" si="11"/>
        <v>1</v>
      </c>
      <c r="T31" s="77">
        <f t="shared" si="11"/>
        <v>1</v>
      </c>
      <c r="U31" s="77">
        <f t="shared" si="11"/>
        <v>1</v>
      </c>
      <c r="V31" s="77">
        <f t="shared" si="11"/>
        <v>1</v>
      </c>
    </row>
    <row r="32" spans="1:22">
      <c r="A32" s="277"/>
      <c r="B32" s="407" t="s">
        <v>468</v>
      </c>
      <c r="F32" s="6">
        <v>1286920.22</v>
      </c>
      <c r="G32" s="17" t="s">
        <v>315</v>
      </c>
      <c r="J32" s="19">
        <f>Input!K1172*$D$5</f>
        <v>0</v>
      </c>
      <c r="K32" s="19">
        <f>Input!L1172*$D$5</f>
        <v>0</v>
      </c>
      <c r="L32" s="19">
        <f>Input!M1172*$D$5</f>
        <v>0</v>
      </c>
      <c r="M32" s="19">
        <f>Input!N1172*$D$5</f>
        <v>0</v>
      </c>
      <c r="N32" s="19">
        <f>Input!O1172*$D$5</f>
        <v>0</v>
      </c>
      <c r="O32" s="19">
        <f>Input!P1172*$D$5</f>
        <v>0</v>
      </c>
      <c r="P32" s="19">
        <f>Input!Q1172*$D$5</f>
        <v>0</v>
      </c>
      <c r="Q32" s="19">
        <f>Input!R1172*$D$5</f>
        <v>0</v>
      </c>
      <c r="R32" s="19">
        <f>Input!S1172*$D$5</f>
        <v>0</v>
      </c>
      <c r="S32" s="19">
        <f>Input!T1172*$D$5</f>
        <v>0</v>
      </c>
      <c r="T32" s="19">
        <f>Input!U1172*$D$5</f>
        <v>0</v>
      </c>
      <c r="U32" s="19">
        <f>Input!V1172*$D$5</f>
        <v>0</v>
      </c>
      <c r="V32" s="19">
        <f>Input!W1172*$D$5</f>
        <v>0</v>
      </c>
    </row>
    <row r="33" spans="1:22">
      <c r="A33" s="277"/>
      <c r="B33" s="407" t="s">
        <v>465</v>
      </c>
      <c r="J33">
        <f>J28</f>
        <v>42400</v>
      </c>
      <c r="K33">
        <f t="shared" ref="K33:V33" si="12">K28</f>
        <v>42400</v>
      </c>
      <c r="L33">
        <f t="shared" si="12"/>
        <v>42400</v>
      </c>
      <c r="M33">
        <f t="shared" si="12"/>
        <v>42400</v>
      </c>
      <c r="N33">
        <f t="shared" si="12"/>
        <v>42400</v>
      </c>
      <c r="O33">
        <f t="shared" si="12"/>
        <v>43672</v>
      </c>
      <c r="P33">
        <f t="shared" si="12"/>
        <v>43672</v>
      </c>
      <c r="Q33">
        <f t="shared" si="12"/>
        <v>43672</v>
      </c>
      <c r="R33">
        <f t="shared" si="12"/>
        <v>44982.16</v>
      </c>
      <c r="S33">
        <f t="shared" si="12"/>
        <v>44982.16</v>
      </c>
      <c r="T33">
        <f t="shared" si="12"/>
        <v>44982.16</v>
      </c>
      <c r="U33">
        <f t="shared" si="12"/>
        <v>44982.16</v>
      </c>
      <c r="V33">
        <f t="shared" si="12"/>
        <v>44982.16</v>
      </c>
    </row>
    <row r="34" spans="1:22">
      <c r="A34" s="277"/>
      <c r="B34" s="28" t="s">
        <v>469</v>
      </c>
      <c r="C34" s="28"/>
      <c r="D34" s="28"/>
      <c r="E34" s="28"/>
      <c r="F34" s="28"/>
      <c r="G34" s="28"/>
      <c r="H34" s="28"/>
      <c r="I34" s="48">
        <f>SUM(J34:V34)</f>
        <v>0</v>
      </c>
      <c r="J34" s="28">
        <f t="shared" ref="J34:V34" si="13">J32*J33/Billion</f>
        <v>0</v>
      </c>
      <c r="K34" s="28">
        <f t="shared" si="13"/>
        <v>0</v>
      </c>
      <c r="L34" s="28">
        <f t="shared" si="13"/>
        <v>0</v>
      </c>
      <c r="M34" s="28">
        <f t="shared" si="13"/>
        <v>0</v>
      </c>
      <c r="N34" s="28">
        <f t="shared" si="13"/>
        <v>0</v>
      </c>
      <c r="O34" s="28">
        <f t="shared" si="13"/>
        <v>0</v>
      </c>
      <c r="P34" s="28">
        <f t="shared" si="13"/>
        <v>0</v>
      </c>
      <c r="Q34" s="28">
        <f t="shared" si="13"/>
        <v>0</v>
      </c>
      <c r="R34" s="28">
        <f t="shared" si="13"/>
        <v>0</v>
      </c>
      <c r="S34" s="28">
        <f t="shared" si="13"/>
        <v>0</v>
      </c>
      <c r="T34" s="28">
        <f t="shared" si="13"/>
        <v>0</v>
      </c>
      <c r="U34" s="28">
        <f t="shared" si="13"/>
        <v>0</v>
      </c>
      <c r="V34" s="28">
        <f t="shared" si="13"/>
        <v>0</v>
      </c>
    </row>
    <row r="35" spans="1:22">
      <c r="G35"/>
      <c r="I35" s="21"/>
      <c r="K35" s="21"/>
      <c r="L35" s="21"/>
      <c r="M35" s="21"/>
      <c r="N35" s="21"/>
    </row>
    <row r="36" spans="1:22">
      <c r="G36"/>
      <c r="I36" s="21"/>
      <c r="K36" s="21"/>
      <c r="L36" s="21"/>
      <c r="M36" s="21"/>
      <c r="N36" s="21"/>
    </row>
    <row r="37" spans="1:22">
      <c r="B37" t="s">
        <v>471</v>
      </c>
      <c r="G37"/>
      <c r="I37" s="21"/>
      <c r="J37">
        <f>SUM(J22,J27,J32)</f>
        <v>3666225.2759999996</v>
      </c>
      <c r="K37">
        <f t="shared" ref="K37:V37" si="14">SUM(K22,K27,K32)</f>
        <v>3776212.0342799998</v>
      </c>
      <c r="L37">
        <f t="shared" si="14"/>
        <v>3889498.3953083996</v>
      </c>
      <c r="M37">
        <f t="shared" si="14"/>
        <v>4006183.3471676521</v>
      </c>
      <c r="N37">
        <f t="shared" si="14"/>
        <v>4126368.847582682</v>
      </c>
      <c r="O37">
        <f t="shared" si="14"/>
        <v>4250159.9130101623</v>
      </c>
      <c r="P37">
        <f t="shared" si="14"/>
        <v>4377664.7104004677</v>
      </c>
      <c r="Q37">
        <f t="shared" si="14"/>
        <v>4508994.6517124819</v>
      </c>
      <c r="R37">
        <f t="shared" si="14"/>
        <v>4644264.4912638562</v>
      </c>
      <c r="S37">
        <f t="shared" si="14"/>
        <v>4783592.4260017723</v>
      </c>
      <c r="T37">
        <f t="shared" si="14"/>
        <v>4927100.1987818247</v>
      </c>
      <c r="U37">
        <f t="shared" si="14"/>
        <v>5074913.2047452796</v>
      </c>
      <c r="V37">
        <f t="shared" si="14"/>
        <v>5227160.6008876376</v>
      </c>
    </row>
    <row r="38" spans="1:22">
      <c r="B38" t="s">
        <v>472</v>
      </c>
      <c r="G38"/>
      <c r="I38" s="21"/>
      <c r="J38" s="480">
        <f>SUM(J24,J29,J34)</f>
        <v>156.43850421456</v>
      </c>
      <c r="K38" s="462">
        <f t="shared" ref="K38:V38" si="15">SUM(K24,K29,K34)</f>
        <v>161.1316593409968</v>
      </c>
      <c r="L38">
        <f t="shared" si="15"/>
        <v>165.96560912122669</v>
      </c>
      <c r="M38">
        <f t="shared" si="15"/>
        <v>170.9445773948635</v>
      </c>
      <c r="N38">
        <f t="shared" si="15"/>
        <v>176.07291471670942</v>
      </c>
      <c r="O38">
        <f t="shared" si="15"/>
        <v>186.79575522295704</v>
      </c>
      <c r="P38">
        <f t="shared" si="15"/>
        <v>192.39962787964578</v>
      </c>
      <c r="Q38">
        <f t="shared" si="15"/>
        <v>198.17161671603515</v>
      </c>
      <c r="R38">
        <f t="shared" si="15"/>
        <v>210.24026817404166</v>
      </c>
      <c r="S38">
        <f t="shared" si="15"/>
        <v>216.54747621926293</v>
      </c>
      <c r="T38">
        <f t="shared" si="15"/>
        <v>223.04390050584078</v>
      </c>
      <c r="U38">
        <f t="shared" si="15"/>
        <v>229.73521752101607</v>
      </c>
      <c r="V38">
        <f t="shared" si="15"/>
        <v>236.62727404664651</v>
      </c>
    </row>
    <row r="39" spans="1:22" ht="15.75">
      <c r="B39" s="15" t="s">
        <v>473</v>
      </c>
      <c r="G39"/>
      <c r="I39" s="21"/>
      <c r="J39">
        <f>SUM(J48,J54,J60,J65,J71,J77,J83,J89,J95)</f>
        <v>29.933805281840403</v>
      </c>
      <c r="K39" s="462">
        <f t="shared" ref="K39:V39" si="16">SUM(K48,K54,K60,K65,K71,K77,K83,K89,K95)</f>
        <v>31.312242106439157</v>
      </c>
      <c r="L39">
        <f t="shared" si="16"/>
        <v>32.782572849455804</v>
      </c>
      <c r="M39">
        <f t="shared" si="16"/>
        <v>34.306045674162597</v>
      </c>
      <c r="N39">
        <f t="shared" si="16"/>
        <v>35.908036070326659</v>
      </c>
      <c r="O39">
        <f t="shared" si="16"/>
        <v>37.614152958924677</v>
      </c>
      <c r="P39">
        <f t="shared" si="16"/>
        <v>39.386345581558274</v>
      </c>
      <c r="Q39">
        <f t="shared" si="16"/>
        <v>41.250731961836813</v>
      </c>
      <c r="R39">
        <f t="shared" si="16"/>
        <v>43.233707510867077</v>
      </c>
      <c r="S39">
        <f t="shared" si="16"/>
        <v>45.298054570196072</v>
      </c>
      <c r="T39">
        <f t="shared" si="16"/>
        <v>47.4707736888776</v>
      </c>
      <c r="U39">
        <f t="shared" si="16"/>
        <v>49.757892912414533</v>
      </c>
      <c r="V39">
        <f t="shared" si="16"/>
        <v>52.165789713765676</v>
      </c>
    </row>
    <row r="40" spans="1:22">
      <c r="B40" s="2" t="s">
        <v>474</v>
      </c>
      <c r="G40"/>
      <c r="I40" s="21"/>
    </row>
    <row r="41" spans="1:22">
      <c r="B41" s="407" t="s">
        <v>475</v>
      </c>
      <c r="F41" s="30">
        <v>41.467075682422298</v>
      </c>
      <c r="G41" s="17" t="s">
        <v>315</v>
      </c>
      <c r="I41" s="48">
        <f>SUM(J41:V41)</f>
        <v>539.07198387148992</v>
      </c>
      <c r="J41" s="23">
        <f t="shared" ref="J41:V41" si="17">$F$41*J12</f>
        <v>41.467075682422298</v>
      </c>
      <c r="K41" s="23">
        <f t="shared" si="17"/>
        <v>41.467075682422298</v>
      </c>
      <c r="L41" s="23">
        <f t="shared" si="17"/>
        <v>41.467075682422298</v>
      </c>
      <c r="M41" s="23">
        <f t="shared" si="17"/>
        <v>41.467075682422298</v>
      </c>
      <c r="N41" s="23">
        <f t="shared" si="17"/>
        <v>41.467075682422298</v>
      </c>
      <c r="O41" s="23">
        <f t="shared" si="17"/>
        <v>41.467075682422298</v>
      </c>
      <c r="P41" s="23">
        <f t="shared" si="17"/>
        <v>41.467075682422298</v>
      </c>
      <c r="Q41" s="23">
        <f t="shared" si="17"/>
        <v>41.467075682422298</v>
      </c>
      <c r="R41" s="23">
        <f t="shared" si="17"/>
        <v>41.467075682422298</v>
      </c>
      <c r="S41" s="23">
        <f t="shared" si="17"/>
        <v>41.467075682422298</v>
      </c>
      <c r="T41" s="23">
        <f t="shared" si="17"/>
        <v>41.467075682422298</v>
      </c>
      <c r="U41" s="23">
        <f t="shared" si="17"/>
        <v>41.467075682422298</v>
      </c>
      <c r="V41" s="23">
        <f t="shared" si="17"/>
        <v>41.467075682422298</v>
      </c>
    </row>
    <row r="42" spans="1:22">
      <c r="B42" s="407" t="s">
        <v>58</v>
      </c>
      <c r="G42" s="17" t="s">
        <v>315</v>
      </c>
      <c r="I42" s="48">
        <f>SUM(J42:V42)</f>
        <v>24</v>
      </c>
      <c r="J42" s="23">
        <f>Input!K62</f>
        <v>0</v>
      </c>
      <c r="K42" s="23">
        <f>Input!L62</f>
        <v>0</v>
      </c>
      <c r="L42" s="23">
        <f>Input!M62</f>
        <v>1</v>
      </c>
      <c r="M42" s="23">
        <f>Input!N62</f>
        <v>1</v>
      </c>
      <c r="N42" s="23">
        <f>Input!O62</f>
        <v>1</v>
      </c>
      <c r="O42" s="23">
        <f>Input!P62</f>
        <v>2</v>
      </c>
      <c r="P42" s="23">
        <f>Input!Q62</f>
        <v>2</v>
      </c>
      <c r="Q42" s="23">
        <f>Input!R62</f>
        <v>2</v>
      </c>
      <c r="R42" s="23">
        <f>Input!S62</f>
        <v>3</v>
      </c>
      <c r="S42" s="23">
        <f>Input!T62</f>
        <v>3</v>
      </c>
      <c r="T42" s="23">
        <f>Input!U62</f>
        <v>3</v>
      </c>
      <c r="U42" s="23">
        <f>Input!V62</f>
        <v>3</v>
      </c>
      <c r="V42" s="23">
        <f>Input!W62</f>
        <v>3</v>
      </c>
    </row>
    <row r="43" spans="1:22">
      <c r="B43" s="28" t="s">
        <v>476</v>
      </c>
      <c r="C43" s="28"/>
      <c r="D43" s="28"/>
      <c r="E43" s="28"/>
      <c r="F43" s="28"/>
      <c r="G43" s="28"/>
      <c r="H43" s="28"/>
      <c r="I43" s="49">
        <f>SUM(J43:V43)</f>
        <v>563.07198387148992</v>
      </c>
      <c r="J43" s="47">
        <f>SUM(J41:J42)</f>
        <v>41.467075682422298</v>
      </c>
      <c r="K43" s="47">
        <f t="shared" ref="K43:V43" si="18">SUM(K41:K42)</f>
        <v>41.467075682422298</v>
      </c>
      <c r="L43" s="47">
        <f t="shared" si="18"/>
        <v>42.467075682422298</v>
      </c>
      <c r="M43" s="47">
        <f t="shared" si="18"/>
        <v>42.467075682422298</v>
      </c>
      <c r="N43" s="47">
        <f t="shared" si="18"/>
        <v>42.467075682422298</v>
      </c>
      <c r="O43" s="47">
        <f t="shared" si="18"/>
        <v>43.467075682422298</v>
      </c>
      <c r="P43" s="47">
        <f t="shared" si="18"/>
        <v>43.467075682422298</v>
      </c>
      <c r="Q43" s="47">
        <f t="shared" si="18"/>
        <v>43.467075682422298</v>
      </c>
      <c r="R43" s="47">
        <f t="shared" si="18"/>
        <v>44.467075682422298</v>
      </c>
      <c r="S43" s="47">
        <f t="shared" si="18"/>
        <v>44.467075682422298</v>
      </c>
      <c r="T43" s="47">
        <f t="shared" si="18"/>
        <v>44.467075682422298</v>
      </c>
      <c r="U43" s="47">
        <f t="shared" si="18"/>
        <v>44.467075682422298</v>
      </c>
      <c r="V43" s="47">
        <f t="shared" si="18"/>
        <v>44.467075682422298</v>
      </c>
    </row>
    <row r="44" spans="1:22">
      <c r="G44"/>
    </row>
    <row r="45" spans="1:22">
      <c r="B45" s="2" t="s">
        <v>477</v>
      </c>
      <c r="G45"/>
    </row>
    <row r="46" spans="1:22">
      <c r="B46" s="407" t="s">
        <v>478</v>
      </c>
      <c r="G46"/>
      <c r="I46" s="13">
        <v>1</v>
      </c>
      <c r="J46" s="13">
        <f>I46*(1+Input!K68)*J$12</f>
        <v>1.0349999999999999</v>
      </c>
      <c r="K46" s="13">
        <f>J46*(1+Input!L68)*K$12</f>
        <v>1.0712249999999999</v>
      </c>
      <c r="L46" s="13">
        <f>K46*(1+Input!M68)*L$12</f>
        <v>1.1087178749999997</v>
      </c>
      <c r="M46" s="13">
        <f>L46*(1+Input!N68)*M$12</f>
        <v>1.1475230006249997</v>
      </c>
      <c r="N46" s="13">
        <f>M46*(1+Input!O68)*N$12</f>
        <v>1.1876863056468745</v>
      </c>
      <c r="O46" s="13">
        <f>N46*(1+Input!P68)*O$12</f>
        <v>1.229255326344515</v>
      </c>
      <c r="P46" s="13">
        <f>O46*(1+Input!Q68)*P$12</f>
        <v>1.2722792627665729</v>
      </c>
      <c r="Q46" s="13">
        <f>P46*(1+Input!R68)*Q$12</f>
        <v>1.3168090369634029</v>
      </c>
      <c r="R46" s="13">
        <f>Q46*(1+Input!S68)*R$12</f>
        <v>1.3628973532571218</v>
      </c>
      <c r="S46" s="13">
        <f>R46*(1+Input!T68)*S$12</f>
        <v>1.410598760621121</v>
      </c>
      <c r="T46" s="13">
        <f>S46*(1+Input!U68)*T$12</f>
        <v>1.4599697172428601</v>
      </c>
      <c r="U46" s="13">
        <f>T46*(1+Input!V68)*U$12</f>
        <v>1.5110686573463601</v>
      </c>
      <c r="V46" s="13">
        <f>U46*(1+Input!W68)*V$12</f>
        <v>1.5639560603534826</v>
      </c>
    </row>
    <row r="47" spans="1:22">
      <c r="B47" t="s">
        <v>479</v>
      </c>
      <c r="F47" s="19">
        <v>12.869295671530001</v>
      </c>
      <c r="G47" s="17" t="s">
        <v>315</v>
      </c>
    </row>
    <row r="48" spans="1:22">
      <c r="B48" s="28" t="s">
        <v>480</v>
      </c>
      <c r="C48" s="28"/>
      <c r="D48" s="28"/>
      <c r="E48" s="28"/>
      <c r="F48" s="28"/>
      <c r="G48" s="28"/>
      <c r="H48" s="28"/>
      <c r="I48" s="28"/>
      <c r="J48" s="47">
        <f>$F$47*J46</f>
        <v>13.319721020033549</v>
      </c>
      <c r="K48" s="47">
        <f t="shared" ref="K48:V48" si="19">$F$47*K46</f>
        <v>13.785911255734723</v>
      </c>
      <c r="L48" s="47">
        <f t="shared" si="19"/>
        <v>14.268418149685438</v>
      </c>
      <c r="M48" s="47">
        <f t="shared" si="19"/>
        <v>14.767812784924427</v>
      </c>
      <c r="N48" s="47">
        <f t="shared" si="19"/>
        <v>15.28468623239678</v>
      </c>
      <c r="O48" s="47">
        <f t="shared" si="19"/>
        <v>15.819650250530664</v>
      </c>
      <c r="P48" s="47">
        <f t="shared" si="19"/>
        <v>16.373338009299236</v>
      </c>
      <c r="Q48" s="47">
        <f t="shared" si="19"/>
        <v>16.946404839624709</v>
      </c>
      <c r="R48" s="47">
        <f t="shared" si="19"/>
        <v>17.53952900901157</v>
      </c>
      <c r="S48" s="47">
        <f t="shared" si="19"/>
        <v>18.153412524326978</v>
      </c>
      <c r="T48" s="47">
        <f t="shared" si="19"/>
        <v>18.788781962678417</v>
      </c>
      <c r="U48" s="47">
        <f t="shared" si="19"/>
        <v>19.44638933137216</v>
      </c>
      <c r="V48" s="47">
        <f t="shared" si="19"/>
        <v>20.127012957970187</v>
      </c>
    </row>
    <row r="49" spans="2:22">
      <c r="G49"/>
    </row>
    <row r="50" spans="2:22">
      <c r="B50" s="2" t="s">
        <v>481</v>
      </c>
      <c r="G50"/>
    </row>
    <row r="51" spans="2:22">
      <c r="B51" s="407" t="s">
        <v>478</v>
      </c>
      <c r="E51" s="58" t="s">
        <v>482</v>
      </c>
      <c r="F51" s="58" t="s">
        <v>483</v>
      </c>
      <c r="G51"/>
      <c r="I51" s="13">
        <v>1</v>
      </c>
      <c r="J51" s="13">
        <f>I51*(1+Input!K75)*Calculation_FSL!J12</f>
        <v>1.03</v>
      </c>
      <c r="K51" s="13">
        <f>J51*(1+Input!L75)*Calculation_FSL!K12</f>
        <v>1.0609</v>
      </c>
      <c r="L51" s="13">
        <f>K51*(1+Input!M75)*Calculation_FSL!L12</f>
        <v>1.092727</v>
      </c>
      <c r="M51" s="13">
        <f>L51*(1+Input!N75)*Calculation_FSL!M12</f>
        <v>1.1255088100000001</v>
      </c>
      <c r="N51" s="13">
        <f>M51*(1+Input!O75)*Calculation_FSL!N12</f>
        <v>1.1592740743000001</v>
      </c>
      <c r="O51" s="13">
        <f>N51*(1+Input!P75)*Calculation_FSL!O12</f>
        <v>1.1940522965290001</v>
      </c>
      <c r="P51" s="13">
        <f>O51*(1+Input!Q75)*Calculation_FSL!P12</f>
        <v>1.2298738654248702</v>
      </c>
      <c r="Q51" s="13">
        <f>P51*(1+Input!R75)*Calculation_FSL!Q12</f>
        <v>1.2667700813876164</v>
      </c>
      <c r="R51" s="13">
        <f>Q51*(1+Input!S75)*Calculation_FSL!R12</f>
        <v>1.3047731838292449</v>
      </c>
      <c r="S51" s="13">
        <f>R51*(1+Input!T75)*Calculation_FSL!S12</f>
        <v>1.3439163793441222</v>
      </c>
      <c r="T51" s="13">
        <f>S51*(1+Input!U75)*Calculation_FSL!T12</f>
        <v>1.3842338707244459</v>
      </c>
      <c r="U51" s="13">
        <f>T51*(1+Input!V75)*Calculation_FSL!U12</f>
        <v>1.4257608868461793</v>
      </c>
      <c r="V51" s="13">
        <f>U51*(1+Input!W75)*Calculation_FSL!V12</f>
        <v>1.4685337134515648</v>
      </c>
    </row>
    <row r="52" spans="2:22">
      <c r="B52" s="407" t="s">
        <v>484</v>
      </c>
      <c r="E52" s="19">
        <v>3579865.8499999996</v>
      </c>
      <c r="F52" s="19">
        <f>F53/E52*Billion*120%</f>
        <v>1452.8478394618951</v>
      </c>
      <c r="G52" s="17" t="s">
        <v>485</v>
      </c>
      <c r="J52">
        <f>$F52*J51</f>
        <v>1496.4332746457519</v>
      </c>
      <c r="K52">
        <f t="shared" ref="K52:V52" si="20">$F52*K51</f>
        <v>1541.3262728851244</v>
      </c>
      <c r="L52">
        <f t="shared" si="20"/>
        <v>1587.5660610716782</v>
      </c>
      <c r="M52">
        <f t="shared" si="20"/>
        <v>1635.1930429038289</v>
      </c>
      <c r="N52">
        <f t="shared" si="20"/>
        <v>1684.2488341909436</v>
      </c>
      <c r="O52">
        <f t="shared" si="20"/>
        <v>1734.776299216672</v>
      </c>
      <c r="P52">
        <f t="shared" si="20"/>
        <v>1786.8195881931722</v>
      </c>
      <c r="Q52">
        <f t="shared" si="20"/>
        <v>1840.4241758389674</v>
      </c>
      <c r="R52">
        <f t="shared" si="20"/>
        <v>1895.6369011141364</v>
      </c>
      <c r="S52">
        <f t="shared" si="20"/>
        <v>1952.5060081475606</v>
      </c>
      <c r="T52">
        <f t="shared" si="20"/>
        <v>2011.0811883919876</v>
      </c>
      <c r="U52">
        <f t="shared" si="20"/>
        <v>2071.4136240437469</v>
      </c>
      <c r="V52">
        <f t="shared" si="20"/>
        <v>2133.5560327650596</v>
      </c>
    </row>
    <row r="53" spans="2:22">
      <c r="B53" s="407" t="s">
        <v>486</v>
      </c>
      <c r="F53" s="19">
        <v>4.3341669714466002</v>
      </c>
      <c r="G53" s="17" t="s">
        <v>315</v>
      </c>
    </row>
    <row r="54" spans="2:22">
      <c r="B54" s="28" t="s">
        <v>480</v>
      </c>
      <c r="C54" s="28"/>
      <c r="D54" s="28"/>
      <c r="E54" s="28"/>
      <c r="F54" s="28"/>
      <c r="G54" s="28"/>
      <c r="H54" s="28"/>
      <c r="I54" s="28"/>
      <c r="J54" s="47">
        <f>J52*J$37/Billion</f>
        <v>5.4862614953537054</v>
      </c>
      <c r="K54" s="47">
        <f t="shared" ref="K54:V54" si="21">K52*K$37/Billion</f>
        <v>5.8203748204207457</v>
      </c>
      <c r="L54" s="47">
        <f t="shared" si="21"/>
        <v>6.174835646984369</v>
      </c>
      <c r="M54" s="47">
        <f t="shared" si="21"/>
        <v>6.5508831378857195</v>
      </c>
      <c r="N54" s="47">
        <f t="shared" si="21"/>
        <v>6.9498319209829598</v>
      </c>
      <c r="O54" s="47">
        <f t="shared" si="21"/>
        <v>7.3730766849708225</v>
      </c>
      <c r="P54" s="47">
        <f t="shared" si="21"/>
        <v>7.8220970550855462</v>
      </c>
      <c r="Q54" s="47">
        <f t="shared" si="21"/>
        <v>8.2984627657402559</v>
      </c>
      <c r="R54" s="47">
        <f t="shared" si="21"/>
        <v>8.8038391481738376</v>
      </c>
      <c r="S54" s="47">
        <f t="shared" si="21"/>
        <v>9.3399929522976244</v>
      </c>
      <c r="T54" s="47">
        <f t="shared" si="21"/>
        <v>9.9087985230925497</v>
      </c>
      <c r="U54" s="47">
        <f t="shared" si="21"/>
        <v>10.512244353148885</v>
      </c>
      <c r="V54" s="47">
        <f t="shared" si="21"/>
        <v>11.152440034255653</v>
      </c>
    </row>
    <row r="55" spans="2:22">
      <c r="G55"/>
    </row>
    <row r="56" spans="2:22">
      <c r="B56" s="2" t="s">
        <v>487</v>
      </c>
      <c r="G56"/>
    </row>
    <row r="57" spans="2:22">
      <c r="B57" s="407" t="s">
        <v>478</v>
      </c>
      <c r="E57" s="58" t="s">
        <v>482</v>
      </c>
      <c r="F57" s="58" t="s">
        <v>483</v>
      </c>
      <c r="G57"/>
      <c r="I57" s="13">
        <v>1</v>
      </c>
      <c r="J57" s="13">
        <f>I57*(1+Input!K80)*J$12</f>
        <v>1.03</v>
      </c>
      <c r="K57" s="13">
        <f>J57*(1+Input!L80)*K$12</f>
        <v>1.0609</v>
      </c>
      <c r="L57" s="13">
        <f>K57*(1+Input!M80)*L$12</f>
        <v>1.092727</v>
      </c>
      <c r="M57" s="13">
        <f>L57*(1+Input!N80)*M$12</f>
        <v>1.1255088100000001</v>
      </c>
      <c r="N57" s="13">
        <f>M57*(1+Input!O80)*N$12</f>
        <v>1.1592740743000001</v>
      </c>
      <c r="O57" s="13">
        <f>N57*(1+Input!P80)*O$12</f>
        <v>1.1940522965290001</v>
      </c>
      <c r="P57" s="13">
        <f>O57*(1+Input!Q80)*P$12</f>
        <v>1.2298738654248702</v>
      </c>
      <c r="Q57" s="13">
        <f>P57*(1+Input!R80)*Q$12</f>
        <v>1.2667700813876164</v>
      </c>
      <c r="R57" s="13">
        <f>Q57*(1+Input!S80)*R$12</f>
        <v>1.3047731838292449</v>
      </c>
      <c r="S57" s="13">
        <f>R57*(1+Input!T80)*S$12</f>
        <v>1.3439163793441222</v>
      </c>
      <c r="T57" s="13">
        <f>S57*(1+Input!U80)*T$12</f>
        <v>1.3842338707244459</v>
      </c>
      <c r="U57" s="13">
        <f>T57*(1+Input!V80)*U$12</f>
        <v>1.4257608868461793</v>
      </c>
      <c r="V57" s="13">
        <f>U57*(1+Input!W80)*V$12</f>
        <v>1.4685337134515648</v>
      </c>
    </row>
    <row r="58" spans="2:22">
      <c r="B58" s="407" t="s">
        <v>484</v>
      </c>
      <c r="E58" s="19">
        <v>3579865.8499999996</v>
      </c>
      <c r="F58" s="19">
        <f>F59/E58*Billion*120%</f>
        <v>856.40403864030839</v>
      </c>
      <c r="G58" s="17" t="s">
        <v>485</v>
      </c>
      <c r="J58">
        <f t="shared" ref="J58:V58" si="22">$F58*J57</f>
        <v>882.09615979951764</v>
      </c>
      <c r="K58">
        <f t="shared" si="22"/>
        <v>908.55904459350313</v>
      </c>
      <c r="L58">
        <f t="shared" si="22"/>
        <v>935.81581593130829</v>
      </c>
      <c r="M58">
        <f t="shared" si="22"/>
        <v>963.89029040924765</v>
      </c>
      <c r="N58">
        <f t="shared" si="22"/>
        <v>992.806999121525</v>
      </c>
      <c r="O58">
        <f t="shared" si="22"/>
        <v>1022.5912090951708</v>
      </c>
      <c r="P58">
        <f t="shared" si="22"/>
        <v>1053.2689453680259</v>
      </c>
      <c r="Q58">
        <f t="shared" si="22"/>
        <v>1084.8670137290669</v>
      </c>
      <c r="R58">
        <f t="shared" si="22"/>
        <v>1117.4130241409389</v>
      </c>
      <c r="S58">
        <f t="shared" si="22"/>
        <v>1150.9354148651671</v>
      </c>
      <c r="T58">
        <f t="shared" si="22"/>
        <v>1185.463477311122</v>
      </c>
      <c r="U58">
        <f t="shared" si="22"/>
        <v>1221.0273816304557</v>
      </c>
      <c r="V58">
        <f t="shared" si="22"/>
        <v>1257.6582030793695</v>
      </c>
    </row>
    <row r="59" spans="2:22">
      <c r="B59" s="407" t="s">
        <v>486</v>
      </c>
      <c r="F59" s="19">
        <v>2.5548429764420999</v>
      </c>
      <c r="G59" s="17" t="s">
        <v>315</v>
      </c>
    </row>
    <row r="60" spans="2:22">
      <c r="B60" s="28" t="s">
        <v>480</v>
      </c>
      <c r="C60" s="28"/>
      <c r="D60" s="28"/>
      <c r="E60" s="28"/>
      <c r="F60" s="28"/>
      <c r="G60" s="28"/>
      <c r="H60" s="28"/>
      <c r="I60" s="28"/>
      <c r="J60" s="47">
        <f>J58*J$37/Billion</f>
        <v>3.2339632369195259</v>
      </c>
      <c r="K60" s="47">
        <f t="shared" ref="K60:V60" si="23">K58*K$37/Billion</f>
        <v>3.4309115980479254</v>
      </c>
      <c r="L60" s="47">
        <f t="shared" si="23"/>
        <v>3.6398541143690442</v>
      </c>
      <c r="M60" s="47">
        <f t="shared" si="23"/>
        <v>3.8615212299341204</v>
      </c>
      <c r="N60" s="47">
        <f t="shared" si="23"/>
        <v>4.0966878728371086</v>
      </c>
      <c r="O60" s="47">
        <f t="shared" si="23"/>
        <v>4.3461761642928876</v>
      </c>
      <c r="P60" s="47">
        <f t="shared" si="23"/>
        <v>4.6108582926983255</v>
      </c>
      <c r="Q60" s="47">
        <f t="shared" si="23"/>
        <v>4.891659562723655</v>
      </c>
      <c r="R60" s="47">
        <f t="shared" si="23"/>
        <v>5.1895616300935252</v>
      </c>
      <c r="S60" s="47">
        <f t="shared" si="23"/>
        <v>5.5056059333662217</v>
      </c>
      <c r="T60" s="47">
        <f t="shared" si="23"/>
        <v>5.840897334708222</v>
      </c>
      <c r="U60" s="47">
        <f t="shared" si="23"/>
        <v>6.1966079823919538</v>
      </c>
      <c r="V60" s="47">
        <f t="shared" si="23"/>
        <v>6.5739814085196233</v>
      </c>
    </row>
    <row r="61" spans="2:22">
      <c r="G61"/>
    </row>
    <row r="62" spans="2:22">
      <c r="B62" s="2" t="s">
        <v>488</v>
      </c>
      <c r="G62"/>
    </row>
    <row r="63" spans="2:22">
      <c r="B63" s="407" t="s">
        <v>478</v>
      </c>
      <c r="G63"/>
      <c r="I63" s="13">
        <v>1</v>
      </c>
      <c r="J63" s="13">
        <f>I63*(1+Input!K85)*J12</f>
        <v>1.0349999999999999</v>
      </c>
      <c r="K63" s="13">
        <f>J63*(1+Input!L85)*K12</f>
        <v>1.0712249999999999</v>
      </c>
      <c r="L63" s="13">
        <f>K63*(1+Input!M85)*L12</f>
        <v>1.1087178749999997</v>
      </c>
      <c r="M63" s="13">
        <f>L63*(1+Input!N85)*M12</f>
        <v>1.1475230006249997</v>
      </c>
      <c r="N63" s="13">
        <f>M63*(1+Input!O85)*N12</f>
        <v>1.1876863056468745</v>
      </c>
      <c r="O63" s="13">
        <f>N63*(1+Input!P85)*O12</f>
        <v>1.229255326344515</v>
      </c>
      <c r="P63" s="13">
        <f>O63*(1+Input!Q85)*P12</f>
        <v>1.2722792627665729</v>
      </c>
      <c r="Q63" s="13">
        <f>P63*(1+Input!R85)*Q12</f>
        <v>1.3168090369634029</v>
      </c>
      <c r="R63" s="13">
        <f>Q63*(1+Input!S85)*R12</f>
        <v>1.3628973532571218</v>
      </c>
      <c r="S63" s="13">
        <f>R63*(1+Input!T85)*S12</f>
        <v>1.410598760621121</v>
      </c>
      <c r="T63" s="13">
        <f>S63*(1+Input!U85)*T12</f>
        <v>1.4599697172428601</v>
      </c>
      <c r="U63" s="13">
        <f>T63*(1+Input!V85)*U12</f>
        <v>1.5110686573463601</v>
      </c>
      <c r="V63" s="13">
        <f>U63*(1+Input!W85)*V12</f>
        <v>1.5639560603534826</v>
      </c>
    </row>
    <row r="64" spans="2:22">
      <c r="B64" t="s">
        <v>479</v>
      </c>
      <c r="F64" s="19">
        <v>2.0920344480000002</v>
      </c>
      <c r="G64" s="17" t="s">
        <v>315</v>
      </c>
    </row>
    <row r="65" spans="2:22">
      <c r="B65" s="28" t="s">
        <v>480</v>
      </c>
      <c r="C65" s="28"/>
      <c r="D65" s="28"/>
      <c r="E65" s="28"/>
      <c r="F65" s="28"/>
      <c r="G65" s="28"/>
      <c r="H65" s="28"/>
      <c r="I65" s="28"/>
      <c r="J65" s="47">
        <f>$F64*J63</f>
        <v>2.1652556536800001</v>
      </c>
      <c r="K65" s="47">
        <f t="shared" ref="K65:V65" si="24">$F64*K63</f>
        <v>2.2410396015587999</v>
      </c>
      <c r="L65" s="47">
        <f t="shared" si="24"/>
        <v>2.3194759876133575</v>
      </c>
      <c r="M65" s="47">
        <f t="shared" si="24"/>
        <v>2.4006576471798251</v>
      </c>
      <c r="N65" s="47">
        <f t="shared" si="24"/>
        <v>2.4846806648311186</v>
      </c>
      <c r="O65" s="47">
        <f t="shared" si="24"/>
        <v>2.5716444881002074</v>
      </c>
      <c r="P65" s="47">
        <f t="shared" si="24"/>
        <v>2.6616520451837142</v>
      </c>
      <c r="Q65" s="47">
        <f t="shared" si="24"/>
        <v>2.7548098667651444</v>
      </c>
      <c r="R65" s="47">
        <f t="shared" si="24"/>
        <v>2.8512282121019239</v>
      </c>
      <c r="S65" s="47">
        <f t="shared" si="24"/>
        <v>2.9510211995254911</v>
      </c>
      <c r="T65" s="47">
        <f t="shared" si="24"/>
        <v>3.0543069415088833</v>
      </c>
      <c r="U65" s="47">
        <f t="shared" si="24"/>
        <v>3.1612076844616936</v>
      </c>
      <c r="V65" s="47">
        <f t="shared" si="24"/>
        <v>3.2718499534178527</v>
      </c>
    </row>
    <row r="66" spans="2:22">
      <c r="G66"/>
    </row>
    <row r="67" spans="2:22">
      <c r="B67" s="2" t="s">
        <v>489</v>
      </c>
      <c r="G67"/>
    </row>
    <row r="68" spans="2:22">
      <c r="B68" s="407" t="s">
        <v>478</v>
      </c>
      <c r="E68" s="58" t="s">
        <v>482</v>
      </c>
      <c r="F68" s="58" t="s">
        <v>483</v>
      </c>
      <c r="G68"/>
      <c r="I68" s="13">
        <v>1</v>
      </c>
      <c r="J68" s="13">
        <f>I68*(1+Input!K91)*J$12</f>
        <v>1.03</v>
      </c>
      <c r="K68" s="13">
        <f>J68*(1+Input!L91)*K$12</f>
        <v>1.0609</v>
      </c>
      <c r="L68" s="13">
        <f>K68*(1+Input!M91)*L$12</f>
        <v>1.092727</v>
      </c>
      <c r="M68" s="13">
        <f>L68*(1+Input!N91)*M$12</f>
        <v>1.1255088100000001</v>
      </c>
      <c r="N68" s="13">
        <f>M68*(1+Input!O91)*N$12</f>
        <v>1.1592740743000001</v>
      </c>
      <c r="O68" s="13">
        <f>N68*(1+Input!P91)*O$12</f>
        <v>1.1940522965290001</v>
      </c>
      <c r="P68" s="13">
        <f>O68*(1+Input!Q91)*P$12</f>
        <v>1.2298738654248702</v>
      </c>
      <c r="Q68" s="13">
        <f>P68*(1+Input!R91)*Q$12</f>
        <v>1.2667700813876164</v>
      </c>
      <c r="R68" s="13">
        <f>Q68*(1+Input!S91)*R$12</f>
        <v>1.3047731838292449</v>
      </c>
      <c r="S68" s="13">
        <f>R68*(1+Input!T91)*S$12</f>
        <v>1.3439163793441222</v>
      </c>
      <c r="T68" s="13">
        <f>S68*(1+Input!U91)*T$12</f>
        <v>1.3842338707244459</v>
      </c>
      <c r="U68" s="13">
        <f>T68*(1+Input!V91)*U$12</f>
        <v>1.4257608868461793</v>
      </c>
      <c r="V68" s="13">
        <f>U68*(1+Input!W91)*V$12</f>
        <v>1.4685337134515648</v>
      </c>
    </row>
    <row r="69" spans="2:22">
      <c r="B69" s="407" t="s">
        <v>484</v>
      </c>
      <c r="E69" s="19">
        <v>3579865.8499999996</v>
      </c>
      <c r="F69" s="19">
        <f>F70/E69*Billion*120%</f>
        <v>685.4517589278604</v>
      </c>
      <c r="G69" s="17" t="s">
        <v>485</v>
      </c>
      <c r="J69">
        <f t="shared" ref="J69:V69" si="25">$F69*J68</f>
        <v>706.01531169569625</v>
      </c>
      <c r="K69">
        <f t="shared" si="25"/>
        <v>727.19577104656707</v>
      </c>
      <c r="L69">
        <f t="shared" si="25"/>
        <v>749.01164417796406</v>
      </c>
      <c r="M69">
        <f t="shared" si="25"/>
        <v>771.4819935033031</v>
      </c>
      <c r="N69">
        <f t="shared" si="25"/>
        <v>794.62645330840212</v>
      </c>
      <c r="O69">
        <f t="shared" si="25"/>
        <v>818.46524690765432</v>
      </c>
      <c r="P69">
        <f t="shared" si="25"/>
        <v>843.01920431488395</v>
      </c>
      <c r="Q69">
        <f t="shared" si="25"/>
        <v>868.3097804443305</v>
      </c>
      <c r="R69">
        <f t="shared" si="25"/>
        <v>894.35907385766041</v>
      </c>
      <c r="S69">
        <f t="shared" si="25"/>
        <v>921.1898460733903</v>
      </c>
      <c r="T69">
        <f t="shared" si="25"/>
        <v>948.82554145559197</v>
      </c>
      <c r="U69">
        <f t="shared" si="25"/>
        <v>977.29030769925976</v>
      </c>
      <c r="V69">
        <f t="shared" si="25"/>
        <v>1006.6090169302377</v>
      </c>
    </row>
    <row r="70" spans="2:22">
      <c r="B70" s="407" t="s">
        <v>486</v>
      </c>
      <c r="F70" s="19">
        <v>2.0448544530068999</v>
      </c>
      <c r="G70" s="17" t="s">
        <v>315</v>
      </c>
    </row>
    <row r="71" spans="2:22">
      <c r="B71" s="28" t="s">
        <v>480</v>
      </c>
      <c r="C71" s="28"/>
      <c r="D71" s="28"/>
      <c r="E71" s="28"/>
      <c r="F71" s="28"/>
      <c r="G71" s="28"/>
      <c r="H71" s="28"/>
      <c r="I71" s="28"/>
      <c r="J71" s="47">
        <f>J69*J$37/Billion</f>
        <v>2.5884111809817796</v>
      </c>
      <c r="K71" s="47">
        <f t="shared" ref="K71:V71" si="26">K69*K$37/Billion</f>
        <v>2.7460454219035704</v>
      </c>
      <c r="L71" s="47">
        <f t="shared" si="26"/>
        <v>2.9132795880974971</v>
      </c>
      <c r="M71" s="47">
        <f t="shared" si="26"/>
        <v>3.0906983150126357</v>
      </c>
      <c r="N71" s="47">
        <f t="shared" si="26"/>
        <v>3.2789218423969051</v>
      </c>
      <c r="O71" s="47">
        <f t="shared" si="26"/>
        <v>3.4786081825988768</v>
      </c>
      <c r="P71" s="47">
        <f t="shared" si="26"/>
        <v>3.6904554209191494</v>
      </c>
      <c r="Q71" s="47">
        <f t="shared" si="26"/>
        <v>3.9152041560531252</v>
      </c>
      <c r="R71" s="47">
        <f t="shared" si="26"/>
        <v>4.1536400891567604</v>
      </c>
      <c r="S71" s="47">
        <f t="shared" si="26"/>
        <v>4.4065967705864084</v>
      </c>
      <c r="T71" s="47">
        <f t="shared" si="26"/>
        <v>4.6749585139151195</v>
      </c>
      <c r="U71" s="47">
        <f t="shared" si="26"/>
        <v>4.9596634874125511</v>
      </c>
      <c r="V71" s="47">
        <f t="shared" si="26"/>
        <v>5.2617069937959755</v>
      </c>
    </row>
    <row r="72" spans="2:22">
      <c r="G72"/>
    </row>
    <row r="73" spans="2:22">
      <c r="B73" s="2" t="s">
        <v>490</v>
      </c>
      <c r="G73"/>
    </row>
    <row r="74" spans="2:22">
      <c r="B74" s="407" t="s">
        <v>478</v>
      </c>
      <c r="E74" s="58" t="s">
        <v>482</v>
      </c>
      <c r="F74" s="58" t="s">
        <v>483</v>
      </c>
      <c r="G74"/>
      <c r="I74" s="13">
        <v>1</v>
      </c>
      <c r="J74" s="13">
        <f>I74*(1+Input!K95)*J12</f>
        <v>1.0349999999999999</v>
      </c>
      <c r="K74" s="13">
        <f>J74*(1+Input!L95)*K12</f>
        <v>1.0712249999999999</v>
      </c>
      <c r="L74" s="13">
        <f>K74*(1+Input!M95)*L12</f>
        <v>1.1087178749999997</v>
      </c>
      <c r="M74" s="13">
        <f>L74*(1+Input!N95)*M12</f>
        <v>1.1475230006249997</v>
      </c>
      <c r="N74" s="13">
        <f>M74*(1+Input!O95)*N12</f>
        <v>1.1876863056468745</v>
      </c>
      <c r="O74" s="13">
        <f>N74*(1+Input!P95)*O12</f>
        <v>1.229255326344515</v>
      </c>
      <c r="P74" s="13">
        <f>O74*(1+Input!Q95)*P12</f>
        <v>1.2722792627665729</v>
      </c>
      <c r="Q74" s="13">
        <f>P74*(1+Input!R95)*Q12</f>
        <v>1.3168090369634029</v>
      </c>
      <c r="R74" s="13">
        <f>Q74*(1+Input!S95)*R12</f>
        <v>1.3628973532571218</v>
      </c>
      <c r="S74" s="13">
        <f>R74*(1+Input!T95)*S12</f>
        <v>1.410598760621121</v>
      </c>
      <c r="T74" s="13">
        <f>S74*(1+Input!U95)*T12</f>
        <v>1.4599697172428601</v>
      </c>
      <c r="U74" s="13">
        <f>T74*(1+Input!V95)*U12</f>
        <v>1.5110686573463601</v>
      </c>
      <c r="V74" s="13">
        <f>U74*(1+Input!W95)*V12</f>
        <v>1.5639560603534826</v>
      </c>
    </row>
    <row r="75" spans="2:22">
      <c r="B75" s="407" t="s">
        <v>484</v>
      </c>
      <c r="E75" s="19">
        <v>3579865.8499999996</v>
      </c>
      <c r="F75" s="19">
        <f>F76/E75*Billion</f>
        <v>348.14268193876597</v>
      </c>
      <c r="G75" s="17" t="s">
        <v>485</v>
      </c>
      <c r="J75">
        <f t="shared" ref="J75:V75" si="27">$F75*J74</f>
        <v>360.32767580662278</v>
      </c>
      <c r="K75">
        <f t="shared" si="27"/>
        <v>372.93914445985456</v>
      </c>
      <c r="L75">
        <f t="shared" si="27"/>
        <v>385.99201451594939</v>
      </c>
      <c r="M75">
        <f t="shared" si="27"/>
        <v>399.50173502400759</v>
      </c>
      <c r="N75">
        <f t="shared" si="27"/>
        <v>413.48429574984783</v>
      </c>
      <c r="O75">
        <f t="shared" si="27"/>
        <v>427.95624610109246</v>
      </c>
      <c r="P75">
        <f t="shared" si="27"/>
        <v>442.93471471463062</v>
      </c>
      <c r="Q75">
        <f t="shared" si="27"/>
        <v>458.4374297296427</v>
      </c>
      <c r="R75">
        <f t="shared" si="27"/>
        <v>474.4827397701801</v>
      </c>
      <c r="S75">
        <f t="shared" si="27"/>
        <v>491.0896356621364</v>
      </c>
      <c r="T75">
        <f t="shared" si="27"/>
        <v>508.27777291031111</v>
      </c>
      <c r="U75">
        <f t="shared" si="27"/>
        <v>526.06749496217196</v>
      </c>
      <c r="V75">
        <f t="shared" si="27"/>
        <v>544.47985728584797</v>
      </c>
    </row>
    <row r="76" spans="2:22">
      <c r="B76" s="407" t="s">
        <v>486</v>
      </c>
      <c r="F76" s="19">
        <v>1.246304098</v>
      </c>
      <c r="G76" s="17" t="s">
        <v>315</v>
      </c>
    </row>
    <row r="77" spans="2:22">
      <c r="B77" s="28" t="s">
        <v>480</v>
      </c>
      <c r="C77" s="28"/>
      <c r="D77" s="28"/>
      <c r="E77" s="28"/>
      <c r="F77" s="28"/>
      <c r="G77" s="28"/>
      <c r="H77" s="28"/>
      <c r="I77" s="28"/>
      <c r="J77" s="47">
        <f>J75*J$37/Billion</f>
        <v>1.321042432684574</v>
      </c>
      <c r="K77" s="47">
        <f t="shared" ref="K77:V77" si="28">K75*K$37/Billion</f>
        <v>1.4082972853633902</v>
      </c>
      <c r="L77" s="47">
        <f t="shared" si="28"/>
        <v>1.5013153210616417</v>
      </c>
      <c r="M77" s="47">
        <f t="shared" si="28"/>
        <v>1.6004771980177632</v>
      </c>
      <c r="N77" s="47">
        <f t="shared" si="28"/>
        <v>1.7061887169468364</v>
      </c>
      <c r="O77" s="47">
        <f t="shared" si="28"/>
        <v>1.8188824817011748</v>
      </c>
      <c r="P77" s="47">
        <f t="shared" si="28"/>
        <v>1.9390196696175372</v>
      </c>
      <c r="Q77" s="47">
        <f t="shared" si="28"/>
        <v>2.0670919187957755</v>
      </c>
      <c r="R77" s="47">
        <f t="shared" si="28"/>
        <v>2.203623340032236</v>
      </c>
      <c r="S77" s="47">
        <f t="shared" si="28"/>
        <v>2.3491726616413655</v>
      </c>
      <c r="T77" s="47">
        <f t="shared" si="28"/>
        <v>2.5043355159427771</v>
      </c>
      <c r="U77" s="47">
        <f t="shared" si="28"/>
        <v>2.6697468767707973</v>
      </c>
      <c r="V77" s="47">
        <f t="shared" si="28"/>
        <v>2.8460836579815081</v>
      </c>
    </row>
    <row r="78" spans="2:22">
      <c r="G78"/>
    </row>
    <row r="79" spans="2:22">
      <c r="B79" s="2" t="s">
        <v>491</v>
      </c>
      <c r="G79"/>
    </row>
    <row r="80" spans="2:22">
      <c r="B80" s="407" t="s">
        <v>478</v>
      </c>
      <c r="G80"/>
      <c r="J80" s="25">
        <f>Input!K100</f>
        <v>2.1302304373178781E-2</v>
      </c>
      <c r="K80" s="25">
        <f>Input!L100</f>
        <v>2.1302304373178781E-2</v>
      </c>
      <c r="L80" s="25">
        <f>Input!M100</f>
        <v>2.1302304373178781E-2</v>
      </c>
      <c r="M80" s="25">
        <f>Input!N100</f>
        <v>2.1302304373178781E-2</v>
      </c>
      <c r="N80" s="25">
        <f>Input!O100</f>
        <v>2.1302304373178781E-2</v>
      </c>
      <c r="O80" s="25">
        <f>Input!P100</f>
        <v>2.1302304373178781E-2</v>
      </c>
      <c r="P80" s="25">
        <f>Input!Q100</f>
        <v>2.1302304373178781E-2</v>
      </c>
      <c r="Q80" s="25">
        <f>Input!R100</f>
        <v>2.1302304373178781E-2</v>
      </c>
      <c r="R80" s="25">
        <f>Input!S100</f>
        <v>2.1302304373178781E-2</v>
      </c>
      <c r="S80" s="25">
        <f>Input!T100</f>
        <v>2.1302304373178781E-2</v>
      </c>
      <c r="T80" s="25">
        <f>Input!U100</f>
        <v>2.1302304373178781E-2</v>
      </c>
      <c r="U80" s="25">
        <f>Input!V100</f>
        <v>2.1302304373178781E-2</v>
      </c>
      <c r="V80" s="25">
        <f>Input!W100</f>
        <v>2.1302304373178781E-2</v>
      </c>
    </row>
    <row r="81" spans="2:22">
      <c r="B81" s="407" t="s">
        <v>492</v>
      </c>
      <c r="G81"/>
      <c r="J81" s="20">
        <f>J43</f>
        <v>41.467075682422298</v>
      </c>
      <c r="K81" s="20">
        <f t="shared" ref="K81:V81" si="29">K43</f>
        <v>41.467075682422298</v>
      </c>
      <c r="L81" s="20">
        <f t="shared" si="29"/>
        <v>42.467075682422298</v>
      </c>
      <c r="M81" s="20">
        <f t="shared" si="29"/>
        <v>42.467075682422298</v>
      </c>
      <c r="N81" s="20">
        <f t="shared" si="29"/>
        <v>42.467075682422298</v>
      </c>
      <c r="O81" s="20">
        <f t="shared" si="29"/>
        <v>43.467075682422298</v>
      </c>
      <c r="P81" s="20">
        <f t="shared" si="29"/>
        <v>43.467075682422298</v>
      </c>
      <c r="Q81" s="20">
        <f t="shared" si="29"/>
        <v>43.467075682422298</v>
      </c>
      <c r="R81" s="20">
        <f t="shared" si="29"/>
        <v>44.467075682422298</v>
      </c>
      <c r="S81" s="20">
        <f t="shared" si="29"/>
        <v>44.467075682422298</v>
      </c>
      <c r="T81" s="20">
        <f t="shared" si="29"/>
        <v>44.467075682422298</v>
      </c>
      <c r="U81" s="20">
        <f t="shared" si="29"/>
        <v>44.467075682422298</v>
      </c>
      <c r="V81" s="20">
        <f t="shared" si="29"/>
        <v>44.467075682422298</v>
      </c>
    </row>
    <row r="82" spans="2:22">
      <c r="B82" t="s">
        <v>479</v>
      </c>
      <c r="G82" s="17" t="s">
        <v>315</v>
      </c>
    </row>
    <row r="83" spans="2:22">
      <c r="B83" s="28" t="s">
        <v>480</v>
      </c>
      <c r="C83" s="28"/>
      <c r="D83" s="28"/>
      <c r="E83" s="28"/>
      <c r="F83" s="28"/>
      <c r="G83" s="28"/>
      <c r="H83" s="28"/>
      <c r="I83" s="28"/>
      <c r="J83" s="47">
        <f>J80*J81</f>
        <v>0.88334426765259999</v>
      </c>
      <c r="K83" s="47">
        <f t="shared" ref="K83:V83" si="30">K80*K81</f>
        <v>0.88334426765259999</v>
      </c>
      <c r="L83" s="47">
        <f t="shared" si="30"/>
        <v>0.90464657202577881</v>
      </c>
      <c r="M83" s="47">
        <f t="shared" si="30"/>
        <v>0.90464657202577881</v>
      </c>
      <c r="N83" s="47">
        <f t="shared" si="30"/>
        <v>0.90464657202577881</v>
      </c>
      <c r="O83" s="47">
        <f t="shared" si="30"/>
        <v>0.92594887639895751</v>
      </c>
      <c r="P83" s="47">
        <f t="shared" si="30"/>
        <v>0.92594887639895751</v>
      </c>
      <c r="Q83" s="47">
        <f t="shared" si="30"/>
        <v>0.92594887639895751</v>
      </c>
      <c r="R83" s="47">
        <f t="shared" si="30"/>
        <v>0.94725118077213633</v>
      </c>
      <c r="S83" s="47">
        <f t="shared" si="30"/>
        <v>0.94725118077213633</v>
      </c>
      <c r="T83" s="47">
        <f t="shared" si="30"/>
        <v>0.94725118077213633</v>
      </c>
      <c r="U83" s="47">
        <f t="shared" si="30"/>
        <v>0.94725118077213633</v>
      </c>
      <c r="V83" s="47">
        <f t="shared" si="30"/>
        <v>0.94725118077213633</v>
      </c>
    </row>
    <row r="84" spans="2:22">
      <c r="G84"/>
    </row>
    <row r="85" spans="2:22">
      <c r="B85" s="2" t="s">
        <v>493</v>
      </c>
      <c r="G85"/>
    </row>
    <row r="86" spans="2:22">
      <c r="B86" s="407" t="s">
        <v>478</v>
      </c>
      <c r="E86" s="58" t="s">
        <v>482</v>
      </c>
      <c r="F86" s="58" t="s">
        <v>483</v>
      </c>
      <c r="G86"/>
      <c r="I86" s="13">
        <v>1</v>
      </c>
      <c r="J86" s="13">
        <f>I86*(1+Input!K105)*J12</f>
        <v>1.0349999999999999</v>
      </c>
      <c r="K86" s="13">
        <f>J86*(1+Input!L105)*K12</f>
        <v>1.0712249999999999</v>
      </c>
      <c r="L86" s="13">
        <f>K86*(1+Input!M105)*L12</f>
        <v>1.1087178749999997</v>
      </c>
      <c r="M86" s="13">
        <f>L86*(1+Input!N105)*M12</f>
        <v>1.1475230006249997</v>
      </c>
      <c r="N86" s="13">
        <f>M86*(1+Input!O105)*N12</f>
        <v>1.1876863056468745</v>
      </c>
      <c r="O86" s="13">
        <f>N86*(1+Input!P105)*O12</f>
        <v>1.229255326344515</v>
      </c>
      <c r="P86" s="13">
        <f>O86*(1+Input!Q105)*P12</f>
        <v>1.2722792627665729</v>
      </c>
      <c r="Q86" s="13">
        <f>P86*(1+Input!R105)*Q12</f>
        <v>1.3168090369634029</v>
      </c>
      <c r="R86" s="13">
        <f>Q86*(1+Input!S105)*R12</f>
        <v>1.3628973532571218</v>
      </c>
      <c r="S86" s="13">
        <f>R86*(1+Input!T105)*S12</f>
        <v>1.410598760621121</v>
      </c>
      <c r="T86" s="13">
        <f>S86*(1+Input!U105)*T12</f>
        <v>1.4599697172428601</v>
      </c>
      <c r="U86" s="13">
        <f>T86*(1+Input!V105)*U12</f>
        <v>1.5110686573463601</v>
      </c>
      <c r="V86" s="13">
        <f>U86*(1+Input!W105)*V12</f>
        <v>1.5639560603534826</v>
      </c>
    </row>
    <row r="87" spans="2:22">
      <c r="B87" s="407" t="s">
        <v>484</v>
      </c>
      <c r="E87" s="19">
        <v>3579865.8499999996</v>
      </c>
      <c r="F87" s="19">
        <f>F88/E87*Billion</f>
        <v>180.19110967524105</v>
      </c>
      <c r="G87" s="17" t="s">
        <v>485</v>
      </c>
      <c r="J87">
        <f t="shared" ref="J87:V87" si="31">$F87*J86</f>
        <v>186.49779851387447</v>
      </c>
      <c r="K87">
        <f t="shared" si="31"/>
        <v>193.02522146186007</v>
      </c>
      <c r="L87">
        <f t="shared" si="31"/>
        <v>199.78110421302515</v>
      </c>
      <c r="M87">
        <f t="shared" si="31"/>
        <v>206.77344286048103</v>
      </c>
      <c r="N87">
        <f t="shared" si="31"/>
        <v>214.01051336059783</v>
      </c>
      <c r="O87">
        <f t="shared" si="31"/>
        <v>221.50088132821872</v>
      </c>
      <c r="P87">
        <f t="shared" si="31"/>
        <v>229.25341217470637</v>
      </c>
      <c r="Q87">
        <f t="shared" si="31"/>
        <v>237.27728160082108</v>
      </c>
      <c r="R87">
        <f t="shared" si="31"/>
        <v>245.58198645684979</v>
      </c>
      <c r="S87">
        <f t="shared" si="31"/>
        <v>254.17735598283952</v>
      </c>
      <c r="T87">
        <f t="shared" si="31"/>
        <v>263.07356344223888</v>
      </c>
      <c r="U87">
        <f t="shared" si="31"/>
        <v>272.28113816271718</v>
      </c>
      <c r="V87">
        <f t="shared" si="31"/>
        <v>281.81097799841228</v>
      </c>
    </row>
    <row r="88" spans="2:22">
      <c r="B88" s="407" t="s">
        <v>486</v>
      </c>
      <c r="F88" s="19">
        <v>0.64505999999999997</v>
      </c>
      <c r="G88" s="17" t="s">
        <v>315</v>
      </c>
    </row>
    <row r="89" spans="2:22">
      <c r="B89" s="28" t="s">
        <v>480</v>
      </c>
      <c r="C89" s="28"/>
      <c r="D89" s="28"/>
      <c r="E89" s="28"/>
      <c r="F89" s="28"/>
      <c r="G89" s="28"/>
      <c r="H89" s="28"/>
      <c r="I89" s="28"/>
      <c r="J89" s="47">
        <f>J87*J$37/Billion</f>
        <v>0.68374294282992176</v>
      </c>
      <c r="K89" s="47">
        <f t="shared" ref="K89:V89" si="32">K87*K$37/Billion</f>
        <v>0.72890416420383808</v>
      </c>
      <c r="L89" s="47">
        <f t="shared" si="32"/>
        <v>0.77704828424950145</v>
      </c>
      <c r="M89" s="47">
        <f t="shared" si="32"/>
        <v>0.8283723234241811</v>
      </c>
      <c r="N89" s="47">
        <f t="shared" si="32"/>
        <v>0.8830863153863483</v>
      </c>
      <c r="O89" s="47">
        <f t="shared" si="32"/>
        <v>0.94141416651761645</v>
      </c>
      <c r="P89" s="47">
        <f t="shared" si="32"/>
        <v>1.003594572216105</v>
      </c>
      <c r="Q89" s="47">
        <f t="shared" si="32"/>
        <v>1.0698819937109787</v>
      </c>
      <c r="R89" s="47">
        <f t="shared" si="32"/>
        <v>1.1405476993955885</v>
      </c>
      <c r="S89" s="47">
        <f t="shared" si="32"/>
        <v>1.2158808749406673</v>
      </c>
      <c r="T89" s="47">
        <f t="shared" si="32"/>
        <v>1.296189806730498</v>
      </c>
      <c r="U89" s="47">
        <f t="shared" si="32"/>
        <v>1.3818031434650473</v>
      </c>
      <c r="V89" s="47">
        <f t="shared" si="32"/>
        <v>1.4730712410909135</v>
      </c>
    </row>
    <row r="90" spans="2:22">
      <c r="G90"/>
    </row>
    <row r="91" spans="2:22">
      <c r="B91" s="2" t="s">
        <v>494</v>
      </c>
      <c r="G91"/>
    </row>
    <row r="92" spans="2:22">
      <c r="B92" s="407" t="s">
        <v>478</v>
      </c>
      <c r="E92" s="58" t="s">
        <v>482</v>
      </c>
      <c r="F92" s="58" t="s">
        <v>483</v>
      </c>
      <c r="G92"/>
      <c r="I92" s="13">
        <v>1</v>
      </c>
      <c r="J92" s="13">
        <f>I92*(1+Input!K110)*J12</f>
        <v>1.03</v>
      </c>
      <c r="K92" s="13">
        <f>J92*(1+Input!L110)*K12</f>
        <v>1.0609</v>
      </c>
      <c r="L92" s="13">
        <f>K92*(1+Input!M110)*L12</f>
        <v>1.092727</v>
      </c>
      <c r="M92" s="13">
        <f>L92*(1+Input!N110)*M12</f>
        <v>1.1255088100000001</v>
      </c>
      <c r="N92" s="13">
        <f>M92*(1+Input!O110)*N12</f>
        <v>1.1592740743000001</v>
      </c>
      <c r="O92" s="13">
        <f>N92*(1+Input!P110)*O12</f>
        <v>1.1940522965290001</v>
      </c>
      <c r="P92" s="13">
        <f>O92*(1+Input!Q110)*P12</f>
        <v>1.2298738654248702</v>
      </c>
      <c r="Q92" s="13">
        <f>P92*(1+Input!R110)*Q12</f>
        <v>1.2667700813876164</v>
      </c>
      <c r="R92" s="13">
        <f>Q92*(1+Input!S110)*R12</f>
        <v>1.3047731838292449</v>
      </c>
      <c r="S92" s="13">
        <f>R92*(1+Input!T110)*S12</f>
        <v>1.3439163793441222</v>
      </c>
      <c r="T92" s="13">
        <f>S92*(1+Input!U110)*T12</f>
        <v>1.3842338707244459</v>
      </c>
      <c r="U92" s="13">
        <f>T92*(1+Input!V110)*U12</f>
        <v>1.4257608868461793</v>
      </c>
      <c r="V92" s="13">
        <f>U92*(1+Input!W110)*V12</f>
        <v>1.4685337134515648</v>
      </c>
    </row>
    <row r="93" spans="2:22">
      <c r="B93" s="407" t="s">
        <v>484</v>
      </c>
      <c r="E93" s="19">
        <v>3579865.8499999996</v>
      </c>
      <c r="F93" s="19">
        <f>F94/E93*Billion</f>
        <v>66.750237914753157</v>
      </c>
      <c r="G93" s="17" t="s">
        <v>485</v>
      </c>
      <c r="J93">
        <f t="shared" ref="J93:V93" si="33">$F93*J92</f>
        <v>68.752745052195749</v>
      </c>
      <c r="K93">
        <f t="shared" si="33"/>
        <v>70.815327403761614</v>
      </c>
      <c r="L93">
        <f t="shared" si="33"/>
        <v>72.939787225874468</v>
      </c>
      <c r="M93">
        <f t="shared" si="33"/>
        <v>75.127980842650715</v>
      </c>
      <c r="N93">
        <f t="shared" si="33"/>
        <v>77.381820267930237</v>
      </c>
      <c r="O93">
        <f t="shared" si="33"/>
        <v>79.703274875968148</v>
      </c>
      <c r="P93">
        <f t="shared" si="33"/>
        <v>82.094373122247191</v>
      </c>
      <c r="Q93">
        <f t="shared" si="33"/>
        <v>84.557204315914618</v>
      </c>
      <c r="R93">
        <f t="shared" si="33"/>
        <v>87.093920445392058</v>
      </c>
      <c r="S93">
        <f t="shared" si="33"/>
        <v>89.706738058753814</v>
      </c>
      <c r="T93">
        <f t="shared" si="33"/>
        <v>92.39794020051643</v>
      </c>
      <c r="U93">
        <f t="shared" si="33"/>
        <v>95.169878406531922</v>
      </c>
      <c r="V93">
        <f t="shared" si="33"/>
        <v>98.024974758727893</v>
      </c>
    </row>
    <row r="94" spans="2:22">
      <c r="B94" s="407" t="s">
        <v>486</v>
      </c>
      <c r="F94" s="19">
        <v>0.2389568971904</v>
      </c>
      <c r="G94" s="17" t="s">
        <v>315</v>
      </c>
    </row>
    <row r="95" spans="2:22">
      <c r="B95" s="28" t="s">
        <v>480</v>
      </c>
      <c r="C95" s="28"/>
      <c r="D95" s="28"/>
      <c r="E95" s="28"/>
      <c r="F95" s="28"/>
      <c r="G95" s="28"/>
      <c r="H95" s="28"/>
      <c r="I95" s="28"/>
      <c r="J95" s="47">
        <f>J93*J$37/Billion</f>
        <v>0.25206305170474397</v>
      </c>
      <c r="K95" s="47">
        <f t="shared" ref="K95:V95" si="34">K93*K$37/Billion</f>
        <v>0.26741369155356287</v>
      </c>
      <c r="L95" s="47">
        <f t="shared" si="34"/>
        <v>0.28369918536917482</v>
      </c>
      <c r="M95" s="47">
        <f t="shared" si="34"/>
        <v>0.30097646575815767</v>
      </c>
      <c r="N95" s="47">
        <f t="shared" si="34"/>
        <v>0.31930593252282952</v>
      </c>
      <c r="O95" s="47">
        <f t="shared" si="34"/>
        <v>0.33875166381346983</v>
      </c>
      <c r="P95" s="47">
        <f t="shared" si="34"/>
        <v>0.35938164013971019</v>
      </c>
      <c r="Q95" s="47">
        <f t="shared" si="34"/>
        <v>0.38126798202421863</v>
      </c>
      <c r="R95" s="47">
        <f t="shared" si="34"/>
        <v>0.40448720212949352</v>
      </c>
      <c r="S95" s="47">
        <f t="shared" si="34"/>
        <v>0.42912047273917969</v>
      </c>
      <c r="T95" s="47">
        <f t="shared" si="34"/>
        <v>0.45525390952899564</v>
      </c>
      <c r="U95" s="47">
        <f t="shared" si="34"/>
        <v>0.48297887261931149</v>
      </c>
      <c r="V95" s="47">
        <f t="shared" si="34"/>
        <v>0.51239228596182762</v>
      </c>
    </row>
    <row r="96" spans="2:22">
      <c r="G96"/>
    </row>
    <row r="97" spans="2:22" ht="15.75">
      <c r="B97" s="15" t="s">
        <v>495</v>
      </c>
      <c r="G97"/>
    </row>
    <row r="98" spans="2:22">
      <c r="B98" t="s">
        <v>496</v>
      </c>
      <c r="G98"/>
      <c r="I98" s="23">
        <v>1</v>
      </c>
      <c r="J98" s="23">
        <f>I98*(1+Input!K134)*J$12</f>
        <v>1.03</v>
      </c>
      <c r="K98" s="1">
        <f>J98*(1+Input!L134)*K$12</f>
        <v>1.0609</v>
      </c>
      <c r="L98" s="1">
        <f>K98*(1+Input!M134)*L$12</f>
        <v>1.092727</v>
      </c>
      <c r="M98" s="1">
        <f>L98*(1+Input!N134)*M$12</f>
        <v>1.1255088100000001</v>
      </c>
      <c r="N98" s="1">
        <f>M98*(1+Input!O134)*N$12</f>
        <v>1.1592740743000001</v>
      </c>
      <c r="O98" s="1">
        <f>N98*(1+Input!P134)*O$12</f>
        <v>1.1940522965290001</v>
      </c>
      <c r="P98" s="1">
        <f>O98*(1+Input!Q134)*P$12</f>
        <v>1.2298738654248702</v>
      </c>
      <c r="Q98" s="1">
        <f>P98*(1+Input!R134)*Q$12</f>
        <v>1.2667700813876164</v>
      </c>
      <c r="R98" s="1">
        <f>Q98*(1+Input!S134)*R$12</f>
        <v>1.3047731838292449</v>
      </c>
      <c r="S98" s="1">
        <f>R98*(1+Input!T134)*S$12</f>
        <v>1.3439163793441222</v>
      </c>
      <c r="T98" s="1">
        <f>S98*(1+Input!U134)*T$12</f>
        <v>1.3842338707244459</v>
      </c>
      <c r="U98" s="1">
        <f>T98*(1+Input!V134)*U$12</f>
        <v>1.4257608868461793</v>
      </c>
      <c r="V98" s="1">
        <f>U98*(1+Input!W134)*V$12</f>
        <v>1.4685337134515648</v>
      </c>
    </row>
    <row r="99" spans="2:22">
      <c r="B99" t="s">
        <v>497</v>
      </c>
      <c r="G99"/>
      <c r="I99" s="23">
        <v>1</v>
      </c>
      <c r="J99" s="23">
        <f>I99*(1+Input!K135)*J$12</f>
        <v>1.03</v>
      </c>
      <c r="K99" s="1">
        <f>J99*(1+Input!L135)*K$12</f>
        <v>1.0609</v>
      </c>
      <c r="L99" s="1">
        <f>K99*(1+Input!M135)*L$12</f>
        <v>1.092727</v>
      </c>
      <c r="M99" s="1">
        <f>L99*(1+Input!N135)*M$12</f>
        <v>1.1255088100000001</v>
      </c>
      <c r="N99" s="1">
        <f>M99*(1+Input!O135)*N$12</f>
        <v>1.1592740743000001</v>
      </c>
      <c r="O99" s="1">
        <f>N99*(1+Input!P135)*O$12</f>
        <v>1.1940522965290001</v>
      </c>
      <c r="P99" s="1">
        <f>O99*(1+Input!Q135)*P$12</f>
        <v>1.2298738654248702</v>
      </c>
      <c r="Q99" s="1">
        <f>P99*(1+Input!R135)*Q$12</f>
        <v>1.2667700813876164</v>
      </c>
      <c r="R99" s="1">
        <f>Q99*(1+Input!S135)*R$12</f>
        <v>1.3047731838292449</v>
      </c>
      <c r="S99" s="1">
        <f>R99*(1+Input!T135)*S$12</f>
        <v>1.3439163793441222</v>
      </c>
      <c r="T99" s="1">
        <f>S99*(1+Input!U135)*T$12</f>
        <v>1.3842338707244459</v>
      </c>
      <c r="U99" s="1">
        <f>T99*(1+Input!V135)*U$12</f>
        <v>1.4257608868461793</v>
      </c>
      <c r="V99" s="1">
        <f>U99*(1+Input!W135)*V$12</f>
        <v>1.4685337134515648</v>
      </c>
    </row>
    <row r="100" spans="2:22">
      <c r="B100" t="s">
        <v>498</v>
      </c>
      <c r="G100"/>
      <c r="I100" s="23">
        <v>1</v>
      </c>
      <c r="J100" s="23">
        <f>I100*(1+Input!K144)*J$12</f>
        <v>1.03</v>
      </c>
      <c r="K100" s="1">
        <f>J100*(1+Input!L144)*K$12</f>
        <v>1.0609</v>
      </c>
      <c r="L100" s="1">
        <f>K100*(1+Input!M144)*L$12</f>
        <v>1.092727</v>
      </c>
      <c r="M100" s="1">
        <f>L100*(1+Input!N144)*M$12</f>
        <v>1.1255088100000001</v>
      </c>
      <c r="N100" s="1">
        <f>M100*(1+Input!O144)*N$12</f>
        <v>1.1592740743000001</v>
      </c>
      <c r="O100" s="1">
        <f>N100*(1+Input!P144)*O$12</f>
        <v>1.1940522965290001</v>
      </c>
      <c r="P100" s="1">
        <f>O100*(1+Input!Q144)*P$12</f>
        <v>1.2298738654248702</v>
      </c>
      <c r="Q100" s="1">
        <f>P100*(1+Input!R144)*Q$12</f>
        <v>1.2667700813876164</v>
      </c>
      <c r="R100" s="1">
        <f>Q100*(1+Input!S144)*R$12</f>
        <v>1.3047731838292449</v>
      </c>
      <c r="S100" s="1">
        <f>R100*(1+Input!T144)*S$12</f>
        <v>1.3439163793441222</v>
      </c>
      <c r="T100" s="1">
        <f>S100*(1+Input!U144)*T$12</f>
        <v>1.3842338707244459</v>
      </c>
      <c r="U100" s="1">
        <f>T100*(1+Input!V144)*U$12</f>
        <v>1.4257608868461793</v>
      </c>
      <c r="V100" s="1">
        <f>U100*(1+Input!W144)*V$12</f>
        <v>1.4685337134515648</v>
      </c>
    </row>
    <row r="101" spans="2:22">
      <c r="B101" t="s">
        <v>499</v>
      </c>
      <c r="G101"/>
      <c r="I101" s="23">
        <v>1</v>
      </c>
      <c r="J101" s="23">
        <f>I101*(1+Input!K150)*J$12</f>
        <v>1.03</v>
      </c>
      <c r="K101" s="1">
        <f>J101*(1+Input!L150)*K$12</f>
        <v>1.0609</v>
      </c>
      <c r="L101" s="1">
        <f>K101*(1+Input!M150)*L$12</f>
        <v>1.092727</v>
      </c>
      <c r="M101" s="1">
        <f>L101*(1+Input!N150)*M$12</f>
        <v>1.1255088100000001</v>
      </c>
      <c r="N101" s="1">
        <f>M101*(1+Input!O150)*N$12</f>
        <v>1.1592740743000001</v>
      </c>
      <c r="O101" s="1">
        <f>N101*(1+Input!P150)*O$12</f>
        <v>1.1940522965290001</v>
      </c>
      <c r="P101" s="1">
        <f>O101*(1+Input!Q150)*P$12</f>
        <v>1.2298738654248702</v>
      </c>
      <c r="Q101" s="1">
        <f>P101*(1+Input!R150)*Q$12</f>
        <v>1.2667700813876164</v>
      </c>
      <c r="R101" s="1">
        <f>Q101*(1+Input!S150)*R$12</f>
        <v>1.3047731838292449</v>
      </c>
      <c r="S101" s="1">
        <f>R101*(1+Input!T150)*S$12</f>
        <v>1.3439163793441222</v>
      </c>
      <c r="T101" s="1">
        <f>S101*(1+Input!U150)*T$12</f>
        <v>1.3842338707244459</v>
      </c>
      <c r="U101" s="1">
        <f>T101*(1+Input!V150)*U$12</f>
        <v>1.4257608868461793</v>
      </c>
      <c r="V101" s="1">
        <f>U101*(1+Input!W150)*V$12</f>
        <v>1.4685337134515648</v>
      </c>
    </row>
    <row r="102" spans="2:22">
      <c r="B102" t="s">
        <v>500</v>
      </c>
      <c r="G102"/>
      <c r="I102" s="23">
        <v>1</v>
      </c>
      <c r="J102" s="23">
        <f>I102*(1+Input!K155)*J$12</f>
        <v>1.02</v>
      </c>
      <c r="K102" s="1">
        <f>J102*(1+Input!L155)*K$12</f>
        <v>1.0404</v>
      </c>
      <c r="L102" s="1">
        <f>K102*(1+Input!M155)*L$12</f>
        <v>1.0612079999999999</v>
      </c>
      <c r="M102" s="1">
        <f>L102*(1+Input!N155)*M$12</f>
        <v>1.08243216</v>
      </c>
      <c r="N102" s="1">
        <f>M102*(1+Input!O155)*N$12</f>
        <v>1.1040808032</v>
      </c>
      <c r="O102" s="1">
        <f>N102*(1+Input!P155)*O$12</f>
        <v>1.1261624192640001</v>
      </c>
      <c r="P102" s="1">
        <f>O102*(1+Input!Q155)*P$12</f>
        <v>1.14868566764928</v>
      </c>
      <c r="Q102" s="1">
        <f>P102*(1+Input!R155)*Q$12</f>
        <v>1.1716593810022657</v>
      </c>
      <c r="R102" s="1">
        <f>Q102*(1+Input!S155)*R$12</f>
        <v>1.1950925686223111</v>
      </c>
      <c r="S102" s="1">
        <f>R102*(1+Input!T155)*S$12</f>
        <v>1.2189944199947573</v>
      </c>
      <c r="T102" s="1">
        <f>S102*(1+Input!U155)*T$12</f>
        <v>1.2433743083946525</v>
      </c>
      <c r="U102" s="1">
        <f>T102*(1+Input!V155)*U$12</f>
        <v>1.2682417945625455</v>
      </c>
      <c r="V102" s="1">
        <f>U102*(1+Input!W155)*V$12</f>
        <v>1.2936066304537963</v>
      </c>
    </row>
    <row r="103" spans="2:22">
      <c r="B103" t="s">
        <v>501</v>
      </c>
      <c r="G103"/>
      <c r="I103" s="23">
        <v>1</v>
      </c>
      <c r="J103" s="23">
        <f>I103*(1+Input!K160)*J$12</f>
        <v>1.03</v>
      </c>
      <c r="K103" s="1">
        <f>J103*(1+Input!L160)*K$12</f>
        <v>1.0609</v>
      </c>
      <c r="L103" s="1">
        <f>K103*(1+Input!M160)*L$12</f>
        <v>1.092727</v>
      </c>
      <c r="M103" s="1">
        <f>L103*(1+Input!N160)*M$12</f>
        <v>1.1255088100000001</v>
      </c>
      <c r="N103" s="1">
        <f>M103*(1+Input!O160)*N$12</f>
        <v>1.1592740743000001</v>
      </c>
      <c r="O103" s="1">
        <f>N103*(1+Input!P160)*O$12</f>
        <v>1.1940522965290001</v>
      </c>
      <c r="P103" s="1">
        <f>O103*(1+Input!Q160)*P$12</f>
        <v>1.2298738654248702</v>
      </c>
      <c r="Q103" s="1">
        <f>P103*(1+Input!R160)*Q$12</f>
        <v>1.2667700813876164</v>
      </c>
      <c r="R103" s="1">
        <f>Q103*(1+Input!S160)*R$12</f>
        <v>1.3047731838292449</v>
      </c>
      <c r="S103" s="1">
        <f>R103*(1+Input!T160)*S$12</f>
        <v>1.3439163793441222</v>
      </c>
      <c r="T103" s="1">
        <f>S103*(1+Input!U160)*T$12</f>
        <v>1.3842338707244459</v>
      </c>
      <c r="U103" s="1">
        <f>T103*(1+Input!V160)*U$12</f>
        <v>1.4257608868461793</v>
      </c>
      <c r="V103" s="1">
        <f>U103*(1+Input!W160)*V$12</f>
        <v>1.4685337134515648</v>
      </c>
    </row>
    <row r="104" spans="2:22">
      <c r="B104" t="s">
        <v>502</v>
      </c>
      <c r="G104"/>
      <c r="I104" s="23">
        <v>1</v>
      </c>
      <c r="J104" s="23">
        <f>I104*(1+Input!K165)*J$12</f>
        <v>1.02</v>
      </c>
      <c r="K104" s="1">
        <f>J104*(1+Input!L165)*K$12</f>
        <v>1.0404</v>
      </c>
      <c r="L104" s="1">
        <f>K104*(1+Input!M165)*L$12</f>
        <v>1.0612079999999999</v>
      </c>
      <c r="M104" s="1">
        <f>L104*(1+Input!N165)*M$12</f>
        <v>1.08243216</v>
      </c>
      <c r="N104" s="1">
        <f>M104*(1+Input!O165)*N$12</f>
        <v>1.1040808032</v>
      </c>
      <c r="O104" s="1">
        <f>N104*(1+Input!P165)*O$12</f>
        <v>1.1261624192640001</v>
      </c>
      <c r="P104" s="1">
        <f>O104*(1+Input!Q165)*P$12</f>
        <v>1.14868566764928</v>
      </c>
      <c r="Q104" s="1">
        <f>P104*(1+Input!R165)*Q$12</f>
        <v>1.1716593810022657</v>
      </c>
      <c r="R104" s="1">
        <f>Q104*(1+Input!S165)*R$12</f>
        <v>1.1950925686223111</v>
      </c>
      <c r="S104" s="1">
        <f>R104*(1+Input!T165)*S$12</f>
        <v>1.2189944199947573</v>
      </c>
      <c r="T104" s="1">
        <f>S104*(1+Input!U165)*T$12</f>
        <v>1.2433743083946525</v>
      </c>
      <c r="U104" s="1">
        <f>T104*(1+Input!V165)*U$12</f>
        <v>1.2682417945625455</v>
      </c>
      <c r="V104" s="1">
        <f>U104*(1+Input!W165)*V$12</f>
        <v>1.2936066304537963</v>
      </c>
    </row>
    <row r="105" spans="2:22">
      <c r="B105" t="s">
        <v>503</v>
      </c>
      <c r="G105"/>
      <c r="I105" s="23">
        <v>1</v>
      </c>
      <c r="J105" s="23">
        <f>I105*(1+Input!K170)*J$12</f>
        <v>1.02</v>
      </c>
      <c r="K105" s="1">
        <f>J105*(1+Input!L170)*K$12</f>
        <v>1.0404</v>
      </c>
      <c r="L105" s="1">
        <f>K105*(1+Input!M170)*L$12</f>
        <v>1.0612079999999999</v>
      </c>
      <c r="M105" s="1">
        <f>L105*(1+Input!N170)*M$12</f>
        <v>1.08243216</v>
      </c>
      <c r="N105" s="1">
        <f>M105*(1+Input!O170)*N$12</f>
        <v>1.1040808032</v>
      </c>
      <c r="O105" s="1">
        <f>N105*(1+Input!P170)*O$12</f>
        <v>1.1261624192640001</v>
      </c>
      <c r="P105" s="1">
        <f>O105*(1+Input!Q170)*P$12</f>
        <v>1.14868566764928</v>
      </c>
      <c r="Q105" s="1">
        <f>P105*(1+Input!R170)*Q$12</f>
        <v>1.1716593810022657</v>
      </c>
      <c r="R105" s="1">
        <f>Q105*(1+Input!S170)*R$12</f>
        <v>1.1950925686223111</v>
      </c>
      <c r="S105" s="1">
        <f>R105*(1+Input!T170)*S$12</f>
        <v>1.2189944199947573</v>
      </c>
      <c r="T105" s="1">
        <f>S105*(1+Input!U170)*T$12</f>
        <v>1.2433743083946525</v>
      </c>
      <c r="U105" s="1">
        <f>T105*(1+Input!V170)*U$12</f>
        <v>1.2682417945625455</v>
      </c>
      <c r="V105" s="1">
        <f>U105*(1+Input!W170)*V$12</f>
        <v>1.2936066304537963</v>
      </c>
    </row>
    <row r="106" spans="2:22">
      <c r="B106" t="s">
        <v>504</v>
      </c>
      <c r="G106"/>
      <c r="I106" s="23">
        <v>1</v>
      </c>
      <c r="J106" s="23">
        <f>I106*(1+Input!K175)*J$12</f>
        <v>1.02</v>
      </c>
      <c r="K106" s="1">
        <f>J106*(1+Input!L175)*K$12</f>
        <v>1.0404</v>
      </c>
      <c r="L106" s="1">
        <f>K106*(1+Input!M175)*L$12</f>
        <v>1.0612079999999999</v>
      </c>
      <c r="M106" s="1">
        <f>L106*(1+Input!N175)*M$12</f>
        <v>1.08243216</v>
      </c>
      <c r="N106" s="1">
        <f>M106*(1+Input!O175)*N$12</f>
        <v>1.1040808032</v>
      </c>
      <c r="O106" s="1">
        <f>N106*(1+Input!P175)*O$12</f>
        <v>1.1261624192640001</v>
      </c>
      <c r="P106" s="1">
        <f>O106*(1+Input!Q175)*P$12</f>
        <v>1.14868566764928</v>
      </c>
      <c r="Q106" s="1">
        <f>P106*(1+Input!R175)*Q$12</f>
        <v>1.1716593810022657</v>
      </c>
      <c r="R106" s="1">
        <f>Q106*(1+Input!S175)*R$12</f>
        <v>1.1950925686223111</v>
      </c>
      <c r="S106" s="1">
        <f>R106*(1+Input!T175)*S$12</f>
        <v>1.2189944199947573</v>
      </c>
      <c r="T106" s="1">
        <f>S106*(1+Input!U175)*T$12</f>
        <v>1.2433743083946525</v>
      </c>
      <c r="U106" s="1">
        <f>T106*(1+Input!V175)*U$12</f>
        <v>1.2682417945625455</v>
      </c>
      <c r="V106" s="1">
        <f>U106*(1+Input!W175)*V$12</f>
        <v>1.2936066304537963</v>
      </c>
    </row>
    <row r="107" spans="2:22">
      <c r="B107" t="s">
        <v>505</v>
      </c>
      <c r="G107"/>
      <c r="I107" s="23">
        <v>1</v>
      </c>
      <c r="J107" s="23">
        <f>I107*(1+Input!K180)*J$12</f>
        <v>1.03</v>
      </c>
      <c r="K107" s="1">
        <f>J107*(1+Input!L180)*K$12</f>
        <v>1.0609</v>
      </c>
      <c r="L107" s="1">
        <f>K107*(1+Input!M180)*L$12</f>
        <v>1.092727</v>
      </c>
      <c r="M107" s="1">
        <f>L107*(1+Input!N180)*M$12</f>
        <v>1.1255088100000001</v>
      </c>
      <c r="N107" s="1">
        <f>M107*(1+Input!O180)*N$12</f>
        <v>1.1592740743000001</v>
      </c>
      <c r="O107" s="1">
        <f>N107*(1+Input!P180)*O$12</f>
        <v>1.1940522965290001</v>
      </c>
      <c r="P107" s="1">
        <f>O107*(1+Input!Q180)*P$12</f>
        <v>1.2298738654248702</v>
      </c>
      <c r="Q107" s="1">
        <f>P107*(1+Input!R180)*Q$12</f>
        <v>1.2667700813876164</v>
      </c>
      <c r="R107" s="1">
        <f>Q107*(1+Input!S180)*R$12</f>
        <v>1.3047731838292449</v>
      </c>
      <c r="S107" s="1">
        <f>R107*(1+Input!T180)*S$12</f>
        <v>1.3439163793441222</v>
      </c>
      <c r="T107" s="1">
        <f>S107*(1+Input!U180)*T$12</f>
        <v>1.3842338707244459</v>
      </c>
      <c r="U107" s="1">
        <f>T107*(1+Input!V180)*U$12</f>
        <v>1.4257608868461793</v>
      </c>
      <c r="V107" s="1">
        <f>U107*(1+Input!W180)*V$12</f>
        <v>1.4685337134515648</v>
      </c>
    </row>
    <row r="108" spans="2:22">
      <c r="B108" t="s">
        <v>506</v>
      </c>
      <c r="G108"/>
      <c r="I108" s="23">
        <v>1</v>
      </c>
      <c r="J108" s="23">
        <f>I108*(1+Input!K185)*J$12</f>
        <v>1.03</v>
      </c>
      <c r="K108" s="1">
        <f>J108*(1+Input!L185)*K$12</f>
        <v>1.0609</v>
      </c>
      <c r="L108" s="1">
        <f>K108*(1+Input!M185)*L$12</f>
        <v>1.092727</v>
      </c>
      <c r="M108" s="1">
        <f>L108*(1+Input!N185)*M$12</f>
        <v>1.1255088100000001</v>
      </c>
      <c r="N108" s="1">
        <f>M108*(1+Input!O185)*N$12</f>
        <v>1.1592740743000001</v>
      </c>
      <c r="O108" s="1">
        <f>N108*(1+Input!P185)*O$12</f>
        <v>1.1940522965290001</v>
      </c>
      <c r="P108" s="1">
        <f>O108*(1+Input!Q185)*P$12</f>
        <v>1.2298738654248702</v>
      </c>
      <c r="Q108" s="1">
        <f>P108*(1+Input!R185)*Q$12</f>
        <v>1.2667700813876164</v>
      </c>
      <c r="R108" s="1">
        <f>Q108*(1+Input!S185)*R$12</f>
        <v>1.3047731838292449</v>
      </c>
      <c r="S108" s="1">
        <f>R108*(1+Input!T185)*S$12</f>
        <v>1.3439163793441222</v>
      </c>
      <c r="T108" s="1">
        <f>S108*(1+Input!U185)*T$12</f>
        <v>1.3842338707244459</v>
      </c>
      <c r="U108" s="1">
        <f>T108*(1+Input!V185)*U$12</f>
        <v>1.4257608868461793</v>
      </c>
      <c r="V108" s="1">
        <f>U108*(1+Input!W185)*V$12</f>
        <v>1.4685337134515648</v>
      </c>
    </row>
    <row r="109" spans="2:22">
      <c r="B109" t="s">
        <v>507</v>
      </c>
      <c r="G109"/>
      <c r="I109" s="23">
        <v>1</v>
      </c>
      <c r="J109" s="23">
        <f>I109*(1+Input!K190)*J$12</f>
        <v>1.02</v>
      </c>
      <c r="K109" s="1">
        <f>J109*(1+Input!L190)*K$12</f>
        <v>1.0404</v>
      </c>
      <c r="L109" s="1">
        <f>K109*(1+Input!M190)*L$12</f>
        <v>1.0612079999999999</v>
      </c>
      <c r="M109" s="1">
        <f>L109*(1+Input!N190)*M$12</f>
        <v>1.08243216</v>
      </c>
      <c r="N109" s="1">
        <f>M109*(1+Input!O190)*N$12</f>
        <v>1.1040808032</v>
      </c>
      <c r="O109" s="1">
        <f>N109*(1+Input!P190)*O$12</f>
        <v>1.1261624192640001</v>
      </c>
      <c r="P109" s="1">
        <f>O109*(1+Input!Q190)*P$12</f>
        <v>1.14868566764928</v>
      </c>
      <c r="Q109" s="1">
        <f>P109*(1+Input!R190)*Q$12</f>
        <v>1.1716593810022657</v>
      </c>
      <c r="R109" s="1">
        <f>Q109*(1+Input!S190)*R$12</f>
        <v>1.1950925686223111</v>
      </c>
      <c r="S109" s="1">
        <f>R109*(1+Input!T190)*S$12</f>
        <v>1.2189944199947573</v>
      </c>
      <c r="T109" s="1">
        <f>S109*(1+Input!U190)*T$12</f>
        <v>1.2433743083946525</v>
      </c>
      <c r="U109" s="1">
        <f>T109*(1+Input!V190)*U$12</f>
        <v>1.2682417945625455</v>
      </c>
      <c r="V109" s="1">
        <f>U109*(1+Input!W190)*V$12</f>
        <v>1.2936066304537963</v>
      </c>
    </row>
    <row r="110" spans="2:22">
      <c r="G110"/>
    </row>
    <row r="111" spans="2:22" ht="15.75">
      <c r="B111" s="15" t="s">
        <v>508</v>
      </c>
      <c r="G111"/>
      <c r="J111" s="467">
        <f>SUM(J112:J123,-J119)</f>
        <v>13.993896484164592</v>
      </c>
      <c r="K111" s="467">
        <f t="shared" ref="K111:V111" si="35">SUM(K112:K123,-K119)</f>
        <v>14.400581615140439</v>
      </c>
      <c r="L111" s="2">
        <f t="shared" si="35"/>
        <v>14.819204664774587</v>
      </c>
      <c r="M111" s="2">
        <f t="shared" si="35"/>
        <v>15.250118517921356</v>
      </c>
      <c r="N111" s="2">
        <f t="shared" si="35"/>
        <v>15.693686540926596</v>
      </c>
      <c r="O111" s="2">
        <f t="shared" si="35"/>
        <v>16.150282893971351</v>
      </c>
      <c r="P111" s="2">
        <f t="shared" si="35"/>
        <v>16.620292852743781</v>
      </c>
      <c r="Q111" s="2">
        <f t="shared" si="35"/>
        <v>17.104113139718446</v>
      </c>
      <c r="R111" s="2">
        <f t="shared" si="35"/>
        <v>17.602152265330208</v>
      </c>
      <c r="S111" s="2">
        <f t="shared" si="35"/>
        <v>18.114830879338729</v>
      </c>
      <c r="T111" s="2">
        <f t="shared" si="35"/>
        <v>18.642582132688467</v>
      </c>
      <c r="U111" s="2">
        <f t="shared" si="35"/>
        <v>19.185852050178095</v>
      </c>
      <c r="V111" s="2">
        <f t="shared" si="35"/>
        <v>19.7450999142626</v>
      </c>
    </row>
    <row r="112" spans="2:22">
      <c r="B112" t="s">
        <v>496</v>
      </c>
      <c r="F112" s="291">
        <f>Input!J119</f>
        <v>6.6470018864449507</v>
      </c>
      <c r="G112"/>
      <c r="J112" s="88">
        <f>$F112*J98</f>
        <v>6.8464119430382997</v>
      </c>
      <c r="K112" s="22">
        <f t="shared" ref="K112:V112" si="36">$F112*K98</f>
        <v>7.0518043013294482</v>
      </c>
      <c r="L112" s="22">
        <f t="shared" si="36"/>
        <v>7.2633584303693315</v>
      </c>
      <c r="M112" s="22">
        <f t="shared" si="36"/>
        <v>7.4812591832804127</v>
      </c>
      <c r="N112" s="22">
        <f t="shared" si="36"/>
        <v>7.705696958778824</v>
      </c>
      <c r="O112" s="22">
        <f t="shared" si="36"/>
        <v>7.9368678675421895</v>
      </c>
      <c r="P112" s="22">
        <f t="shared" si="36"/>
        <v>8.1749739035684552</v>
      </c>
      <c r="Q112" s="22">
        <f t="shared" si="36"/>
        <v>8.4202231206755105</v>
      </c>
      <c r="R112" s="22">
        <f t="shared" si="36"/>
        <v>8.6728298142957758</v>
      </c>
      <c r="S112" s="22">
        <f t="shared" si="36"/>
        <v>8.9330147087246488</v>
      </c>
      <c r="T112" s="22">
        <f t="shared" si="36"/>
        <v>9.2010051499863881</v>
      </c>
      <c r="U112" s="22">
        <f t="shared" si="36"/>
        <v>9.4770353044859803</v>
      </c>
      <c r="V112" s="22">
        <f t="shared" si="36"/>
        <v>9.7613463636205591</v>
      </c>
    </row>
    <row r="113" spans="2:22">
      <c r="B113" t="s">
        <v>497</v>
      </c>
      <c r="F113" s="72">
        <f>Input!J120</f>
        <v>2.5572850199250001</v>
      </c>
      <c r="G113"/>
      <c r="J113" s="22">
        <f t="shared" ref="J113:V123" si="37">$F113*J99</f>
        <v>2.6340035705227502</v>
      </c>
      <c r="K113" s="22">
        <f t="shared" si="37"/>
        <v>2.7130236776384327</v>
      </c>
      <c r="L113" s="22">
        <f t="shared" si="37"/>
        <v>2.7944143879675858</v>
      </c>
      <c r="M113" s="22">
        <f t="shared" si="37"/>
        <v>2.8782468196066135</v>
      </c>
      <c r="N113" s="22">
        <f t="shared" si="37"/>
        <v>2.9645942241948116</v>
      </c>
      <c r="O113" s="22">
        <f t="shared" si="37"/>
        <v>3.0535320509206563</v>
      </c>
      <c r="P113" s="22">
        <f t="shared" si="37"/>
        <v>3.145138012448276</v>
      </c>
      <c r="Q113" s="22">
        <f t="shared" si="37"/>
        <v>3.2394921528217244</v>
      </c>
      <c r="R113" s="22">
        <f t="shared" si="37"/>
        <v>3.3366769174063764</v>
      </c>
      <c r="S113" s="22">
        <f t="shared" si="37"/>
        <v>3.4367772249285675</v>
      </c>
      <c r="T113" s="22">
        <f t="shared" si="37"/>
        <v>3.5398805416764247</v>
      </c>
      <c r="U113" s="22">
        <f t="shared" si="37"/>
        <v>3.6460769579267174</v>
      </c>
      <c r="V113" s="22">
        <f t="shared" si="37"/>
        <v>3.7554592666645195</v>
      </c>
    </row>
    <row r="114" spans="2:22">
      <c r="B114" t="s">
        <v>498</v>
      </c>
      <c r="F114" s="72">
        <f>Input!J121</f>
        <v>1.04910024</v>
      </c>
      <c r="G114"/>
      <c r="J114" s="22">
        <f t="shared" si="37"/>
        <v>1.0805732472</v>
      </c>
      <c r="K114" s="22">
        <f t="shared" si="37"/>
        <v>1.1129904446159999</v>
      </c>
      <c r="L114" s="22">
        <f t="shared" si="37"/>
        <v>1.1463801579544801</v>
      </c>
      <c r="M114" s="22">
        <f t="shared" si="37"/>
        <v>1.1807715626931146</v>
      </c>
      <c r="N114" s="22">
        <f t="shared" si="37"/>
        <v>1.2161947095739079</v>
      </c>
      <c r="O114" s="22">
        <f t="shared" si="37"/>
        <v>1.2526805508611252</v>
      </c>
      <c r="P114" s="22">
        <f t="shared" si="37"/>
        <v>1.2902609673869589</v>
      </c>
      <c r="Q114" s="22">
        <f t="shared" si="37"/>
        <v>1.3289687964085679</v>
      </c>
      <c r="R114" s="22">
        <f t="shared" si="37"/>
        <v>1.3688378603008249</v>
      </c>
      <c r="S114" s="22">
        <f t="shared" si="37"/>
        <v>1.4099029961098497</v>
      </c>
      <c r="T114" s="22">
        <f t="shared" si="37"/>
        <v>1.4522000859931452</v>
      </c>
      <c r="U114" s="22">
        <f t="shared" si="37"/>
        <v>1.4957660885729396</v>
      </c>
      <c r="V114" s="22">
        <f t="shared" si="37"/>
        <v>1.5406390712301279</v>
      </c>
    </row>
    <row r="115" spans="2:22">
      <c r="B115" t="s">
        <v>499</v>
      </c>
      <c r="F115" s="72">
        <f>Input!J122</f>
        <v>0.99449180420549999</v>
      </c>
      <c r="G115"/>
      <c r="J115" s="22">
        <f t="shared" si="37"/>
        <v>1.024326558331665</v>
      </c>
      <c r="K115" s="22">
        <f t="shared" si="37"/>
        <v>1.055056355081615</v>
      </c>
      <c r="L115" s="22">
        <f t="shared" si="37"/>
        <v>1.0867080457340634</v>
      </c>
      <c r="M115" s="22">
        <f t="shared" si="37"/>
        <v>1.1193092871060855</v>
      </c>
      <c r="N115" s="22">
        <f t="shared" si="37"/>
        <v>1.152888565719268</v>
      </c>
      <c r="O115" s="22">
        <f t="shared" si="37"/>
        <v>1.187475222690846</v>
      </c>
      <c r="P115" s="22">
        <f t="shared" si="37"/>
        <v>1.2230994793715715</v>
      </c>
      <c r="Q115" s="22">
        <f t="shared" si="37"/>
        <v>1.2597924637527187</v>
      </c>
      <c r="R115" s="22">
        <f t="shared" si="37"/>
        <v>1.2975862376653002</v>
      </c>
      <c r="S115" s="22">
        <f t="shared" si="37"/>
        <v>1.3365138247952593</v>
      </c>
      <c r="T115" s="22">
        <f t="shared" si="37"/>
        <v>1.376609239539117</v>
      </c>
      <c r="U115" s="22">
        <f t="shared" si="37"/>
        <v>1.4179075167252906</v>
      </c>
      <c r="V115" s="22">
        <f t="shared" si="37"/>
        <v>1.4604447422270495</v>
      </c>
    </row>
    <row r="116" spans="2:22">
      <c r="B116" t="s">
        <v>500</v>
      </c>
      <c r="F116" s="72">
        <f>Input!J123</f>
        <v>0.78596337652004999</v>
      </c>
      <c r="G116"/>
      <c r="J116" s="22">
        <f t="shared" si="37"/>
        <v>0.80168264405045098</v>
      </c>
      <c r="K116" s="22">
        <f t="shared" si="37"/>
        <v>0.81771629693145997</v>
      </c>
      <c r="L116" s="22">
        <f t="shared" si="37"/>
        <v>0.83407062287008915</v>
      </c>
      <c r="M116" s="22">
        <f t="shared" si="37"/>
        <v>0.850752035327491</v>
      </c>
      <c r="N116" s="22">
        <f t="shared" si="37"/>
        <v>0.8677670760340408</v>
      </c>
      <c r="O116" s="22">
        <f t="shared" si="37"/>
        <v>0.88512241755472165</v>
      </c>
      <c r="P116" s="22">
        <f t="shared" si="37"/>
        <v>0.90282486590581612</v>
      </c>
      <c r="Q116" s="22">
        <f t="shared" si="37"/>
        <v>0.92088136322393255</v>
      </c>
      <c r="R116" s="22">
        <f t="shared" si="37"/>
        <v>0.93929899048841115</v>
      </c>
      <c r="S116" s="22">
        <f t="shared" si="37"/>
        <v>0.95808497029817941</v>
      </c>
      <c r="T116" s="22">
        <f t="shared" si="37"/>
        <v>0.97724666970414298</v>
      </c>
      <c r="U116" s="22">
        <f t="shared" si="37"/>
        <v>0.99679160309822579</v>
      </c>
      <c r="V116" s="22">
        <f t="shared" si="37"/>
        <v>1.0167274351601903</v>
      </c>
    </row>
    <row r="117" spans="2:22">
      <c r="B117" t="s">
        <v>501</v>
      </c>
      <c r="F117" s="72">
        <f>Input!J124</f>
        <v>0.65834446157745008</v>
      </c>
      <c r="G117"/>
      <c r="J117" s="22">
        <f t="shared" si="37"/>
        <v>0.67809479542477358</v>
      </c>
      <c r="K117" s="22">
        <f t="shared" si="37"/>
        <v>0.69843763928751679</v>
      </c>
      <c r="L117" s="22">
        <f t="shared" si="37"/>
        <v>0.71939076846614225</v>
      </c>
      <c r="M117" s="22">
        <f t="shared" si="37"/>
        <v>0.74097249152012667</v>
      </c>
      <c r="N117" s="22">
        <f t="shared" si="37"/>
        <v>0.76320166626573038</v>
      </c>
      <c r="O117" s="22">
        <f t="shared" si="37"/>
        <v>0.78609771625370239</v>
      </c>
      <c r="P117" s="22">
        <f t="shared" si="37"/>
        <v>0.80968064774131343</v>
      </c>
      <c r="Q117" s="22">
        <f t="shared" si="37"/>
        <v>0.83397106717355296</v>
      </c>
      <c r="R117" s="22">
        <f t="shared" si="37"/>
        <v>0.85899019918875952</v>
      </c>
      <c r="S117" s="22">
        <f t="shared" si="37"/>
        <v>0.88475990516442227</v>
      </c>
      <c r="T117" s="22">
        <f t="shared" si="37"/>
        <v>0.91130270231935495</v>
      </c>
      <c r="U117" s="22">
        <f t="shared" si="37"/>
        <v>0.93864178338893567</v>
      </c>
      <c r="V117" s="22">
        <f t="shared" si="37"/>
        <v>0.96680103689060382</v>
      </c>
    </row>
    <row r="118" spans="2:22">
      <c r="B118" t="s">
        <v>502</v>
      </c>
      <c r="F118" s="291">
        <f>Input!J125</f>
        <v>0.27408378898499997</v>
      </c>
      <c r="G118"/>
      <c r="J118" s="22">
        <f t="shared" si="37"/>
        <v>0.27956546476469996</v>
      </c>
      <c r="K118" s="22">
        <f t="shared" si="37"/>
        <v>0.28515677405999396</v>
      </c>
      <c r="L118" s="22">
        <f t="shared" si="37"/>
        <v>0.29085990954119384</v>
      </c>
      <c r="M118" s="22">
        <f t="shared" si="37"/>
        <v>0.29667710773201772</v>
      </c>
      <c r="N118" s="22">
        <f t="shared" si="37"/>
        <v>0.30261064988665809</v>
      </c>
      <c r="O118" s="22">
        <f t="shared" si="37"/>
        <v>0.30866286288439126</v>
      </c>
      <c r="P118" s="22">
        <f t="shared" si="37"/>
        <v>0.31483612014207907</v>
      </c>
      <c r="Q118" s="22">
        <f t="shared" si="37"/>
        <v>0.32113284254492069</v>
      </c>
      <c r="R118" s="22">
        <f t="shared" si="37"/>
        <v>0.32755549939581907</v>
      </c>
      <c r="S118" s="22">
        <f t="shared" si="37"/>
        <v>0.33410660938373549</v>
      </c>
      <c r="T118" s="22">
        <f t="shared" si="37"/>
        <v>0.3407887415714102</v>
      </c>
      <c r="U118" s="22">
        <f t="shared" si="37"/>
        <v>0.3476045164028384</v>
      </c>
      <c r="V118" s="22">
        <f t="shared" si="37"/>
        <v>0.35455660673089512</v>
      </c>
    </row>
    <row r="119" spans="2:22">
      <c r="B119" t="s">
        <v>503</v>
      </c>
      <c r="F119" s="72">
        <f>Input!J126</f>
        <v>0.26833969950000003</v>
      </c>
      <c r="G119"/>
      <c r="J119" s="88">
        <f t="shared" si="37"/>
        <v>0.27370649349000004</v>
      </c>
      <c r="K119" s="22">
        <f t="shared" si="37"/>
        <v>0.27918062335980004</v>
      </c>
      <c r="L119" s="88">
        <f t="shared" si="37"/>
        <v>0.284764235826996</v>
      </c>
      <c r="M119" s="22">
        <f t="shared" si="37"/>
        <v>0.29045952054353597</v>
      </c>
      <c r="N119" s="22">
        <f t="shared" si="37"/>
        <v>0.29626871095440666</v>
      </c>
      <c r="O119" s="22">
        <f t="shared" si="37"/>
        <v>0.30219408517349483</v>
      </c>
      <c r="P119" s="22">
        <f t="shared" si="37"/>
        <v>0.3082379668769647</v>
      </c>
      <c r="Q119" s="22">
        <f t="shared" si="37"/>
        <v>0.31440272621450405</v>
      </c>
      <c r="R119" s="88">
        <f t="shared" si="37"/>
        <v>0.32069078073879409</v>
      </c>
      <c r="S119" s="22">
        <f t="shared" si="37"/>
        <v>0.32710459635357003</v>
      </c>
      <c r="T119" s="22">
        <f t="shared" si="37"/>
        <v>0.33364668828064142</v>
      </c>
      <c r="U119" s="22">
        <f t="shared" si="37"/>
        <v>0.34031962204625421</v>
      </c>
      <c r="V119" s="22">
        <f t="shared" si="37"/>
        <v>0.34712601448717928</v>
      </c>
    </row>
    <row r="120" spans="2:22">
      <c r="B120" t="s">
        <v>504</v>
      </c>
      <c r="F120" s="72">
        <f>Input!J127</f>
        <v>0.225279425925</v>
      </c>
      <c r="G120"/>
      <c r="J120" s="22">
        <f t="shared" si="37"/>
        <v>0.2297850144435</v>
      </c>
      <c r="K120" s="22">
        <f t="shared" si="37"/>
        <v>0.23438071473236999</v>
      </c>
      <c r="L120" s="22">
        <f t="shared" si="37"/>
        <v>0.23906832902701738</v>
      </c>
      <c r="M120" s="22">
        <f t="shared" si="37"/>
        <v>0.24384969560755773</v>
      </c>
      <c r="N120" s="22">
        <f t="shared" si="37"/>
        <v>0.24872668951970892</v>
      </c>
      <c r="O120" s="22">
        <f t="shared" si="37"/>
        <v>0.25370122331010309</v>
      </c>
      <c r="P120" s="22">
        <f t="shared" si="37"/>
        <v>0.25877524777630517</v>
      </c>
      <c r="Q120" s="22">
        <f t="shared" si="37"/>
        <v>0.26395075273183127</v>
      </c>
      <c r="R120" s="22">
        <f t="shared" si="37"/>
        <v>0.2692297677864679</v>
      </c>
      <c r="S120" s="22">
        <f t="shared" si="37"/>
        <v>0.27461436314219728</v>
      </c>
      <c r="T120" s="22">
        <f t="shared" si="37"/>
        <v>0.28010665040504124</v>
      </c>
      <c r="U120" s="22">
        <f t="shared" si="37"/>
        <v>0.28570878341314204</v>
      </c>
      <c r="V120" s="22">
        <f t="shared" si="37"/>
        <v>0.29142295908140486</v>
      </c>
    </row>
    <row r="121" spans="2:22">
      <c r="B121" t="s">
        <v>505</v>
      </c>
      <c r="F121" s="72">
        <f>Input!J128</f>
        <v>0.21282385461000003</v>
      </c>
      <c r="G121"/>
      <c r="J121" s="22">
        <f t="shared" si="37"/>
        <v>0.21920857024830004</v>
      </c>
      <c r="K121" s="22">
        <f t="shared" si="37"/>
        <v>0.22578482735574903</v>
      </c>
      <c r="L121" s="22">
        <f t="shared" si="37"/>
        <v>0.2325583721764215</v>
      </c>
      <c r="M121" s="22">
        <f t="shared" si="37"/>
        <v>0.23953512334171417</v>
      </c>
      <c r="N121" s="22">
        <f t="shared" si="37"/>
        <v>0.24672117704196558</v>
      </c>
      <c r="O121" s="22">
        <f t="shared" si="37"/>
        <v>0.25412281235322459</v>
      </c>
      <c r="P121" s="22">
        <f t="shared" si="37"/>
        <v>0.26174649672382133</v>
      </c>
      <c r="Q121" s="22">
        <f t="shared" si="37"/>
        <v>0.26959889162553596</v>
      </c>
      <c r="R121" s="22">
        <f t="shared" si="37"/>
        <v>0.27768685837430207</v>
      </c>
      <c r="S121" s="22">
        <f t="shared" si="37"/>
        <v>0.28601746412553114</v>
      </c>
      <c r="T121" s="22">
        <f t="shared" si="37"/>
        <v>0.29459798804929704</v>
      </c>
      <c r="U121" s="22">
        <f t="shared" si="37"/>
        <v>0.30343592769077599</v>
      </c>
      <c r="V121" s="22">
        <f t="shared" si="37"/>
        <v>0.31253900552149927</v>
      </c>
    </row>
    <row r="122" spans="2:22">
      <c r="B122" t="s">
        <v>506</v>
      </c>
      <c r="F122" s="72">
        <f>Input!J129</f>
        <v>0.192331499505</v>
      </c>
      <c r="G122"/>
      <c r="J122" s="22">
        <f t="shared" si="37"/>
        <v>0.19810144449015002</v>
      </c>
      <c r="K122" s="22">
        <f t="shared" si="37"/>
        <v>0.20404448782485449</v>
      </c>
      <c r="L122" s="22">
        <f t="shared" si="37"/>
        <v>0.21016582245960014</v>
      </c>
      <c r="M122" s="22">
        <f t="shared" si="37"/>
        <v>0.21647079713338818</v>
      </c>
      <c r="N122" s="22">
        <f t="shared" si="37"/>
        <v>0.2229649210473898</v>
      </c>
      <c r="O122" s="22">
        <f t="shared" si="37"/>
        <v>0.22965386867881152</v>
      </c>
      <c r="P122" s="22">
        <f t="shared" si="37"/>
        <v>0.23654348473917586</v>
      </c>
      <c r="Q122" s="22">
        <f t="shared" si="37"/>
        <v>0.24363978928135116</v>
      </c>
      <c r="R122" s="22">
        <f t="shared" si="37"/>
        <v>0.25094898295979168</v>
      </c>
      <c r="S122" s="22">
        <f t="shared" si="37"/>
        <v>0.25847745244858544</v>
      </c>
      <c r="T122" s="22">
        <f t="shared" si="37"/>
        <v>0.26623177602204301</v>
      </c>
      <c r="U122" s="22">
        <f t="shared" si="37"/>
        <v>0.2742187293027043</v>
      </c>
      <c r="V122" s="22">
        <f t="shared" si="37"/>
        <v>0.28244529118178546</v>
      </c>
    </row>
    <row r="123" spans="2:22">
      <c r="B123" t="s">
        <v>507</v>
      </c>
      <c r="F123" s="72">
        <f>Input!J130</f>
        <v>2.1012075000000001E-3</v>
      </c>
      <c r="G123"/>
      <c r="J123" s="22">
        <f t="shared" si="37"/>
        <v>2.1432316500000002E-3</v>
      </c>
      <c r="K123" s="22">
        <f t="shared" si="37"/>
        <v>2.186096283E-3</v>
      </c>
      <c r="L123" s="22">
        <f t="shared" si="37"/>
        <v>2.22981820866E-3</v>
      </c>
      <c r="M123" s="22">
        <f t="shared" si="37"/>
        <v>2.2744145728331999E-3</v>
      </c>
      <c r="N123" s="22">
        <f t="shared" si="37"/>
        <v>2.3199028642898641E-3</v>
      </c>
      <c r="O123" s="22">
        <f t="shared" si="37"/>
        <v>2.3663009215756617E-3</v>
      </c>
      <c r="P123" s="22">
        <f t="shared" si="37"/>
        <v>2.4136269400071748E-3</v>
      </c>
      <c r="Q123" s="22">
        <f t="shared" si="37"/>
        <v>2.4618994788073185E-3</v>
      </c>
      <c r="R123" s="22">
        <f t="shared" si="37"/>
        <v>2.5111374683834649E-3</v>
      </c>
      <c r="S123" s="22">
        <f t="shared" si="37"/>
        <v>2.5613602177511343E-3</v>
      </c>
      <c r="T123" s="22">
        <f t="shared" si="37"/>
        <v>2.6125874221061569E-3</v>
      </c>
      <c r="U123" s="22">
        <f t="shared" si="37"/>
        <v>2.6648391705482799E-3</v>
      </c>
      <c r="V123" s="22">
        <f t="shared" si="37"/>
        <v>2.7181359539592454E-3</v>
      </c>
    </row>
    <row r="124" spans="2:22">
      <c r="G124"/>
    </row>
    <row r="125" spans="2:22">
      <c r="B125" t="s">
        <v>492</v>
      </c>
      <c r="G125"/>
      <c r="J125" s="88">
        <f>SUM(J119,J43)</f>
        <v>41.740782175912301</v>
      </c>
      <c r="K125" s="22">
        <f t="shared" ref="K125:V125" si="38">SUM(K119,K43)</f>
        <v>41.746256305782097</v>
      </c>
      <c r="L125" s="88">
        <f t="shared" si="38"/>
        <v>42.751839918249296</v>
      </c>
      <c r="M125" s="22">
        <f t="shared" si="38"/>
        <v>42.757535202965833</v>
      </c>
      <c r="N125" s="22">
        <f t="shared" si="38"/>
        <v>42.763344393376705</v>
      </c>
      <c r="O125" s="22">
        <f t="shared" si="38"/>
        <v>43.769269767595794</v>
      </c>
      <c r="P125" s="22">
        <f t="shared" si="38"/>
        <v>43.775313649299264</v>
      </c>
      <c r="Q125" s="22">
        <f t="shared" si="38"/>
        <v>43.781478408636801</v>
      </c>
      <c r="R125" s="88">
        <f t="shared" si="38"/>
        <v>44.787766463161091</v>
      </c>
      <c r="S125" s="22">
        <f t="shared" si="38"/>
        <v>44.794180278775869</v>
      </c>
      <c r="T125" s="22">
        <f t="shared" si="38"/>
        <v>44.800722370702942</v>
      </c>
      <c r="U125" s="22">
        <f t="shared" si="38"/>
        <v>44.80739530446855</v>
      </c>
      <c r="V125" s="22">
        <f t="shared" si="38"/>
        <v>44.814201696909478</v>
      </c>
    </row>
    <row r="126" spans="2:22">
      <c r="G126"/>
      <c r="J126" s="22"/>
      <c r="K126" s="22"/>
      <c r="L126" s="88"/>
      <c r="M126" s="22"/>
      <c r="N126" s="22"/>
      <c r="O126" s="22"/>
      <c r="P126" s="22"/>
      <c r="Q126" s="22"/>
      <c r="R126" s="88"/>
      <c r="S126" s="22"/>
      <c r="T126" s="22"/>
      <c r="U126" s="22"/>
      <c r="V126" s="22"/>
    </row>
    <row r="127" spans="2:22" ht="24" thickBot="1">
      <c r="B127" s="14" t="s">
        <v>1091</v>
      </c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</row>
    <row r="128" spans="2:22">
      <c r="G128"/>
    </row>
    <row r="129" spans="2:22">
      <c r="B129" t="s">
        <v>37</v>
      </c>
      <c r="F129" s="19">
        <v>2027</v>
      </c>
      <c r="G129"/>
      <c r="J129" s="71">
        <f>IF(J$8&lt;$F129,0,1)*J$12</f>
        <v>0</v>
      </c>
      <c r="K129" s="13">
        <f t="shared" ref="K129:V129" si="39">IF(K$8&lt;$F129,0,1)*K$12</f>
        <v>0</v>
      </c>
      <c r="L129" s="13">
        <f t="shared" si="39"/>
        <v>0</v>
      </c>
      <c r="M129" s="13">
        <f t="shared" si="39"/>
        <v>1</v>
      </c>
      <c r="N129" s="13">
        <f t="shared" si="39"/>
        <v>1</v>
      </c>
      <c r="O129" s="13">
        <f t="shared" si="39"/>
        <v>1</v>
      </c>
      <c r="P129" s="13">
        <f t="shared" si="39"/>
        <v>1</v>
      </c>
      <c r="Q129" s="13">
        <f t="shared" si="39"/>
        <v>1</v>
      </c>
      <c r="R129" s="13">
        <f t="shared" si="39"/>
        <v>1</v>
      </c>
      <c r="S129" s="13">
        <f t="shared" si="39"/>
        <v>1</v>
      </c>
      <c r="T129" s="13">
        <f t="shared" si="39"/>
        <v>1</v>
      </c>
      <c r="U129" s="13">
        <f t="shared" si="39"/>
        <v>1</v>
      </c>
      <c r="V129" s="13">
        <f t="shared" si="39"/>
        <v>1</v>
      </c>
    </row>
    <row r="130" spans="2:22">
      <c r="G130"/>
    </row>
    <row r="131" spans="2:22" ht="15.75">
      <c r="B131" s="15" t="s">
        <v>510</v>
      </c>
      <c r="G131"/>
    </row>
    <row r="132" spans="2:22" ht="15.75">
      <c r="B132" s="41" t="s">
        <v>511</v>
      </c>
      <c r="F132" s="19">
        <v>65000</v>
      </c>
      <c r="G132"/>
      <c r="J132" s="70"/>
      <c r="K132" s="70"/>
      <c r="L132" s="70"/>
      <c r="M132" s="70"/>
      <c r="N132" s="70"/>
      <c r="O132" s="70"/>
      <c r="P132" s="70"/>
      <c r="Q132" s="70"/>
      <c r="R132" s="70"/>
      <c r="S132" s="70"/>
      <c r="T132" s="70"/>
      <c r="U132" s="70"/>
      <c r="V132" s="70"/>
    </row>
    <row r="133" spans="2:22">
      <c r="B133" s="483" t="s">
        <v>1099</v>
      </c>
      <c r="E133" s="19">
        <v>2</v>
      </c>
      <c r="F133" s="19">
        <v>8500</v>
      </c>
      <c r="G133" s="17" t="s">
        <v>545</v>
      </c>
      <c r="J133" s="19">
        <f>$F$133*$E$133</f>
        <v>17000</v>
      </c>
      <c r="K133" s="19">
        <f t="shared" ref="K133:V133" si="40">$F$133*$E$133</f>
        <v>17000</v>
      </c>
      <c r="L133" s="19">
        <f t="shared" si="40"/>
        <v>17000</v>
      </c>
      <c r="M133" s="19">
        <f t="shared" si="40"/>
        <v>17000</v>
      </c>
      <c r="N133" s="19">
        <f t="shared" si="40"/>
        <v>17000</v>
      </c>
      <c r="O133" s="19">
        <f t="shared" si="40"/>
        <v>17000</v>
      </c>
      <c r="P133" s="19">
        <f t="shared" si="40"/>
        <v>17000</v>
      </c>
      <c r="Q133" s="19">
        <f t="shared" si="40"/>
        <v>17000</v>
      </c>
      <c r="R133" s="19">
        <f t="shared" si="40"/>
        <v>17000</v>
      </c>
      <c r="S133" s="19">
        <f t="shared" si="40"/>
        <v>17000</v>
      </c>
      <c r="T133" s="19">
        <f t="shared" si="40"/>
        <v>17000</v>
      </c>
      <c r="U133" s="19">
        <f t="shared" si="40"/>
        <v>17000</v>
      </c>
      <c r="V133" s="19">
        <f t="shared" si="40"/>
        <v>17000</v>
      </c>
    </row>
    <row r="134" spans="2:22">
      <c r="B134" s="407" t="s">
        <v>465</v>
      </c>
      <c r="G134" s="17" t="s">
        <v>1092</v>
      </c>
      <c r="J134" s="479">
        <f t="shared" ref="J134:K134" si="41">$F$132</f>
        <v>65000</v>
      </c>
      <c r="K134" s="20">
        <f t="shared" si="41"/>
        <v>65000</v>
      </c>
      <c r="L134" s="20">
        <f>$F$132</f>
        <v>65000</v>
      </c>
      <c r="M134" s="20">
        <f t="shared" ref="M134:V134" si="42">$F$132</f>
        <v>65000</v>
      </c>
      <c r="N134" s="20">
        <f t="shared" si="42"/>
        <v>65000</v>
      </c>
      <c r="O134" s="20">
        <f t="shared" si="42"/>
        <v>65000</v>
      </c>
      <c r="P134" s="20">
        <f t="shared" si="42"/>
        <v>65000</v>
      </c>
      <c r="Q134" s="20">
        <f t="shared" si="42"/>
        <v>65000</v>
      </c>
      <c r="R134" s="20">
        <f t="shared" si="42"/>
        <v>65000</v>
      </c>
      <c r="S134" s="20">
        <f t="shared" si="42"/>
        <v>65000</v>
      </c>
      <c r="T134" s="20">
        <f t="shared" si="42"/>
        <v>65000</v>
      </c>
      <c r="U134" s="20">
        <f t="shared" si="42"/>
        <v>65000</v>
      </c>
      <c r="V134" s="20">
        <f t="shared" si="42"/>
        <v>65000</v>
      </c>
    </row>
    <row r="135" spans="2:22">
      <c r="B135" s="28" t="s">
        <v>9</v>
      </c>
      <c r="C135" s="28"/>
      <c r="D135" s="28"/>
      <c r="E135" s="28"/>
      <c r="F135" s="28"/>
      <c r="G135" s="28"/>
      <c r="H135" s="28"/>
      <c r="I135" s="48">
        <f>SUM(J135:V135)</f>
        <v>132.60000000000002</v>
      </c>
      <c r="J135" s="459">
        <f t="shared" ref="J135:V135" si="43">J133*J134/Billion*J$129*Month_Year</f>
        <v>0</v>
      </c>
      <c r="K135" s="459">
        <f t="shared" si="43"/>
        <v>0</v>
      </c>
      <c r="L135" s="459">
        <f t="shared" si="43"/>
        <v>0</v>
      </c>
      <c r="M135" s="459">
        <f t="shared" si="43"/>
        <v>13.26</v>
      </c>
      <c r="N135" s="459">
        <f t="shared" si="43"/>
        <v>13.26</v>
      </c>
      <c r="O135" s="459">
        <f t="shared" si="43"/>
        <v>13.26</v>
      </c>
      <c r="P135" s="459">
        <f t="shared" si="43"/>
        <v>13.26</v>
      </c>
      <c r="Q135" s="459">
        <f t="shared" si="43"/>
        <v>13.26</v>
      </c>
      <c r="R135" s="459">
        <f t="shared" si="43"/>
        <v>13.26</v>
      </c>
      <c r="S135" s="459">
        <f t="shared" si="43"/>
        <v>13.26</v>
      </c>
      <c r="T135" s="459">
        <f t="shared" si="43"/>
        <v>13.26</v>
      </c>
      <c r="U135" s="459">
        <f t="shared" si="43"/>
        <v>13.26</v>
      </c>
      <c r="V135" s="459">
        <f t="shared" si="43"/>
        <v>13.26</v>
      </c>
    </row>
    <row r="136" spans="2:22">
      <c r="G136"/>
      <c r="I136" s="21"/>
      <c r="K136" s="21"/>
      <c r="L136" s="21"/>
      <c r="M136" s="21"/>
      <c r="N136" s="21"/>
    </row>
    <row r="137" spans="2:22">
      <c r="B137" t="s">
        <v>471</v>
      </c>
      <c r="G137"/>
      <c r="I137" s="21"/>
      <c r="J137">
        <f>SUM(J133)</f>
        <v>17000</v>
      </c>
      <c r="K137">
        <f t="shared" ref="K137:V137" si="44">SUM(K133)</f>
        <v>17000</v>
      </c>
      <c r="L137">
        <f t="shared" si="44"/>
        <v>17000</v>
      </c>
      <c r="M137">
        <f t="shared" si="44"/>
        <v>17000</v>
      </c>
      <c r="N137">
        <f t="shared" si="44"/>
        <v>17000</v>
      </c>
      <c r="O137">
        <f t="shared" si="44"/>
        <v>17000</v>
      </c>
      <c r="P137">
        <f t="shared" si="44"/>
        <v>17000</v>
      </c>
      <c r="Q137">
        <f t="shared" si="44"/>
        <v>17000</v>
      </c>
      <c r="R137">
        <f t="shared" si="44"/>
        <v>17000</v>
      </c>
      <c r="S137">
        <f t="shared" si="44"/>
        <v>17000</v>
      </c>
      <c r="T137">
        <f t="shared" si="44"/>
        <v>17000</v>
      </c>
      <c r="U137">
        <f t="shared" si="44"/>
        <v>17000</v>
      </c>
      <c r="V137">
        <f t="shared" si="44"/>
        <v>17000</v>
      </c>
    </row>
    <row r="138" spans="2:22">
      <c r="G138"/>
      <c r="I138" s="21"/>
    </row>
    <row r="139" spans="2:22" ht="15.75">
      <c r="B139" s="15" t="s">
        <v>1078</v>
      </c>
      <c r="G139"/>
    </row>
    <row r="140" spans="2:22" ht="15.75">
      <c r="B140" s="41" t="s">
        <v>511</v>
      </c>
      <c r="F140" s="19"/>
      <c r="G140"/>
      <c r="J140" s="70"/>
      <c r="K140" s="70"/>
      <c r="L140" s="70"/>
      <c r="M140" s="70"/>
      <c r="N140" s="70"/>
      <c r="O140" s="70"/>
      <c r="P140" s="70"/>
      <c r="Q140" s="70"/>
      <c r="R140" s="70"/>
      <c r="S140" s="70"/>
      <c r="T140" s="70"/>
      <c r="U140" s="70"/>
      <c r="V140" s="70"/>
    </row>
    <row r="141" spans="2:22">
      <c r="B141" s="407" t="s">
        <v>407</v>
      </c>
      <c r="F141" s="16">
        <f>Input!J233</f>
        <v>0</v>
      </c>
      <c r="G141" s="17" t="s">
        <v>315</v>
      </c>
      <c r="J141" s="19">
        <f>J133</f>
        <v>17000</v>
      </c>
      <c r="K141" s="19">
        <f t="shared" ref="K141:V141" si="45">K133</f>
        <v>17000</v>
      </c>
      <c r="L141" s="19">
        <f t="shared" si="45"/>
        <v>17000</v>
      </c>
      <c r="M141" s="19">
        <f t="shared" si="45"/>
        <v>17000</v>
      </c>
      <c r="N141" s="19">
        <f t="shared" si="45"/>
        <v>17000</v>
      </c>
      <c r="O141" s="19">
        <f t="shared" si="45"/>
        <v>17000</v>
      </c>
      <c r="P141" s="19">
        <f t="shared" si="45"/>
        <v>17000</v>
      </c>
      <c r="Q141" s="19">
        <f t="shared" si="45"/>
        <v>17000</v>
      </c>
      <c r="R141" s="19">
        <f t="shared" si="45"/>
        <v>17000</v>
      </c>
      <c r="S141" s="19">
        <f t="shared" si="45"/>
        <v>17000</v>
      </c>
      <c r="T141" s="19">
        <f t="shared" si="45"/>
        <v>17000</v>
      </c>
      <c r="U141" s="19">
        <f t="shared" si="45"/>
        <v>17000</v>
      </c>
      <c r="V141" s="19">
        <f t="shared" si="45"/>
        <v>17000</v>
      </c>
    </row>
    <row r="142" spans="2:22">
      <c r="B142" s="407" t="s">
        <v>465</v>
      </c>
      <c r="J142">
        <f>Input!K227</f>
        <v>3.5000000000000003E-2</v>
      </c>
      <c r="K142">
        <f>Input!L227</f>
        <v>3.5000000000000003E-2</v>
      </c>
      <c r="L142" s="19">
        <v>2000</v>
      </c>
      <c r="M142" s="19">
        <f>L142</f>
        <v>2000</v>
      </c>
      <c r="N142" s="19">
        <f t="shared" ref="N142" si="46">M142</f>
        <v>2000</v>
      </c>
      <c r="O142" s="19">
        <f t="shared" ref="O142" si="47">N142</f>
        <v>2000</v>
      </c>
      <c r="P142" s="19">
        <f t="shared" ref="P142" si="48">O142</f>
        <v>2000</v>
      </c>
      <c r="Q142" s="19">
        <f t="shared" ref="Q142" si="49">P142</f>
        <v>2000</v>
      </c>
      <c r="R142" s="19">
        <f t="shared" ref="R142" si="50">Q142</f>
        <v>2000</v>
      </c>
      <c r="S142" s="19">
        <f t="shared" ref="S142" si="51">R142</f>
        <v>2000</v>
      </c>
      <c r="T142" s="19">
        <f t="shared" ref="T142" si="52">S142</f>
        <v>2000</v>
      </c>
      <c r="U142" s="19">
        <f t="shared" ref="U142" si="53">T142</f>
        <v>2000</v>
      </c>
      <c r="V142" s="19">
        <f t="shared" ref="V142" si="54">U142</f>
        <v>2000</v>
      </c>
    </row>
    <row r="143" spans="2:22">
      <c r="B143" s="28" t="s">
        <v>9</v>
      </c>
      <c r="C143" s="28"/>
      <c r="D143" s="28"/>
      <c r="E143" s="28"/>
      <c r="F143" s="28"/>
      <c r="G143" s="28"/>
      <c r="H143" s="28"/>
      <c r="I143" s="48">
        <f>SUM(J143:V143)</f>
        <v>0</v>
      </c>
      <c r="J143" s="459">
        <f>J141*J142/Billion*J$12*0</f>
        <v>0</v>
      </c>
      <c r="K143" s="459">
        <f t="shared" ref="K143:V143" si="55">K141*K142/Billion*K$12*0</f>
        <v>0</v>
      </c>
      <c r="L143" s="459">
        <f t="shared" si="55"/>
        <v>0</v>
      </c>
      <c r="M143" s="459">
        <f t="shared" si="55"/>
        <v>0</v>
      </c>
      <c r="N143" s="459">
        <f t="shared" si="55"/>
        <v>0</v>
      </c>
      <c r="O143" s="459">
        <f t="shared" si="55"/>
        <v>0</v>
      </c>
      <c r="P143" s="459">
        <f t="shared" si="55"/>
        <v>0</v>
      </c>
      <c r="Q143" s="459">
        <f t="shared" si="55"/>
        <v>0</v>
      </c>
      <c r="R143" s="459">
        <f t="shared" si="55"/>
        <v>0</v>
      </c>
      <c r="S143" s="459">
        <f t="shared" si="55"/>
        <v>0</v>
      </c>
      <c r="T143" s="459">
        <f t="shared" si="55"/>
        <v>0</v>
      </c>
      <c r="U143" s="459">
        <f t="shared" si="55"/>
        <v>0</v>
      </c>
      <c r="V143" s="459">
        <f t="shared" si="55"/>
        <v>0</v>
      </c>
    </row>
    <row r="144" spans="2:22">
      <c r="G144"/>
      <c r="I144" s="21"/>
      <c r="K144" s="21"/>
      <c r="L144" s="21"/>
      <c r="M144" s="21"/>
      <c r="N144" s="21"/>
    </row>
    <row r="145" spans="2:22">
      <c r="B145" t="s">
        <v>471</v>
      </c>
      <c r="G145"/>
      <c r="I145" s="21"/>
      <c r="J145">
        <f>SUM(J141)</f>
        <v>17000</v>
      </c>
      <c r="K145">
        <f t="shared" ref="K145:V145" si="56">SUM(K141)</f>
        <v>17000</v>
      </c>
      <c r="L145">
        <f t="shared" si="56"/>
        <v>17000</v>
      </c>
      <c r="M145">
        <f t="shared" si="56"/>
        <v>17000</v>
      </c>
      <c r="N145">
        <f t="shared" si="56"/>
        <v>17000</v>
      </c>
      <c r="O145">
        <f t="shared" si="56"/>
        <v>17000</v>
      </c>
      <c r="P145">
        <f t="shared" si="56"/>
        <v>17000</v>
      </c>
      <c r="Q145">
        <f t="shared" si="56"/>
        <v>17000</v>
      </c>
      <c r="R145">
        <f t="shared" si="56"/>
        <v>17000</v>
      </c>
      <c r="S145">
        <f t="shared" si="56"/>
        <v>17000</v>
      </c>
      <c r="T145">
        <f t="shared" si="56"/>
        <v>17000</v>
      </c>
      <c r="U145">
        <f t="shared" si="56"/>
        <v>17000</v>
      </c>
      <c r="V145">
        <f t="shared" si="56"/>
        <v>17000</v>
      </c>
    </row>
    <row r="146" spans="2:22">
      <c r="G146"/>
      <c r="I146" s="21"/>
      <c r="K146" s="21"/>
      <c r="L146" s="21"/>
      <c r="M146" s="21"/>
      <c r="N146" s="21"/>
    </row>
    <row r="147" spans="2:22" ht="15.75">
      <c r="B147" s="15" t="s">
        <v>473</v>
      </c>
      <c r="F147" s="30">
        <v>300</v>
      </c>
      <c r="G147" s="468" t="s">
        <v>1098</v>
      </c>
      <c r="I147" s="21"/>
      <c r="J147" s="480">
        <f t="shared" ref="J147:V147" si="57">-$F$147*J133/Billion*Month_Year*J129</f>
        <v>0</v>
      </c>
      <c r="K147" s="480">
        <f t="shared" si="57"/>
        <v>0</v>
      </c>
      <c r="L147" s="480">
        <f t="shared" si="57"/>
        <v>0</v>
      </c>
      <c r="M147" s="480">
        <f t="shared" si="57"/>
        <v>-6.1200000000000004E-2</v>
      </c>
      <c r="N147" s="480">
        <f t="shared" si="57"/>
        <v>-6.1200000000000004E-2</v>
      </c>
      <c r="O147" s="480">
        <f t="shared" si="57"/>
        <v>-6.1200000000000004E-2</v>
      </c>
      <c r="P147" s="480">
        <f t="shared" si="57"/>
        <v>-6.1200000000000004E-2</v>
      </c>
      <c r="Q147" s="480">
        <f t="shared" si="57"/>
        <v>-6.1200000000000004E-2</v>
      </c>
      <c r="R147" s="480">
        <f t="shared" si="57"/>
        <v>-6.1200000000000004E-2</v>
      </c>
      <c r="S147" s="480">
        <f t="shared" si="57"/>
        <v>-6.1200000000000004E-2</v>
      </c>
      <c r="T147" s="480">
        <f t="shared" si="57"/>
        <v>-6.1200000000000004E-2</v>
      </c>
      <c r="U147" s="480">
        <f t="shared" si="57"/>
        <v>-6.1200000000000004E-2</v>
      </c>
      <c r="V147" s="480">
        <f t="shared" si="57"/>
        <v>-6.1200000000000004E-2</v>
      </c>
    </row>
    <row r="148" spans="2:22">
      <c r="G148"/>
      <c r="I148" s="21"/>
      <c r="K148" s="21"/>
      <c r="L148" s="21"/>
      <c r="M148" s="21"/>
      <c r="N148" s="21"/>
    </row>
    <row r="149" spans="2:22">
      <c r="G149"/>
      <c r="I149" s="2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</row>
    <row r="150" spans="2:22">
      <c r="B150" s="2" t="s">
        <v>513</v>
      </c>
      <c r="E150" s="58" t="s">
        <v>514</v>
      </c>
      <c r="F150" s="58" t="s">
        <v>515</v>
      </c>
      <c r="G150"/>
      <c r="H150" s="53"/>
      <c r="I150" s="48">
        <f>SUM(J150:V150)</f>
        <v>-41.917718750000006</v>
      </c>
      <c r="J150" s="481">
        <f>-SUM(J153,J158)</f>
        <v>0</v>
      </c>
      <c r="K150" s="481">
        <f t="shared" ref="K150:V150" si="58">-SUM(K153,K158)</f>
        <v>0</v>
      </c>
      <c r="L150" s="481">
        <f t="shared" si="58"/>
        <v>0</v>
      </c>
      <c r="M150" s="481">
        <f t="shared" si="58"/>
        <v>-4.1917718750000006</v>
      </c>
      <c r="N150" s="481">
        <f t="shared" si="58"/>
        <v>-4.1917718750000006</v>
      </c>
      <c r="O150" s="481">
        <f t="shared" si="58"/>
        <v>-4.1917718750000006</v>
      </c>
      <c r="P150" s="481">
        <f t="shared" si="58"/>
        <v>-4.1917718750000006</v>
      </c>
      <c r="Q150" s="481">
        <f t="shared" si="58"/>
        <v>-4.1917718750000006</v>
      </c>
      <c r="R150" s="481">
        <f t="shared" si="58"/>
        <v>-4.1917718750000006</v>
      </c>
      <c r="S150" s="481">
        <f t="shared" si="58"/>
        <v>-4.1917718750000006</v>
      </c>
      <c r="T150" s="481">
        <f t="shared" si="58"/>
        <v>-4.1917718750000006</v>
      </c>
      <c r="U150" s="481">
        <f t="shared" si="58"/>
        <v>-4.1917718750000006</v>
      </c>
      <c r="V150" s="481">
        <f t="shared" si="58"/>
        <v>-4.1917718750000006</v>
      </c>
    </row>
    <row r="151" spans="2:22">
      <c r="B151" s="407" t="s">
        <v>516</v>
      </c>
      <c r="E151" s="6">
        <v>20</v>
      </c>
      <c r="F151" s="30">
        <f>Calculation_FSL!L1478</f>
        <v>3.7622963418383031</v>
      </c>
      <c r="G151" s="17" t="s">
        <v>176</v>
      </c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</row>
    <row r="152" spans="2:22">
      <c r="B152" s="407" t="s">
        <v>517</v>
      </c>
      <c r="F152" s="74">
        <v>0.63</v>
      </c>
      <c r="G152" s="17" t="s">
        <v>315</v>
      </c>
    </row>
    <row r="153" spans="2:22">
      <c r="B153" s="28" t="s">
        <v>476</v>
      </c>
      <c r="C153" s="28"/>
      <c r="D153" s="28"/>
      <c r="E153" s="28"/>
      <c r="F153" s="28"/>
      <c r="G153" s="28"/>
      <c r="H153" s="28"/>
      <c r="I153" s="49">
        <f>SUM(J153:V153)</f>
        <v>19.276031250000006</v>
      </c>
      <c r="J153" s="460">
        <f t="shared" ref="J153:V153" si="59">($F151*$F152*Million)/$E151*USD_IDR/Billion*J$129</f>
        <v>0</v>
      </c>
      <c r="K153" s="460">
        <f t="shared" si="59"/>
        <v>0</v>
      </c>
      <c r="L153" s="460">
        <f t="shared" si="59"/>
        <v>0</v>
      </c>
      <c r="M153" s="460">
        <f t="shared" si="59"/>
        <v>1.9276031250000001</v>
      </c>
      <c r="N153" s="460">
        <f t="shared" si="59"/>
        <v>1.9276031250000001</v>
      </c>
      <c r="O153" s="460">
        <f t="shared" si="59"/>
        <v>1.9276031250000001</v>
      </c>
      <c r="P153" s="460">
        <f t="shared" si="59"/>
        <v>1.9276031250000001</v>
      </c>
      <c r="Q153" s="460">
        <f t="shared" si="59"/>
        <v>1.9276031250000001</v>
      </c>
      <c r="R153" s="460">
        <f t="shared" si="59"/>
        <v>1.9276031250000001</v>
      </c>
      <c r="S153" s="460">
        <f t="shared" si="59"/>
        <v>1.9276031250000001</v>
      </c>
      <c r="T153" s="460">
        <f t="shared" si="59"/>
        <v>1.9276031250000001</v>
      </c>
      <c r="U153" s="460">
        <f t="shared" si="59"/>
        <v>1.9276031250000001</v>
      </c>
      <c r="V153" s="460">
        <f t="shared" si="59"/>
        <v>1.9276031250000001</v>
      </c>
    </row>
    <row r="154" spans="2:22">
      <c r="G154"/>
    </row>
    <row r="155" spans="2:22">
      <c r="B155" s="2" t="s">
        <v>518</v>
      </c>
      <c r="E155" s="58" t="s">
        <v>514</v>
      </c>
      <c r="F155" s="58" t="s">
        <v>515</v>
      </c>
      <c r="G155"/>
      <c r="I155" s="22"/>
      <c r="L155" s="22"/>
    </row>
    <row r="156" spans="2:22">
      <c r="B156" s="407" t="s">
        <v>516</v>
      </c>
      <c r="E156" s="6">
        <v>10</v>
      </c>
      <c r="F156" s="30">
        <f>F151</f>
        <v>3.7622963418383031</v>
      </c>
      <c r="G156" s="17" t="s">
        <v>176</v>
      </c>
    </row>
    <row r="157" spans="2:22">
      <c r="B157" s="407" t="s">
        <v>517</v>
      </c>
      <c r="F157" s="74">
        <f>100%-F152</f>
        <v>0.37</v>
      </c>
      <c r="G157" s="17" t="s">
        <v>315</v>
      </c>
    </row>
    <row r="158" spans="2:22">
      <c r="B158" s="28" t="s">
        <v>476</v>
      </c>
      <c r="C158" s="28"/>
      <c r="D158" s="28"/>
      <c r="E158" s="28"/>
      <c r="F158" s="28"/>
      <c r="G158" s="28"/>
      <c r="H158" s="28"/>
      <c r="I158" s="49">
        <f>SUM(J158:V158)</f>
        <v>22.6416875</v>
      </c>
      <c r="J158" s="460">
        <f t="shared" ref="J158:V158" si="60">($F156*$F157*Million)/$E156*USD_IDR/Billion*J$129</f>
        <v>0</v>
      </c>
      <c r="K158" s="460">
        <f t="shared" si="60"/>
        <v>0</v>
      </c>
      <c r="L158" s="460">
        <f t="shared" si="60"/>
        <v>0</v>
      </c>
      <c r="M158" s="460">
        <f t="shared" si="60"/>
        <v>2.2641687500000001</v>
      </c>
      <c r="N158" s="460">
        <f t="shared" si="60"/>
        <v>2.2641687500000001</v>
      </c>
      <c r="O158" s="460">
        <f t="shared" si="60"/>
        <v>2.2641687500000001</v>
      </c>
      <c r="P158" s="460">
        <f t="shared" si="60"/>
        <v>2.2641687500000001</v>
      </c>
      <c r="Q158" s="460">
        <f t="shared" si="60"/>
        <v>2.2641687500000001</v>
      </c>
      <c r="R158" s="460">
        <f t="shared" si="60"/>
        <v>2.2641687500000001</v>
      </c>
      <c r="S158" s="460">
        <f t="shared" si="60"/>
        <v>2.2641687500000001</v>
      </c>
      <c r="T158" s="460">
        <f t="shared" si="60"/>
        <v>2.2641687500000001</v>
      </c>
      <c r="U158" s="460">
        <f t="shared" si="60"/>
        <v>2.2641687500000001</v>
      </c>
      <c r="V158" s="460">
        <f t="shared" si="60"/>
        <v>2.2641687500000001</v>
      </c>
    </row>
    <row r="159" spans="2:22">
      <c r="G159"/>
    </row>
    <row r="160" spans="2:22">
      <c r="B160" s="2" t="s">
        <v>1093</v>
      </c>
      <c r="G160"/>
    </row>
    <row r="161" spans="2:22">
      <c r="B161" s="407" t="s">
        <v>483</v>
      </c>
      <c r="G161" s="17" t="s">
        <v>485</v>
      </c>
      <c r="J161">
        <f>J$379</f>
        <v>2017.4871277524769</v>
      </c>
      <c r="K161">
        <f t="shared" ref="K161:V161" si="61">K$379</f>
        <v>2078.0117415850514</v>
      </c>
      <c r="L161">
        <f t="shared" si="61"/>
        <v>2140.3520938326028</v>
      </c>
      <c r="M161">
        <f t="shared" si="61"/>
        <v>2204.5626566475812</v>
      </c>
      <c r="N161">
        <f t="shared" si="61"/>
        <v>2270.6995363470082</v>
      </c>
      <c r="O161">
        <f t="shared" si="61"/>
        <v>2338.8205224374187</v>
      </c>
      <c r="P161">
        <f t="shared" si="61"/>
        <v>2408.9851381105414</v>
      </c>
      <c r="Q161">
        <f t="shared" si="61"/>
        <v>2481.2546922538577</v>
      </c>
      <c r="R161">
        <f t="shared" si="61"/>
        <v>2555.6923330214736</v>
      </c>
      <c r="S161">
        <f t="shared" si="61"/>
        <v>2632.3631030121178</v>
      </c>
      <c r="T161">
        <f t="shared" si="61"/>
        <v>2711.3339961024817</v>
      </c>
      <c r="U161">
        <f t="shared" si="61"/>
        <v>2792.6740159855558</v>
      </c>
      <c r="V161">
        <f t="shared" si="61"/>
        <v>2876.4542364651229</v>
      </c>
    </row>
    <row r="162" spans="2:22">
      <c r="B162" s="407" t="s">
        <v>519</v>
      </c>
      <c r="J162" s="74">
        <f>Input!K239</f>
        <v>3.897911782</v>
      </c>
      <c r="K162" s="74">
        <f>Input!L239</f>
        <v>0</v>
      </c>
      <c r="L162" s="74">
        <f>Input!M239</f>
        <v>0</v>
      </c>
      <c r="M162" s="74">
        <f>Input!N239</f>
        <v>0</v>
      </c>
      <c r="N162" s="74">
        <f>Input!O239</f>
        <v>0</v>
      </c>
      <c r="O162" s="74">
        <f>Input!P239</f>
        <v>0</v>
      </c>
      <c r="P162" s="74">
        <f>Input!Q239</f>
        <v>0</v>
      </c>
      <c r="Q162" s="74">
        <f>Input!R239</f>
        <v>0</v>
      </c>
      <c r="R162" s="74">
        <f>Input!S239</f>
        <v>0</v>
      </c>
      <c r="S162" s="74">
        <f>Input!T239</f>
        <v>0</v>
      </c>
      <c r="T162" s="74">
        <f>Input!U239</f>
        <v>0</v>
      </c>
      <c r="U162" s="74">
        <f>Input!V239</f>
        <v>0</v>
      </c>
      <c r="V162" s="74">
        <f>Input!W239</f>
        <v>0</v>
      </c>
    </row>
    <row r="163" spans="2:22">
      <c r="B163" s="407" t="s">
        <v>486</v>
      </c>
      <c r="G163" s="17" t="s">
        <v>315</v>
      </c>
    </row>
    <row r="164" spans="2:22">
      <c r="B164" s="28" t="s">
        <v>480</v>
      </c>
      <c r="C164" s="28"/>
      <c r="D164" s="28"/>
      <c r="E164" s="28"/>
      <c r="F164" s="28"/>
      <c r="G164" s="28"/>
      <c r="H164" s="28"/>
      <c r="I164" s="28"/>
      <c r="J164" s="47">
        <f t="shared" ref="J164:V164" si="62">J161*J$408*J162/Billion</f>
        <v>0</v>
      </c>
      <c r="K164" s="47">
        <f t="shared" si="62"/>
        <v>0</v>
      </c>
      <c r="L164" s="47">
        <f t="shared" si="62"/>
        <v>0</v>
      </c>
      <c r="M164" s="47">
        <f t="shared" si="62"/>
        <v>0</v>
      </c>
      <c r="N164" s="47">
        <f t="shared" si="62"/>
        <v>0</v>
      </c>
      <c r="O164" s="47">
        <f t="shared" si="62"/>
        <v>0</v>
      </c>
      <c r="P164" s="47">
        <f t="shared" si="62"/>
        <v>0</v>
      </c>
      <c r="Q164" s="47">
        <f t="shared" si="62"/>
        <v>0</v>
      </c>
      <c r="R164" s="47">
        <f t="shared" si="62"/>
        <v>0</v>
      </c>
      <c r="S164" s="47">
        <f t="shared" si="62"/>
        <v>0</v>
      </c>
      <c r="T164" s="47">
        <f t="shared" si="62"/>
        <v>0</v>
      </c>
      <c r="U164" s="47">
        <f t="shared" si="62"/>
        <v>0</v>
      </c>
      <c r="V164" s="47">
        <f t="shared" si="62"/>
        <v>0</v>
      </c>
    </row>
    <row r="165" spans="2:22">
      <c r="G165"/>
      <c r="J165" s="22"/>
      <c r="K165" s="22"/>
      <c r="L165" s="88"/>
      <c r="M165" s="22"/>
      <c r="N165" s="22"/>
      <c r="O165" s="22"/>
      <c r="P165" s="22"/>
      <c r="Q165" s="22"/>
      <c r="R165" s="88"/>
      <c r="S165" s="22"/>
      <c r="T165" s="22"/>
      <c r="U165" s="22"/>
      <c r="V165" s="22"/>
    </row>
    <row r="166" spans="2:22">
      <c r="G166"/>
      <c r="J166" s="22"/>
      <c r="K166" s="22"/>
      <c r="L166" s="88"/>
      <c r="M166" s="22"/>
      <c r="N166" s="22"/>
      <c r="O166" s="22"/>
      <c r="P166" s="22"/>
      <c r="Q166" s="22"/>
      <c r="R166" s="88"/>
      <c r="S166" s="22"/>
      <c r="T166" s="22"/>
      <c r="U166" s="22"/>
      <c r="V166" s="22"/>
    </row>
    <row r="167" spans="2:22">
      <c r="G167"/>
      <c r="J167" s="22"/>
      <c r="K167" s="22"/>
      <c r="L167" s="88"/>
      <c r="M167" s="22"/>
      <c r="N167" s="22"/>
      <c r="O167" s="22"/>
      <c r="P167" s="22"/>
      <c r="Q167" s="22"/>
      <c r="R167" s="88"/>
      <c r="S167" s="22"/>
      <c r="T167" s="22"/>
      <c r="U167" s="22"/>
      <c r="V167" s="22"/>
    </row>
    <row r="168" spans="2:22" ht="24" thickBot="1">
      <c r="B168" s="14" t="s">
        <v>391</v>
      </c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</row>
    <row r="169" spans="2:22">
      <c r="G169"/>
    </row>
    <row r="170" spans="2:22">
      <c r="B170" t="s">
        <v>37</v>
      </c>
      <c r="F170" s="19">
        <v>2026</v>
      </c>
      <c r="G170"/>
      <c r="J170" s="71">
        <f>IF(J$8&lt;$F170,0,1)*J$12</f>
        <v>0</v>
      </c>
      <c r="K170" s="13">
        <f t="shared" ref="K170:V170" si="63">IF(K$8&lt;$F170,0,1)*K$12</f>
        <v>0</v>
      </c>
      <c r="L170" s="13">
        <f t="shared" si="63"/>
        <v>1</v>
      </c>
      <c r="M170" s="13">
        <f t="shared" si="63"/>
        <v>1</v>
      </c>
      <c r="N170" s="13">
        <f t="shared" si="63"/>
        <v>1</v>
      </c>
      <c r="O170" s="13">
        <f t="shared" si="63"/>
        <v>1</v>
      </c>
      <c r="P170" s="13">
        <f t="shared" si="63"/>
        <v>1</v>
      </c>
      <c r="Q170" s="13">
        <f t="shared" si="63"/>
        <v>1</v>
      </c>
      <c r="R170" s="13">
        <f t="shared" si="63"/>
        <v>1</v>
      </c>
      <c r="S170" s="13">
        <f t="shared" si="63"/>
        <v>1</v>
      </c>
      <c r="T170" s="13">
        <f t="shared" si="63"/>
        <v>1</v>
      </c>
      <c r="U170" s="13">
        <f t="shared" si="63"/>
        <v>1</v>
      </c>
      <c r="V170" s="13">
        <f t="shared" si="63"/>
        <v>1</v>
      </c>
    </row>
    <row r="171" spans="2:22">
      <c r="G171"/>
    </row>
    <row r="172" spans="2:22" ht="15.75">
      <c r="B172" s="15" t="s">
        <v>510</v>
      </c>
      <c r="G172"/>
    </row>
    <row r="173" spans="2:22" ht="15.75">
      <c r="B173" s="41" t="s">
        <v>511</v>
      </c>
      <c r="F173" s="19"/>
      <c r="G173"/>
      <c r="J173" s="70"/>
      <c r="K173" s="70"/>
      <c r="L173" s="70"/>
      <c r="M173" s="70"/>
      <c r="N173" s="70"/>
      <c r="O173" s="70"/>
      <c r="P173" s="70"/>
      <c r="Q173" s="70"/>
      <c r="R173" s="70"/>
      <c r="S173" s="70"/>
      <c r="T173" s="70"/>
      <c r="U173" s="70"/>
      <c r="V173" s="70"/>
    </row>
    <row r="174" spans="2:22">
      <c r="B174" s="407" t="s">
        <v>407</v>
      </c>
      <c r="F174" s="16">
        <f>Input!J267</f>
        <v>0</v>
      </c>
      <c r="G174" s="17" t="s">
        <v>315</v>
      </c>
      <c r="J174" s="19"/>
      <c r="K174" s="19"/>
      <c r="L174" s="461">
        <v>1300000</v>
      </c>
      <c r="M174" s="19">
        <v>1300000</v>
      </c>
      <c r="N174" s="19">
        <v>1300000</v>
      </c>
      <c r="O174" s="19">
        <v>1339000</v>
      </c>
      <c r="P174" s="19">
        <v>1339000</v>
      </c>
      <c r="Q174" s="19">
        <v>1339000</v>
      </c>
      <c r="R174" s="19">
        <v>1339000</v>
      </c>
      <c r="S174" s="19">
        <v>1379170</v>
      </c>
      <c r="T174" s="19">
        <v>1379170</v>
      </c>
      <c r="U174" s="19">
        <v>1379170</v>
      </c>
      <c r="V174" s="19">
        <f>U174</f>
        <v>1379170</v>
      </c>
    </row>
    <row r="175" spans="2:22">
      <c r="B175" s="407" t="s">
        <v>465</v>
      </c>
      <c r="J175">
        <f>Input!K261</f>
        <v>0</v>
      </c>
      <c r="K175">
        <f>Input!L261</f>
        <v>0</v>
      </c>
      <c r="L175" s="19">
        <v>35000</v>
      </c>
      <c r="M175" s="19">
        <v>35000</v>
      </c>
      <c r="N175" s="19">
        <v>35000</v>
      </c>
      <c r="O175" s="19">
        <v>36400</v>
      </c>
      <c r="P175" s="19">
        <v>36400</v>
      </c>
      <c r="Q175" s="19">
        <v>36400</v>
      </c>
      <c r="R175" s="19">
        <v>36400</v>
      </c>
      <c r="S175" s="19">
        <v>37856</v>
      </c>
      <c r="T175" s="19">
        <v>37856</v>
      </c>
      <c r="U175" s="19">
        <v>37856</v>
      </c>
      <c r="V175" s="19">
        <v>37856</v>
      </c>
    </row>
    <row r="176" spans="2:22">
      <c r="B176" s="28" t="s">
        <v>9</v>
      </c>
      <c r="C176" s="28"/>
      <c r="D176" s="28"/>
      <c r="E176" s="28"/>
      <c r="F176" s="28"/>
      <c r="G176" s="28"/>
      <c r="H176" s="28"/>
      <c r="I176" s="48">
        <f>SUM(J176:V176)</f>
        <v>540.29783808000002</v>
      </c>
      <c r="J176" s="459">
        <f>J174*J175/Billion*J$12</f>
        <v>0</v>
      </c>
      <c r="K176" s="28">
        <f t="shared" ref="K176:V176" si="64">K174*K175/Billion*K$12</f>
        <v>0</v>
      </c>
      <c r="L176" s="459">
        <f t="shared" si="64"/>
        <v>45.5</v>
      </c>
      <c r="M176" s="28">
        <f t="shared" si="64"/>
        <v>45.5</v>
      </c>
      <c r="N176" s="28">
        <f t="shared" si="64"/>
        <v>45.5</v>
      </c>
      <c r="O176" s="28">
        <f t="shared" si="64"/>
        <v>48.739600000000003</v>
      </c>
      <c r="P176" s="28">
        <f t="shared" si="64"/>
        <v>48.739600000000003</v>
      </c>
      <c r="Q176" s="28">
        <f t="shared" si="64"/>
        <v>48.739600000000003</v>
      </c>
      <c r="R176" s="28">
        <f t="shared" si="64"/>
        <v>48.739600000000003</v>
      </c>
      <c r="S176" s="28">
        <f t="shared" si="64"/>
        <v>52.209859520000002</v>
      </c>
      <c r="T176" s="28">
        <f t="shared" si="64"/>
        <v>52.209859520000002</v>
      </c>
      <c r="U176" s="28">
        <f t="shared" si="64"/>
        <v>52.209859520000002</v>
      </c>
      <c r="V176" s="28">
        <f t="shared" si="64"/>
        <v>52.209859520000002</v>
      </c>
    </row>
    <row r="177" spans="2:22">
      <c r="G177"/>
      <c r="I177" s="21"/>
      <c r="K177" s="21"/>
      <c r="L177" s="21"/>
      <c r="M177" s="21"/>
      <c r="N177" s="21"/>
    </row>
    <row r="178" spans="2:22">
      <c r="B178" t="s">
        <v>471</v>
      </c>
      <c r="G178"/>
      <c r="I178" s="21"/>
      <c r="J178">
        <f>SUM(J174)</f>
        <v>0</v>
      </c>
      <c r="K178">
        <f t="shared" ref="K178:V178" si="65">SUM(K174)</f>
        <v>0</v>
      </c>
      <c r="L178">
        <f t="shared" si="65"/>
        <v>1300000</v>
      </c>
      <c r="M178">
        <f t="shared" si="65"/>
        <v>1300000</v>
      </c>
      <c r="N178">
        <f t="shared" si="65"/>
        <v>1300000</v>
      </c>
      <c r="O178">
        <f t="shared" si="65"/>
        <v>1339000</v>
      </c>
      <c r="P178">
        <f t="shared" si="65"/>
        <v>1339000</v>
      </c>
      <c r="Q178">
        <f t="shared" si="65"/>
        <v>1339000</v>
      </c>
      <c r="R178">
        <f t="shared" si="65"/>
        <v>1339000</v>
      </c>
      <c r="S178">
        <f t="shared" si="65"/>
        <v>1379170</v>
      </c>
      <c r="T178">
        <f t="shared" si="65"/>
        <v>1379170</v>
      </c>
      <c r="U178">
        <f t="shared" si="65"/>
        <v>1379170</v>
      </c>
      <c r="V178">
        <f t="shared" si="65"/>
        <v>1379170</v>
      </c>
    </row>
    <row r="179" spans="2:22">
      <c r="G179"/>
      <c r="I179" s="21"/>
    </row>
    <row r="180" spans="2:22" ht="15.75">
      <c r="B180" s="15" t="s">
        <v>1078</v>
      </c>
      <c r="G180"/>
    </row>
    <row r="181" spans="2:22" ht="15.75">
      <c r="B181" s="41" t="s">
        <v>511</v>
      </c>
      <c r="F181" s="19"/>
      <c r="G181"/>
      <c r="J181" s="70"/>
      <c r="K181" s="70"/>
      <c r="L181" s="70"/>
      <c r="M181" s="70"/>
      <c r="N181" s="70"/>
      <c r="O181" s="70"/>
      <c r="P181" s="70"/>
      <c r="Q181" s="70"/>
      <c r="R181" s="70"/>
      <c r="S181" s="70"/>
      <c r="T181" s="70"/>
      <c r="U181" s="70"/>
      <c r="V181" s="70"/>
    </row>
    <row r="182" spans="2:22">
      <c r="B182" s="407" t="s">
        <v>407</v>
      </c>
      <c r="F182" s="16">
        <f>Input!J274</f>
        <v>0</v>
      </c>
      <c r="G182" s="17" t="s">
        <v>315</v>
      </c>
      <c r="J182" s="19">
        <f>J174</f>
        <v>0</v>
      </c>
      <c r="K182" s="19">
        <f t="shared" ref="K182:V182" si="66">K174</f>
        <v>0</v>
      </c>
      <c r="L182" s="19">
        <f t="shared" si="66"/>
        <v>1300000</v>
      </c>
      <c r="M182" s="19">
        <f t="shared" si="66"/>
        <v>1300000</v>
      </c>
      <c r="N182" s="19">
        <f t="shared" si="66"/>
        <v>1300000</v>
      </c>
      <c r="O182" s="19">
        <f t="shared" si="66"/>
        <v>1339000</v>
      </c>
      <c r="P182" s="19">
        <f t="shared" si="66"/>
        <v>1339000</v>
      </c>
      <c r="Q182" s="19">
        <f t="shared" si="66"/>
        <v>1339000</v>
      </c>
      <c r="R182" s="19">
        <f t="shared" si="66"/>
        <v>1339000</v>
      </c>
      <c r="S182" s="19">
        <f t="shared" si="66"/>
        <v>1379170</v>
      </c>
      <c r="T182" s="19">
        <f t="shared" si="66"/>
        <v>1379170</v>
      </c>
      <c r="U182" s="19">
        <f t="shared" si="66"/>
        <v>1379170</v>
      </c>
      <c r="V182" s="19">
        <f t="shared" si="66"/>
        <v>1379170</v>
      </c>
    </row>
    <row r="183" spans="2:22">
      <c r="B183" s="407" t="s">
        <v>465</v>
      </c>
      <c r="J183">
        <f>Input!K268</f>
        <v>0</v>
      </c>
      <c r="K183">
        <f>Input!L268</f>
        <v>0</v>
      </c>
      <c r="L183" s="19">
        <v>2000</v>
      </c>
      <c r="M183" s="19">
        <f>L183</f>
        <v>2000</v>
      </c>
      <c r="N183" s="19">
        <f t="shared" ref="N183:V183" si="67">M183</f>
        <v>2000</v>
      </c>
      <c r="O183" s="19">
        <f t="shared" si="67"/>
        <v>2000</v>
      </c>
      <c r="P183" s="19">
        <f t="shared" si="67"/>
        <v>2000</v>
      </c>
      <c r="Q183" s="19">
        <f t="shared" si="67"/>
        <v>2000</v>
      </c>
      <c r="R183" s="19">
        <f t="shared" si="67"/>
        <v>2000</v>
      </c>
      <c r="S183" s="19">
        <f t="shared" si="67"/>
        <v>2000</v>
      </c>
      <c r="T183" s="19">
        <f t="shared" si="67"/>
        <v>2000</v>
      </c>
      <c r="U183" s="19">
        <f t="shared" si="67"/>
        <v>2000</v>
      </c>
      <c r="V183" s="19">
        <f t="shared" si="67"/>
        <v>2000</v>
      </c>
    </row>
    <row r="184" spans="2:22">
      <c r="B184" s="28" t="s">
        <v>9</v>
      </c>
      <c r="C184" s="28"/>
      <c r="D184" s="28"/>
      <c r="E184" s="28"/>
      <c r="F184" s="28"/>
      <c r="G184" s="28"/>
      <c r="H184" s="28"/>
      <c r="I184" s="48">
        <f>SUM(J184:V184)</f>
        <v>29.545360000000006</v>
      </c>
      <c r="J184" s="459">
        <f t="shared" ref="J184:V184" si="68">J182*J183/Billion*J$12</f>
        <v>0</v>
      </c>
      <c r="K184" s="28">
        <f t="shared" si="68"/>
        <v>0</v>
      </c>
      <c r="L184" s="459">
        <f t="shared" si="68"/>
        <v>2.6</v>
      </c>
      <c r="M184" s="28">
        <f t="shared" si="68"/>
        <v>2.6</v>
      </c>
      <c r="N184" s="28">
        <f t="shared" si="68"/>
        <v>2.6</v>
      </c>
      <c r="O184" s="28">
        <f t="shared" si="68"/>
        <v>2.6779999999999999</v>
      </c>
      <c r="P184" s="28">
        <f t="shared" si="68"/>
        <v>2.6779999999999999</v>
      </c>
      <c r="Q184" s="28">
        <f t="shared" si="68"/>
        <v>2.6779999999999999</v>
      </c>
      <c r="R184" s="28">
        <f t="shared" si="68"/>
        <v>2.6779999999999999</v>
      </c>
      <c r="S184" s="28">
        <f t="shared" si="68"/>
        <v>2.75834</v>
      </c>
      <c r="T184" s="28">
        <f t="shared" si="68"/>
        <v>2.75834</v>
      </c>
      <c r="U184" s="28">
        <f t="shared" si="68"/>
        <v>2.75834</v>
      </c>
      <c r="V184" s="28">
        <f t="shared" si="68"/>
        <v>2.75834</v>
      </c>
    </row>
    <row r="185" spans="2:22">
      <c r="G185"/>
      <c r="I185" s="21"/>
      <c r="K185" s="21"/>
      <c r="L185" s="21"/>
      <c r="M185" s="21"/>
      <c r="N185" s="21"/>
    </row>
    <row r="186" spans="2:22">
      <c r="B186" t="s">
        <v>471</v>
      </c>
      <c r="G186"/>
      <c r="I186" s="21"/>
      <c r="J186">
        <f>SUM(J182)</f>
        <v>0</v>
      </c>
      <c r="K186">
        <f t="shared" ref="K186:V186" si="69">SUM(K182)</f>
        <v>0</v>
      </c>
      <c r="L186">
        <f t="shared" si="69"/>
        <v>1300000</v>
      </c>
      <c r="M186">
        <f t="shared" si="69"/>
        <v>1300000</v>
      </c>
      <c r="N186">
        <f t="shared" si="69"/>
        <v>1300000</v>
      </c>
      <c r="O186">
        <f t="shared" si="69"/>
        <v>1339000</v>
      </c>
      <c r="P186">
        <f t="shared" si="69"/>
        <v>1339000</v>
      </c>
      <c r="Q186">
        <f t="shared" si="69"/>
        <v>1339000</v>
      </c>
      <c r="R186">
        <f t="shared" si="69"/>
        <v>1339000</v>
      </c>
      <c r="S186">
        <f t="shared" si="69"/>
        <v>1379170</v>
      </c>
      <c r="T186">
        <f t="shared" si="69"/>
        <v>1379170</v>
      </c>
      <c r="U186">
        <f t="shared" si="69"/>
        <v>1379170</v>
      </c>
      <c r="V186">
        <f t="shared" si="69"/>
        <v>1379170</v>
      </c>
    </row>
    <row r="187" spans="2:22">
      <c r="G187"/>
      <c r="I187" s="21"/>
      <c r="K187" s="21"/>
      <c r="L187" s="21"/>
      <c r="M187" s="21"/>
      <c r="N187" s="21"/>
    </row>
    <row r="188" spans="2:22" ht="15.75">
      <c r="B188" s="15" t="s">
        <v>473</v>
      </c>
      <c r="F188" s="39"/>
      <c r="G188"/>
      <c r="I188" s="21"/>
      <c r="J188" s="462">
        <f>SUM(J184,J176)*$F$188</f>
        <v>0</v>
      </c>
      <c r="K188">
        <f t="shared" ref="K188:V188" si="70">SUM(K184,K176)*$F$188</f>
        <v>0</v>
      </c>
      <c r="L188">
        <f t="shared" si="70"/>
        <v>0</v>
      </c>
      <c r="M188">
        <f t="shared" si="70"/>
        <v>0</v>
      </c>
      <c r="N188">
        <f t="shared" si="70"/>
        <v>0</v>
      </c>
      <c r="O188">
        <f t="shared" si="70"/>
        <v>0</v>
      </c>
      <c r="P188">
        <f t="shared" si="70"/>
        <v>0</v>
      </c>
      <c r="Q188">
        <f t="shared" si="70"/>
        <v>0</v>
      </c>
      <c r="R188">
        <f t="shared" si="70"/>
        <v>0</v>
      </c>
      <c r="S188">
        <f t="shared" si="70"/>
        <v>0</v>
      </c>
      <c r="T188">
        <f t="shared" si="70"/>
        <v>0</v>
      </c>
      <c r="U188">
        <f t="shared" si="70"/>
        <v>0</v>
      </c>
      <c r="V188">
        <f t="shared" si="70"/>
        <v>0</v>
      </c>
    </row>
    <row r="189" spans="2:22">
      <c r="G189"/>
      <c r="I189" s="21"/>
      <c r="K189" s="21"/>
      <c r="L189" s="21"/>
      <c r="M189" s="21"/>
      <c r="N189" s="21"/>
    </row>
    <row r="190" spans="2:22">
      <c r="G190"/>
      <c r="I190" s="21"/>
      <c r="J190" s="1">
        <f t="shared" ref="J190:V190" si="71">SUM(J205,J210,J217)</f>
        <v>0</v>
      </c>
      <c r="K190" s="1">
        <f t="shared" si="71"/>
        <v>0</v>
      </c>
      <c r="L190" s="1">
        <f t="shared" si="71"/>
        <v>22.349182568122735</v>
      </c>
      <c r="M190" s="1">
        <f t="shared" si="71"/>
        <v>22.860856571580236</v>
      </c>
      <c r="N190" s="1">
        <f t="shared" si="71"/>
        <v>23.385322425124176</v>
      </c>
      <c r="O190" s="1">
        <f t="shared" si="71"/>
        <v>24.368177184432536</v>
      </c>
      <c r="P190" s="1">
        <f t="shared" si="71"/>
        <v>25.366275592338262</v>
      </c>
      <c r="Q190" s="1">
        <f t="shared" si="71"/>
        <v>25.721335378404898</v>
      </c>
      <c r="R190" s="1">
        <f t="shared" si="71"/>
        <v>26.309760465381437</v>
      </c>
      <c r="S190" s="1">
        <f t="shared" si="71"/>
        <v>27.413675940716342</v>
      </c>
      <c r="T190" s="1">
        <f t="shared" si="71"/>
        <v>28.042184391550666</v>
      </c>
      <c r="U190" s="1">
        <f t="shared" si="71"/>
        <v>29.124593172696333</v>
      </c>
      <c r="V190" s="1">
        <f t="shared" si="71"/>
        <v>29.390551006717725</v>
      </c>
    </row>
    <row r="191" spans="2:22">
      <c r="B191" s="2" t="s">
        <v>513</v>
      </c>
      <c r="E191" s="58" t="s">
        <v>514</v>
      </c>
      <c r="F191" s="58" t="s">
        <v>515</v>
      </c>
      <c r="G191"/>
      <c r="I191" s="22"/>
      <c r="J191" s="462">
        <f>SUM(J194,J199)</f>
        <v>0</v>
      </c>
      <c r="K191">
        <f t="shared" ref="K191:V191" si="72">SUM(K194,K199)</f>
        <v>0</v>
      </c>
      <c r="L191" s="462">
        <f t="shared" si="72"/>
        <v>8.860552380952381</v>
      </c>
      <c r="M191">
        <f t="shared" si="72"/>
        <v>8.860552380952381</v>
      </c>
      <c r="N191">
        <f t="shared" si="72"/>
        <v>8.860552380952381</v>
      </c>
      <c r="O191">
        <f t="shared" si="72"/>
        <v>8.860552380952381</v>
      </c>
      <c r="P191">
        <f t="shared" si="72"/>
        <v>8.860552380952381</v>
      </c>
      <c r="Q191">
        <f t="shared" si="72"/>
        <v>8.860552380952381</v>
      </c>
      <c r="R191">
        <f t="shared" si="72"/>
        <v>8.860552380952381</v>
      </c>
      <c r="S191">
        <f t="shared" si="72"/>
        <v>8.860552380952381</v>
      </c>
      <c r="T191">
        <f t="shared" si="72"/>
        <v>3.3227071428571433</v>
      </c>
      <c r="U191">
        <f t="shared" si="72"/>
        <v>3.3227071428571433</v>
      </c>
      <c r="V191">
        <f t="shared" si="72"/>
        <v>3.3227071428571433</v>
      </c>
    </row>
    <row r="192" spans="2:22">
      <c r="B192" s="407" t="s">
        <v>516</v>
      </c>
      <c r="E192" s="6">
        <v>20</v>
      </c>
      <c r="F192" s="30">
        <f>Input!J1258</f>
        <v>6.8095238095238102</v>
      </c>
      <c r="G192" s="17" t="s">
        <v>315</v>
      </c>
      <c r="J192" s="21">
        <f>IFERROR(J191/SUM(J184,J176),0)</f>
        <v>0</v>
      </c>
      <c r="K192" s="21">
        <f t="shared" ref="K192:V192" si="73">IFERROR(K191/SUM(K184,K176),0)</f>
        <v>0</v>
      </c>
      <c r="L192" s="21">
        <f t="shared" si="73"/>
        <v>0.1842110682110682</v>
      </c>
      <c r="M192" s="21">
        <f t="shared" si="73"/>
        <v>0.1842110682110682</v>
      </c>
      <c r="N192" s="21">
        <f t="shared" si="73"/>
        <v>0.1842110682110682</v>
      </c>
      <c r="O192" s="21">
        <f t="shared" si="73"/>
        <v>0.17232528124518415</v>
      </c>
      <c r="P192" s="21">
        <f t="shared" si="73"/>
        <v>0.17232528124518415</v>
      </c>
      <c r="Q192" s="21">
        <f t="shared" si="73"/>
        <v>0.17232528124518415</v>
      </c>
      <c r="R192" s="21">
        <f t="shared" si="73"/>
        <v>0.17232528124518415</v>
      </c>
      <c r="S192" s="21">
        <f t="shared" si="73"/>
        <v>0.16119415331638245</v>
      </c>
      <c r="T192" s="21">
        <f t="shared" si="73"/>
        <v>6.0447807493643431E-2</v>
      </c>
      <c r="U192" s="21">
        <f t="shared" si="73"/>
        <v>6.0447807493643431E-2</v>
      </c>
      <c r="V192" s="21">
        <f t="shared" si="73"/>
        <v>6.0447807493643431E-2</v>
      </c>
    </row>
    <row r="193" spans="2:22">
      <c r="B193" s="407" t="s">
        <v>517</v>
      </c>
      <c r="F193" s="74">
        <v>0.6</v>
      </c>
      <c r="G193" s="17" t="s">
        <v>315</v>
      </c>
    </row>
    <row r="194" spans="2:22">
      <c r="B194" s="28" t="s">
        <v>476</v>
      </c>
      <c r="C194" s="28"/>
      <c r="D194" s="28"/>
      <c r="E194" s="28"/>
      <c r="F194" s="28"/>
      <c r="G194" s="28"/>
      <c r="H194" s="28"/>
      <c r="I194" s="49">
        <f>SUM(J194:V194)</f>
        <v>36.549778571428575</v>
      </c>
      <c r="J194" s="460">
        <f t="shared" ref="J194:V194" si="74">($F192*$F193*Million)/$E192*USD_IDR/Billion*J170</f>
        <v>0</v>
      </c>
      <c r="K194" s="460">
        <f t="shared" si="74"/>
        <v>0</v>
      </c>
      <c r="L194" s="460">
        <f t="shared" si="74"/>
        <v>3.3227071428571433</v>
      </c>
      <c r="M194" s="460">
        <f t="shared" si="74"/>
        <v>3.3227071428571433</v>
      </c>
      <c r="N194" s="460">
        <f t="shared" si="74"/>
        <v>3.3227071428571433</v>
      </c>
      <c r="O194" s="460">
        <f t="shared" si="74"/>
        <v>3.3227071428571433</v>
      </c>
      <c r="P194" s="460">
        <f t="shared" si="74"/>
        <v>3.3227071428571433</v>
      </c>
      <c r="Q194" s="460">
        <f t="shared" si="74"/>
        <v>3.3227071428571433</v>
      </c>
      <c r="R194" s="460">
        <f t="shared" si="74"/>
        <v>3.3227071428571433</v>
      </c>
      <c r="S194" s="460">
        <f t="shared" si="74"/>
        <v>3.3227071428571433</v>
      </c>
      <c r="T194" s="460">
        <f t="shared" si="74"/>
        <v>3.3227071428571433</v>
      </c>
      <c r="U194" s="460">
        <f t="shared" si="74"/>
        <v>3.3227071428571433</v>
      </c>
      <c r="V194" s="460">
        <f t="shared" si="74"/>
        <v>3.3227071428571433</v>
      </c>
    </row>
    <row r="195" spans="2:22">
      <c r="G195"/>
    </row>
    <row r="196" spans="2:22">
      <c r="B196" s="2" t="s">
        <v>518</v>
      </c>
      <c r="E196" s="58" t="s">
        <v>514</v>
      </c>
      <c r="F196" s="58" t="s">
        <v>515</v>
      </c>
      <c r="G196"/>
      <c r="I196" s="22"/>
      <c r="L196" s="22"/>
    </row>
    <row r="197" spans="2:22">
      <c r="B197" s="407" t="s">
        <v>516</v>
      </c>
      <c r="E197" s="16">
        <v>8</v>
      </c>
      <c r="F197" s="30">
        <f>Input!J1258</f>
        <v>6.8095238095238102</v>
      </c>
      <c r="G197" s="17" t="s">
        <v>315</v>
      </c>
      <c r="J197">
        <f>IF(AND(SUM($J$170:J170)&gt;0,SUM($J$170:J170)&lt;=$E$197),1,0)</f>
        <v>0</v>
      </c>
      <c r="K197">
        <f>IF(AND(SUM($J$170:K170)&gt;0,SUM($J$170:K170)&lt;=$E$197),1,0)</f>
        <v>0</v>
      </c>
      <c r="L197">
        <f>IF(AND(SUM($J$170:L170)&gt;0,SUM($J$170:L170)&lt;=$E$197),1,0)</f>
        <v>1</v>
      </c>
      <c r="M197">
        <f>IF(AND(SUM($J$170:M170)&gt;0,SUM($J$170:M170)&lt;=$E$197),1,0)</f>
        <v>1</v>
      </c>
      <c r="N197">
        <f>IF(AND(SUM($J$170:N170)&gt;0,SUM($J$170:N170)&lt;=$E$197),1,0)</f>
        <v>1</v>
      </c>
      <c r="O197">
        <f>IF(AND(SUM($J$170:O170)&gt;0,SUM($J$170:O170)&lt;=$E$197),1,0)</f>
        <v>1</v>
      </c>
      <c r="P197">
        <f>IF(AND(SUM($J$170:P170)&gt;0,SUM($J$170:P170)&lt;=$E$197),1,0)</f>
        <v>1</v>
      </c>
      <c r="Q197">
        <f>IF(AND(SUM($J$170:Q170)&gt;0,SUM($J$170:Q170)&lt;=$E$197),1,0)</f>
        <v>1</v>
      </c>
      <c r="R197">
        <f>IF(AND(SUM($J$170:R170)&gt;0,SUM($J$170:R170)&lt;=$E$197),1,0)</f>
        <v>1</v>
      </c>
      <c r="S197">
        <f>IF(AND(SUM($J$170:S170)&gt;0,SUM($J$170:S170)&lt;=$E$197),1,0)</f>
        <v>1</v>
      </c>
      <c r="T197">
        <f>IF(AND(SUM($J$170:T170)&gt;0,SUM($J$170:T170)&lt;=$E$197),1,0)</f>
        <v>0</v>
      </c>
      <c r="U197">
        <f>IF(AND(SUM($J$170:U170)&gt;0,SUM($J$170:U170)&lt;=$E$197),1,0)</f>
        <v>0</v>
      </c>
      <c r="V197">
        <f>IF(AND(SUM($J$170:V170)&gt;0,SUM($J$170:V170)&lt;=$E$197),1,0)</f>
        <v>0</v>
      </c>
    </row>
    <row r="198" spans="2:22">
      <c r="B198" s="407" t="s">
        <v>517</v>
      </c>
      <c r="F198" s="21">
        <v>0.4</v>
      </c>
      <c r="G198" s="17" t="s">
        <v>315</v>
      </c>
    </row>
    <row r="199" spans="2:22">
      <c r="B199" s="28" t="s">
        <v>476</v>
      </c>
      <c r="C199" s="28"/>
      <c r="D199" s="28"/>
      <c r="E199" s="28"/>
      <c r="F199" s="28"/>
      <c r="G199" s="28"/>
      <c r="H199" s="28"/>
      <c r="I199" s="49">
        <f>SUM(J199:V199)</f>
        <v>44.302761904761901</v>
      </c>
      <c r="J199" s="47">
        <f t="shared" ref="J199:V199" si="75">($F197*$F198*Million)/$E197*USD_IDR/Billion*J197</f>
        <v>0</v>
      </c>
      <c r="K199" s="47">
        <f t="shared" si="75"/>
        <v>0</v>
      </c>
      <c r="L199" s="47">
        <f t="shared" si="75"/>
        <v>5.5378452380952385</v>
      </c>
      <c r="M199" s="47">
        <f t="shared" si="75"/>
        <v>5.5378452380952385</v>
      </c>
      <c r="N199" s="47">
        <f t="shared" si="75"/>
        <v>5.5378452380952385</v>
      </c>
      <c r="O199" s="47">
        <f t="shared" si="75"/>
        <v>5.5378452380952385</v>
      </c>
      <c r="P199" s="47">
        <f t="shared" si="75"/>
        <v>5.5378452380952385</v>
      </c>
      <c r="Q199" s="47">
        <f t="shared" si="75"/>
        <v>5.5378452380952385</v>
      </c>
      <c r="R199" s="47">
        <f t="shared" si="75"/>
        <v>5.5378452380952385</v>
      </c>
      <c r="S199" s="47">
        <f t="shared" si="75"/>
        <v>5.5378452380952385</v>
      </c>
      <c r="T199" s="47">
        <f t="shared" si="75"/>
        <v>0</v>
      </c>
      <c r="U199" s="47">
        <f t="shared" si="75"/>
        <v>0</v>
      </c>
      <c r="V199" s="47">
        <f t="shared" si="75"/>
        <v>0</v>
      </c>
    </row>
    <row r="200" spans="2:22">
      <c r="G200"/>
    </row>
    <row r="201" spans="2:22">
      <c r="B201" s="2" t="s">
        <v>481</v>
      </c>
      <c r="G201"/>
    </row>
    <row r="202" spans="2:22">
      <c r="B202" s="407" t="s">
        <v>483</v>
      </c>
      <c r="G202" s="17" t="s">
        <v>485</v>
      </c>
      <c r="J202">
        <f>J$379</f>
        <v>2017.4871277524769</v>
      </c>
      <c r="K202">
        <f t="shared" ref="K202:V202" si="76">K$379</f>
        <v>2078.0117415850514</v>
      </c>
      <c r="L202">
        <f t="shared" si="76"/>
        <v>2140.3520938326028</v>
      </c>
      <c r="M202">
        <f t="shared" si="76"/>
        <v>2204.5626566475812</v>
      </c>
      <c r="N202">
        <f t="shared" si="76"/>
        <v>2270.6995363470082</v>
      </c>
      <c r="O202">
        <f t="shared" si="76"/>
        <v>2338.8205224374187</v>
      </c>
      <c r="P202">
        <f t="shared" si="76"/>
        <v>2408.9851381105414</v>
      </c>
      <c r="Q202">
        <f t="shared" si="76"/>
        <v>2481.2546922538577</v>
      </c>
      <c r="R202">
        <f t="shared" si="76"/>
        <v>2555.6923330214736</v>
      </c>
      <c r="S202">
        <f t="shared" si="76"/>
        <v>2632.3631030121178</v>
      </c>
      <c r="T202">
        <f t="shared" si="76"/>
        <v>2711.3339961024817</v>
      </c>
      <c r="U202">
        <f t="shared" si="76"/>
        <v>2792.6740159855558</v>
      </c>
      <c r="V202">
        <f t="shared" si="76"/>
        <v>2876.4542364651229</v>
      </c>
    </row>
    <row r="203" spans="2:22">
      <c r="B203" s="407" t="s">
        <v>519</v>
      </c>
      <c r="J203" s="74">
        <f>Input!K280</f>
        <v>0</v>
      </c>
      <c r="K203" s="74">
        <f>Input!L280</f>
        <v>0</v>
      </c>
      <c r="L203" s="74">
        <f>Input!M280</f>
        <v>0</v>
      </c>
      <c r="M203" s="74">
        <f>Input!N280</f>
        <v>0</v>
      </c>
      <c r="N203" s="74">
        <f>Input!O280</f>
        <v>0</v>
      </c>
      <c r="O203" s="74">
        <f>Input!P280</f>
        <v>0</v>
      </c>
      <c r="P203" s="74">
        <f>Input!Q280</f>
        <v>0</v>
      </c>
      <c r="Q203" s="74">
        <f>Input!R280</f>
        <v>0</v>
      </c>
      <c r="R203" s="74">
        <f>Input!S280</f>
        <v>0</v>
      </c>
      <c r="S203" s="74">
        <f>Input!T280</f>
        <v>0</v>
      </c>
      <c r="T203" s="74">
        <f>Input!U280</f>
        <v>0</v>
      </c>
      <c r="U203" s="74">
        <f>Input!V280</f>
        <v>0</v>
      </c>
      <c r="V203" s="74">
        <f>Input!W280</f>
        <v>0</v>
      </c>
    </row>
    <row r="204" spans="2:22">
      <c r="B204" s="407" t="s">
        <v>486</v>
      </c>
      <c r="G204" s="17" t="s">
        <v>315</v>
      </c>
    </row>
    <row r="205" spans="2:22">
      <c r="B205" s="28" t="s">
        <v>480</v>
      </c>
      <c r="C205" s="28"/>
      <c r="D205" s="28"/>
      <c r="E205" s="28"/>
      <c r="F205" s="28"/>
      <c r="G205" s="28"/>
      <c r="H205" s="28"/>
      <c r="I205" s="28"/>
      <c r="J205" s="47">
        <f t="shared" ref="J205:V205" si="77">J202*J$408*J203/Billion</f>
        <v>0</v>
      </c>
      <c r="K205" s="47">
        <f t="shared" si="77"/>
        <v>0</v>
      </c>
      <c r="L205" s="47">
        <f t="shared" si="77"/>
        <v>0</v>
      </c>
      <c r="M205" s="47">
        <f t="shared" si="77"/>
        <v>0</v>
      </c>
      <c r="N205" s="47">
        <f t="shared" si="77"/>
        <v>0</v>
      </c>
      <c r="O205" s="47">
        <f t="shared" si="77"/>
        <v>0</v>
      </c>
      <c r="P205" s="47">
        <f t="shared" si="77"/>
        <v>0</v>
      </c>
      <c r="Q205" s="47">
        <f t="shared" si="77"/>
        <v>0</v>
      </c>
      <c r="R205" s="47">
        <f t="shared" si="77"/>
        <v>0</v>
      </c>
      <c r="S205" s="47">
        <f t="shared" si="77"/>
        <v>0</v>
      </c>
      <c r="T205" s="47">
        <f t="shared" si="77"/>
        <v>0</v>
      </c>
      <c r="U205" s="47">
        <f t="shared" si="77"/>
        <v>0</v>
      </c>
      <c r="V205" s="47">
        <f t="shared" si="77"/>
        <v>0</v>
      </c>
    </row>
    <row r="206" spans="2:22">
      <c r="G206"/>
    </row>
    <row r="207" spans="2:22">
      <c r="B207" s="2" t="s">
        <v>520</v>
      </c>
      <c r="F207" s="58" t="s">
        <v>515</v>
      </c>
      <c r="G207"/>
      <c r="I207" s="22"/>
    </row>
    <row r="208" spans="2:22">
      <c r="B208" s="407" t="s">
        <v>516</v>
      </c>
      <c r="F208" s="30">
        <f>F192</f>
        <v>6.8095238095238102</v>
      </c>
      <c r="G208" s="17" t="s">
        <v>176</v>
      </c>
    </row>
    <row r="209" spans="2:22">
      <c r="B209" s="407" t="s">
        <v>517</v>
      </c>
      <c r="F209" s="86">
        <v>2.1836245000000001E-3</v>
      </c>
      <c r="G209" s="17" t="s">
        <v>315</v>
      </c>
    </row>
    <row r="210" spans="2:22">
      <c r="B210" s="28" t="s">
        <v>476</v>
      </c>
      <c r="C210" s="28"/>
      <c r="D210" s="28"/>
      <c r="E210" s="28"/>
      <c r="F210" s="28"/>
      <c r="G210" s="28"/>
      <c r="H210" s="28"/>
      <c r="I210" s="49">
        <f>SUM(J210:V210)</f>
        <v>2.6603663986048813</v>
      </c>
      <c r="J210" s="460">
        <f t="shared" ref="J210:V210" si="78">$F208*USD_IDR*$F209*Million/Billion*J170</f>
        <v>0</v>
      </c>
      <c r="K210" s="47">
        <f t="shared" si="78"/>
        <v>0</v>
      </c>
      <c r="L210" s="460">
        <f t="shared" si="78"/>
        <v>0.24185149078226192</v>
      </c>
      <c r="M210" s="47">
        <f t="shared" si="78"/>
        <v>0.24185149078226192</v>
      </c>
      <c r="N210" s="47">
        <f t="shared" si="78"/>
        <v>0.24185149078226192</v>
      </c>
      <c r="O210" s="47">
        <f t="shared" si="78"/>
        <v>0.24185149078226192</v>
      </c>
      <c r="P210" s="47">
        <f t="shared" si="78"/>
        <v>0.24185149078226192</v>
      </c>
      <c r="Q210" s="47">
        <f t="shared" si="78"/>
        <v>0.24185149078226192</v>
      </c>
      <c r="R210" s="47">
        <f t="shared" si="78"/>
        <v>0.24185149078226192</v>
      </c>
      <c r="S210" s="47">
        <f t="shared" si="78"/>
        <v>0.24185149078226192</v>
      </c>
      <c r="T210" s="47">
        <f t="shared" si="78"/>
        <v>0.24185149078226192</v>
      </c>
      <c r="U210" s="47">
        <f t="shared" si="78"/>
        <v>0.24185149078226192</v>
      </c>
      <c r="V210" s="47">
        <f t="shared" si="78"/>
        <v>0.24185149078226192</v>
      </c>
    </row>
    <row r="211" spans="2:22">
      <c r="G211"/>
    </row>
    <row r="212" spans="2:22">
      <c r="B212" s="2" t="s">
        <v>1075</v>
      </c>
      <c r="G212"/>
    </row>
    <row r="213" spans="2:22">
      <c r="B213" s="455" t="s">
        <v>1079</v>
      </c>
      <c r="G213" s="17" t="s">
        <v>485</v>
      </c>
      <c r="J213" s="462">
        <f>J176</f>
        <v>0</v>
      </c>
      <c r="K213">
        <f t="shared" ref="K213:V213" si="79">K176</f>
        <v>0</v>
      </c>
      <c r="L213">
        <f t="shared" si="79"/>
        <v>45.5</v>
      </c>
      <c r="M213">
        <f t="shared" si="79"/>
        <v>45.5</v>
      </c>
      <c r="N213">
        <f t="shared" si="79"/>
        <v>45.5</v>
      </c>
      <c r="O213">
        <f t="shared" si="79"/>
        <v>48.739600000000003</v>
      </c>
      <c r="P213">
        <f t="shared" si="79"/>
        <v>48.739600000000003</v>
      </c>
      <c r="Q213">
        <f t="shared" si="79"/>
        <v>48.739600000000003</v>
      </c>
      <c r="R213">
        <f t="shared" si="79"/>
        <v>48.739600000000003</v>
      </c>
      <c r="S213">
        <f t="shared" si="79"/>
        <v>52.209859520000002</v>
      </c>
      <c r="T213">
        <f t="shared" si="79"/>
        <v>52.209859520000002</v>
      </c>
      <c r="U213">
        <f t="shared" si="79"/>
        <v>52.209859520000002</v>
      </c>
      <c r="V213">
        <f t="shared" si="79"/>
        <v>52.209859520000002</v>
      </c>
    </row>
    <row r="214" spans="2:22">
      <c r="B214" s="455" t="s">
        <v>1076</v>
      </c>
      <c r="J214" s="39">
        <f>Input!K286</f>
        <v>0</v>
      </c>
      <c r="K214" s="39">
        <f>Input!L286</f>
        <v>0</v>
      </c>
      <c r="L214" s="39">
        <v>0.47490397972176862</v>
      </c>
      <c r="M214" s="39">
        <v>0.48591384792962578</v>
      </c>
      <c r="N214" s="39">
        <v>0.49719896284267934</v>
      </c>
      <c r="O214" s="39">
        <v>0.48404241346923804</v>
      </c>
      <c r="P214" s="39">
        <v>0.50417373904336249</v>
      </c>
      <c r="Q214" s="39">
        <v>0.51127062520604505</v>
      </c>
      <c r="R214" s="39">
        <v>0.52309449601937319</v>
      </c>
      <c r="S214" s="39">
        <v>0.50918820671077747</v>
      </c>
      <c r="T214" s="39">
        <v>0.52098214375231189</v>
      </c>
      <c r="U214" s="39">
        <v>0.54135807925281543</v>
      </c>
      <c r="V214" s="39">
        <v>0.54629064932743998</v>
      </c>
    </row>
    <row r="215" spans="2:22">
      <c r="B215" s="455" t="s">
        <v>1080</v>
      </c>
      <c r="G215" s="17" t="s">
        <v>485</v>
      </c>
      <c r="J215" s="462">
        <f>J184</f>
        <v>0</v>
      </c>
      <c r="K215" s="462">
        <f t="shared" ref="K215:V215" si="80">K184</f>
        <v>0</v>
      </c>
      <c r="L215" s="462">
        <f t="shared" si="80"/>
        <v>2.6</v>
      </c>
      <c r="M215" s="462">
        <f t="shared" si="80"/>
        <v>2.6</v>
      </c>
      <c r="N215" s="462">
        <f t="shared" si="80"/>
        <v>2.6</v>
      </c>
      <c r="O215" s="462">
        <f t="shared" si="80"/>
        <v>2.6779999999999999</v>
      </c>
      <c r="P215" s="462">
        <f t="shared" si="80"/>
        <v>2.6779999999999999</v>
      </c>
      <c r="Q215" s="462">
        <f t="shared" si="80"/>
        <v>2.6779999999999999</v>
      </c>
      <c r="R215" s="462">
        <f t="shared" si="80"/>
        <v>2.6779999999999999</v>
      </c>
      <c r="S215" s="462">
        <f t="shared" si="80"/>
        <v>2.75834</v>
      </c>
      <c r="T215" s="462">
        <f t="shared" si="80"/>
        <v>2.75834</v>
      </c>
      <c r="U215" s="462">
        <f t="shared" si="80"/>
        <v>2.75834</v>
      </c>
      <c r="V215" s="462">
        <f t="shared" si="80"/>
        <v>2.75834</v>
      </c>
    </row>
    <row r="216" spans="2:22">
      <c r="B216" s="455" t="s">
        <v>1076</v>
      </c>
      <c r="J216" s="39">
        <f>Input!K288</f>
        <v>0.65990706099999996</v>
      </c>
      <c r="K216" s="39">
        <f>Input!L288</f>
        <v>0</v>
      </c>
      <c r="L216" s="39">
        <v>0.192</v>
      </c>
      <c r="M216" s="39">
        <v>0.19612499999999997</v>
      </c>
      <c r="N216" s="39">
        <v>0.20035312499999997</v>
      </c>
      <c r="O216" s="39">
        <v>0.19951160497572809</v>
      </c>
      <c r="P216" s="39">
        <v>0.20582439510012127</v>
      </c>
      <c r="Q216" s="39">
        <v>0.2092450049776243</v>
      </c>
      <c r="R216" s="39">
        <v>0.21377613010206487</v>
      </c>
      <c r="S216" s="39">
        <v>0.212874304227783</v>
      </c>
      <c r="T216" s="39">
        <v>0.21749616183347756</v>
      </c>
      <c r="U216" s="39">
        <v>0.22423356587931445</v>
      </c>
      <c r="V216" s="39">
        <v>0.2272894050262973</v>
      </c>
    </row>
    <row r="217" spans="2:22">
      <c r="B217" s="28" t="s">
        <v>1077</v>
      </c>
      <c r="C217" s="28"/>
      <c r="D217" s="28"/>
      <c r="E217" s="28"/>
      <c r="F217" s="28"/>
      <c r="G217" s="28"/>
      <c r="H217" s="28"/>
      <c r="I217" s="28"/>
      <c r="J217" s="460">
        <f>J213*J214+J215*J216</f>
        <v>0</v>
      </c>
      <c r="K217" s="460">
        <f t="shared" ref="K217:V217" si="81">K213*K214+K215*K216</f>
        <v>0</v>
      </c>
      <c r="L217" s="460">
        <f>L213*L214+L215*L216</f>
        <v>22.107331077340472</v>
      </c>
      <c r="M217" s="460">
        <f t="shared" si="81"/>
        <v>22.619005080797972</v>
      </c>
      <c r="N217" s="460">
        <f t="shared" si="81"/>
        <v>23.143470934341913</v>
      </c>
      <c r="O217" s="460">
        <f t="shared" si="81"/>
        <v>24.126325693650273</v>
      </c>
      <c r="P217" s="460">
        <f t="shared" si="81"/>
        <v>25.124424101555999</v>
      </c>
      <c r="Q217" s="460">
        <f t="shared" si="81"/>
        <v>25.479483887622635</v>
      </c>
      <c r="R217" s="460">
        <f t="shared" si="81"/>
        <v>26.067908974599174</v>
      </c>
      <c r="S217" s="460">
        <f t="shared" si="81"/>
        <v>27.171824449934078</v>
      </c>
      <c r="T217" s="460">
        <f t="shared" si="81"/>
        <v>27.800332900768403</v>
      </c>
      <c r="U217" s="460">
        <f t="shared" si="81"/>
        <v>28.882741681914069</v>
      </c>
      <c r="V217" s="460">
        <f t="shared" si="81"/>
        <v>29.148699515935462</v>
      </c>
    </row>
    <row r="218" spans="2:22">
      <c r="G218"/>
    </row>
    <row r="219" spans="2:22">
      <c r="G219"/>
      <c r="L219" s="22"/>
    </row>
    <row r="220" spans="2:22" ht="24" thickBot="1">
      <c r="B220" s="14" t="s">
        <v>793</v>
      </c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</row>
    <row r="221" spans="2:22">
      <c r="F221" t="s">
        <v>794</v>
      </c>
      <c r="G221"/>
    </row>
    <row r="222" spans="2:22">
      <c r="B222" t="s">
        <v>795</v>
      </c>
      <c r="F222" s="19">
        <v>300000</v>
      </c>
      <c r="G222"/>
      <c r="J222">
        <f t="shared" ref="J222:V222" si="82">J22+J27+J32-$F$222</f>
        <v>3366225.2759999996</v>
      </c>
      <c r="K222">
        <f t="shared" si="82"/>
        <v>3476212.0342799998</v>
      </c>
      <c r="L222">
        <f t="shared" si="82"/>
        <v>3589498.3953083996</v>
      </c>
      <c r="M222">
        <f t="shared" si="82"/>
        <v>3706183.3471676521</v>
      </c>
      <c r="N222">
        <f t="shared" si="82"/>
        <v>3826368.847582682</v>
      </c>
      <c r="O222">
        <f t="shared" si="82"/>
        <v>3950159.9130101623</v>
      </c>
      <c r="P222">
        <f t="shared" si="82"/>
        <v>4077664.7104004677</v>
      </c>
      <c r="Q222">
        <f t="shared" si="82"/>
        <v>4208994.6517124819</v>
      </c>
      <c r="R222">
        <f t="shared" si="82"/>
        <v>4344264.4912638562</v>
      </c>
      <c r="S222">
        <f t="shared" si="82"/>
        <v>4483592.4260017723</v>
      </c>
      <c r="T222">
        <f t="shared" si="82"/>
        <v>4627100.1987818247</v>
      </c>
      <c r="U222">
        <f t="shared" si="82"/>
        <v>4774913.2047452796</v>
      </c>
      <c r="V222">
        <f t="shared" si="82"/>
        <v>4927160.6008876376</v>
      </c>
    </row>
    <row r="223" spans="2:22">
      <c r="B223" t="s">
        <v>37</v>
      </c>
      <c r="F223" s="19">
        <v>2027</v>
      </c>
      <c r="G223"/>
      <c r="J223" s="71">
        <f>IF(J$8&lt;$F223,0,1)*J$12</f>
        <v>0</v>
      </c>
      <c r="K223" s="13">
        <f t="shared" ref="K223:V223" si="83">IF(K$8&lt;$F223,0,1)*K$12</f>
        <v>0</v>
      </c>
      <c r="L223" s="13">
        <f t="shared" si="83"/>
        <v>0</v>
      </c>
      <c r="M223" s="13">
        <f t="shared" si="83"/>
        <v>1</v>
      </c>
      <c r="N223" s="13">
        <f t="shared" si="83"/>
        <v>1</v>
      </c>
      <c r="O223" s="13">
        <f t="shared" si="83"/>
        <v>1</v>
      </c>
      <c r="P223" s="13">
        <f t="shared" si="83"/>
        <v>1</v>
      </c>
      <c r="Q223" s="13">
        <f t="shared" si="83"/>
        <v>1</v>
      </c>
      <c r="R223" s="13">
        <f t="shared" si="83"/>
        <v>1</v>
      </c>
      <c r="S223" s="13">
        <f t="shared" si="83"/>
        <v>1</v>
      </c>
      <c r="T223" s="13">
        <f t="shared" si="83"/>
        <v>1</v>
      </c>
      <c r="U223" s="13">
        <f t="shared" si="83"/>
        <v>1</v>
      </c>
      <c r="V223" s="13">
        <f t="shared" si="83"/>
        <v>1</v>
      </c>
    </row>
    <row r="224" spans="2:22">
      <c r="G224"/>
    </row>
    <row r="225" spans="2:22" ht="15.75">
      <c r="B225" s="15" t="s">
        <v>796</v>
      </c>
      <c r="G225"/>
    </row>
    <row r="226" spans="2:22" ht="15.75">
      <c r="B226" s="41" t="s">
        <v>511</v>
      </c>
      <c r="F226" s="19">
        <f>F223</f>
        <v>2027</v>
      </c>
      <c r="G226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</row>
    <row r="227" spans="2:22">
      <c r="B227" s="407" t="s">
        <v>407</v>
      </c>
      <c r="F227" s="19"/>
      <c r="G227" s="17" t="s">
        <v>543</v>
      </c>
      <c r="J227">
        <f>J222*J223</f>
        <v>0</v>
      </c>
      <c r="K227">
        <f t="shared" ref="K227:V227" si="84">K222*K223</f>
        <v>0</v>
      </c>
      <c r="L227">
        <f t="shared" si="84"/>
        <v>0</v>
      </c>
      <c r="M227">
        <f t="shared" si="84"/>
        <v>3706183.3471676521</v>
      </c>
      <c r="N227">
        <f t="shared" si="84"/>
        <v>3826368.847582682</v>
      </c>
      <c r="O227">
        <f t="shared" si="84"/>
        <v>3950159.9130101623</v>
      </c>
      <c r="P227">
        <f t="shared" si="84"/>
        <v>4077664.7104004677</v>
      </c>
      <c r="Q227">
        <f t="shared" si="84"/>
        <v>4208994.6517124819</v>
      </c>
      <c r="R227">
        <f t="shared" si="84"/>
        <v>4344264.4912638562</v>
      </c>
      <c r="S227">
        <f t="shared" si="84"/>
        <v>4483592.4260017723</v>
      </c>
      <c r="T227">
        <f t="shared" si="84"/>
        <v>4627100.1987818247</v>
      </c>
      <c r="U227">
        <f t="shared" si="84"/>
        <v>4774913.2047452796</v>
      </c>
      <c r="V227">
        <f t="shared" si="84"/>
        <v>4927160.6008876376</v>
      </c>
    </row>
    <row r="228" spans="2:22">
      <c r="B228" s="407" t="s">
        <v>797</v>
      </c>
      <c r="F228" s="19">
        <v>20000</v>
      </c>
      <c r="G228" s="17" t="s">
        <v>798</v>
      </c>
      <c r="J228" s="19">
        <f>$F228</f>
        <v>20000</v>
      </c>
      <c r="K228" s="19">
        <f t="shared" ref="K228:V228" si="85">$F228</f>
        <v>20000</v>
      </c>
      <c r="L228" s="19">
        <f t="shared" si="85"/>
        <v>20000</v>
      </c>
      <c r="M228" s="19">
        <f t="shared" si="85"/>
        <v>20000</v>
      </c>
      <c r="N228" s="19">
        <f t="shared" si="85"/>
        <v>20000</v>
      </c>
      <c r="O228" s="19">
        <f t="shared" si="85"/>
        <v>20000</v>
      </c>
      <c r="P228" s="19">
        <f t="shared" si="85"/>
        <v>20000</v>
      </c>
      <c r="Q228" s="19">
        <f t="shared" si="85"/>
        <v>20000</v>
      </c>
      <c r="R228" s="19">
        <f t="shared" si="85"/>
        <v>20000</v>
      </c>
      <c r="S228" s="19">
        <f t="shared" si="85"/>
        <v>20000</v>
      </c>
      <c r="T228" s="19">
        <f t="shared" si="85"/>
        <v>20000</v>
      </c>
      <c r="U228" s="19">
        <f t="shared" si="85"/>
        <v>20000</v>
      </c>
      <c r="V228" s="19">
        <f t="shared" si="85"/>
        <v>20000</v>
      </c>
    </row>
    <row r="229" spans="2:22">
      <c r="B229" s="407" t="s">
        <v>799</v>
      </c>
      <c r="F229" s="39">
        <v>0.02</v>
      </c>
      <c r="J229" s="19">
        <f t="shared" ref="J229:V229" si="86">$F$483*J228</f>
        <v>400</v>
      </c>
      <c r="K229" s="19">
        <f t="shared" si="86"/>
        <v>400</v>
      </c>
      <c r="L229" s="19">
        <f t="shared" si="86"/>
        <v>400</v>
      </c>
      <c r="M229" s="19">
        <f t="shared" si="86"/>
        <v>400</v>
      </c>
      <c r="N229" s="19">
        <f t="shared" si="86"/>
        <v>400</v>
      </c>
      <c r="O229" s="19">
        <f t="shared" si="86"/>
        <v>400</v>
      </c>
      <c r="P229" s="19">
        <f t="shared" si="86"/>
        <v>400</v>
      </c>
      <c r="Q229" s="19">
        <f t="shared" si="86"/>
        <v>400</v>
      </c>
      <c r="R229" s="19">
        <f t="shared" si="86"/>
        <v>400</v>
      </c>
      <c r="S229" s="19">
        <f t="shared" si="86"/>
        <v>400</v>
      </c>
      <c r="T229" s="19">
        <f t="shared" si="86"/>
        <v>400</v>
      </c>
      <c r="U229" s="19">
        <f t="shared" si="86"/>
        <v>400</v>
      </c>
      <c r="V229" s="19">
        <f t="shared" si="86"/>
        <v>400</v>
      </c>
    </row>
    <row r="230" spans="2:22">
      <c r="B230" s="28" t="s">
        <v>9</v>
      </c>
      <c r="C230" s="28"/>
      <c r="D230" s="28"/>
      <c r="E230" s="28"/>
      <c r="F230" s="28"/>
      <c r="G230" s="28"/>
      <c r="H230" s="28"/>
      <c r="I230" s="48">
        <f>SUM(J230:V230)</f>
        <v>17.170560956621529</v>
      </c>
      <c r="J230" s="28">
        <f>J227*J229/Billion*J223</f>
        <v>0</v>
      </c>
      <c r="K230" s="28">
        <f t="shared" ref="K230:V230" si="87">K227*K229/Billion*K223</f>
        <v>0</v>
      </c>
      <c r="L230" s="84">
        <f t="shared" si="87"/>
        <v>0</v>
      </c>
      <c r="M230" s="28">
        <f t="shared" si="87"/>
        <v>1.482473338867061</v>
      </c>
      <c r="N230" s="28">
        <f t="shared" si="87"/>
        <v>1.5305475390330727</v>
      </c>
      <c r="O230" s="28">
        <f t="shared" si="87"/>
        <v>1.5800639652040649</v>
      </c>
      <c r="P230" s="28">
        <f t="shared" si="87"/>
        <v>1.6310658841601871</v>
      </c>
      <c r="Q230" s="28">
        <f t="shared" si="87"/>
        <v>1.6835978606849928</v>
      </c>
      <c r="R230" s="28">
        <f t="shared" si="87"/>
        <v>1.7377057965055425</v>
      </c>
      <c r="S230" s="28">
        <f t="shared" si="87"/>
        <v>1.7934369704007089</v>
      </c>
      <c r="T230" s="28">
        <f t="shared" si="87"/>
        <v>1.8508400795127298</v>
      </c>
      <c r="U230" s="28">
        <f t="shared" si="87"/>
        <v>1.9099652818981119</v>
      </c>
      <c r="V230" s="28">
        <f t="shared" si="87"/>
        <v>1.9708642403550551</v>
      </c>
    </row>
    <row r="231" spans="2:22">
      <c r="B231" s="407"/>
      <c r="G231"/>
    </row>
    <row r="232" spans="2:22">
      <c r="B232" s="407" t="s">
        <v>430</v>
      </c>
      <c r="F232" s="39">
        <f>1-F233</f>
        <v>0.5</v>
      </c>
      <c r="G232"/>
      <c r="J232">
        <f>$F232*J$230</f>
        <v>0</v>
      </c>
      <c r="K232">
        <f t="shared" ref="K232:V233" si="88">$F232*K$230</f>
        <v>0</v>
      </c>
      <c r="L232" s="1">
        <f t="shared" si="88"/>
        <v>0</v>
      </c>
      <c r="M232">
        <f t="shared" si="88"/>
        <v>0.7412366694335305</v>
      </c>
      <c r="N232">
        <f t="shared" si="88"/>
        <v>0.76527376951653636</v>
      </c>
      <c r="O232">
        <f t="shared" si="88"/>
        <v>0.79003198260203245</v>
      </c>
      <c r="P232">
        <f t="shared" si="88"/>
        <v>0.81553294208009353</v>
      </c>
      <c r="Q232">
        <f t="shared" si="88"/>
        <v>0.84179893034249642</v>
      </c>
      <c r="R232">
        <f t="shared" si="88"/>
        <v>0.86885289825277123</v>
      </c>
      <c r="S232">
        <f t="shared" si="88"/>
        <v>0.89671848520035446</v>
      </c>
      <c r="T232">
        <f t="shared" si="88"/>
        <v>0.92542003975636489</v>
      </c>
      <c r="U232">
        <f t="shared" si="88"/>
        <v>0.95498264094905594</v>
      </c>
      <c r="V232">
        <f t="shared" si="88"/>
        <v>0.98543212017752757</v>
      </c>
    </row>
    <row r="233" spans="2:22">
      <c r="B233" s="407" t="s">
        <v>393</v>
      </c>
      <c r="F233" s="39">
        <v>0.5</v>
      </c>
      <c r="G233"/>
      <c r="J233">
        <f>$F233*J$230</f>
        <v>0</v>
      </c>
      <c r="K233">
        <f t="shared" si="88"/>
        <v>0</v>
      </c>
      <c r="L233" s="1">
        <f t="shared" si="88"/>
        <v>0</v>
      </c>
      <c r="M233">
        <f t="shared" si="88"/>
        <v>0.7412366694335305</v>
      </c>
      <c r="N233">
        <f t="shared" si="88"/>
        <v>0.76527376951653636</v>
      </c>
      <c r="O233">
        <f t="shared" si="88"/>
        <v>0.79003198260203245</v>
      </c>
      <c r="P233">
        <f t="shared" si="88"/>
        <v>0.81553294208009353</v>
      </c>
      <c r="Q233">
        <f t="shared" si="88"/>
        <v>0.84179893034249642</v>
      </c>
      <c r="R233">
        <f t="shared" si="88"/>
        <v>0.86885289825277123</v>
      </c>
      <c r="S233">
        <f t="shared" si="88"/>
        <v>0.89671848520035446</v>
      </c>
      <c r="T233">
        <f t="shared" si="88"/>
        <v>0.92542003975636489</v>
      </c>
      <c r="U233">
        <f t="shared" si="88"/>
        <v>0.95498264094905594</v>
      </c>
      <c r="V233">
        <f t="shared" si="88"/>
        <v>0.98543212017752757</v>
      </c>
    </row>
    <row r="234" spans="2:22">
      <c r="B234" s="28" t="s">
        <v>9</v>
      </c>
      <c r="C234" s="28"/>
      <c r="D234" s="28"/>
      <c r="E234" s="28"/>
      <c r="F234" s="28"/>
      <c r="G234" s="28"/>
      <c r="H234" s="28"/>
      <c r="I234" s="48">
        <f>SUM(J234:V234)</f>
        <v>8.5852804783107644</v>
      </c>
      <c r="J234" s="28">
        <f>J233</f>
        <v>0</v>
      </c>
      <c r="K234" s="28">
        <f t="shared" ref="K234:V234" si="89">K233</f>
        <v>0</v>
      </c>
      <c r="L234" s="28">
        <f t="shared" si="89"/>
        <v>0</v>
      </c>
      <c r="M234" s="28">
        <f t="shared" si="89"/>
        <v>0.7412366694335305</v>
      </c>
      <c r="N234" s="28">
        <f t="shared" si="89"/>
        <v>0.76527376951653636</v>
      </c>
      <c r="O234" s="28">
        <f t="shared" si="89"/>
        <v>0.79003198260203245</v>
      </c>
      <c r="P234" s="28">
        <f t="shared" si="89"/>
        <v>0.81553294208009353</v>
      </c>
      <c r="Q234" s="28">
        <f t="shared" si="89"/>
        <v>0.84179893034249642</v>
      </c>
      <c r="R234" s="28">
        <f t="shared" si="89"/>
        <v>0.86885289825277123</v>
      </c>
      <c r="S234" s="28">
        <f t="shared" si="89"/>
        <v>0.89671848520035446</v>
      </c>
      <c r="T234" s="28">
        <f t="shared" si="89"/>
        <v>0.92542003975636489</v>
      </c>
      <c r="U234" s="28">
        <f t="shared" si="89"/>
        <v>0.95498264094905594</v>
      </c>
      <c r="V234" s="28">
        <f t="shared" si="89"/>
        <v>0.98543212017752757</v>
      </c>
    </row>
    <row r="235" spans="2:22">
      <c r="G235"/>
      <c r="I235" s="21"/>
      <c r="K235" s="21"/>
      <c r="L235" s="21"/>
      <c r="M235" s="21"/>
      <c r="N235" s="21"/>
    </row>
    <row r="236" spans="2:22">
      <c r="B236" t="s">
        <v>471</v>
      </c>
      <c r="G236"/>
      <c r="I236" s="21"/>
      <c r="J236">
        <f t="shared" ref="J236:V236" si="90">SUM(J227)</f>
        <v>0</v>
      </c>
      <c r="K236">
        <f t="shared" si="90"/>
        <v>0</v>
      </c>
      <c r="L236">
        <f t="shared" si="90"/>
        <v>0</v>
      </c>
      <c r="M236">
        <f t="shared" si="90"/>
        <v>3706183.3471676521</v>
      </c>
      <c r="N236">
        <f t="shared" si="90"/>
        <v>3826368.847582682</v>
      </c>
      <c r="O236">
        <f t="shared" si="90"/>
        <v>3950159.9130101623</v>
      </c>
      <c r="P236">
        <f t="shared" si="90"/>
        <v>4077664.7104004677</v>
      </c>
      <c r="Q236">
        <f t="shared" si="90"/>
        <v>4208994.6517124819</v>
      </c>
      <c r="R236">
        <f t="shared" si="90"/>
        <v>4344264.4912638562</v>
      </c>
      <c r="S236">
        <f t="shared" si="90"/>
        <v>4483592.4260017723</v>
      </c>
      <c r="T236">
        <f t="shared" si="90"/>
        <v>4627100.1987818247</v>
      </c>
      <c r="U236">
        <f t="shared" si="90"/>
        <v>4774913.2047452796</v>
      </c>
      <c r="V236">
        <f t="shared" si="90"/>
        <v>4927160.6008876376</v>
      </c>
    </row>
    <row r="237" spans="2:22">
      <c r="G237"/>
      <c r="I237" s="21"/>
      <c r="K237" s="21"/>
      <c r="L237" s="21"/>
      <c r="M237" s="21"/>
      <c r="N237" s="21"/>
    </row>
    <row r="238" spans="2:22" ht="15.75">
      <c r="B238" s="15" t="s">
        <v>473</v>
      </c>
      <c r="F238" s="39"/>
      <c r="G238"/>
      <c r="I238" s="21"/>
      <c r="J238" s="1">
        <f>$F238*J$453</f>
        <v>0</v>
      </c>
      <c r="K238" s="1">
        <f t="shared" ref="K238:V238" si="91">$F238*K$453</f>
        <v>0</v>
      </c>
      <c r="L238" s="1">
        <f t="shared" si="91"/>
        <v>0</v>
      </c>
      <c r="M238" s="1">
        <f t="shared" si="91"/>
        <v>0</v>
      </c>
      <c r="N238" s="1">
        <f t="shared" si="91"/>
        <v>0</v>
      </c>
      <c r="O238" s="1">
        <f t="shared" si="91"/>
        <v>0</v>
      </c>
      <c r="P238" s="1">
        <f t="shared" si="91"/>
        <v>0</v>
      </c>
      <c r="Q238" s="1">
        <f t="shared" si="91"/>
        <v>0</v>
      </c>
      <c r="R238" s="1">
        <f t="shared" si="91"/>
        <v>0</v>
      </c>
      <c r="S238" s="1">
        <f t="shared" si="91"/>
        <v>0</v>
      </c>
      <c r="T238" s="1">
        <f t="shared" si="91"/>
        <v>0</v>
      </c>
      <c r="U238" s="1">
        <f t="shared" si="91"/>
        <v>0</v>
      </c>
      <c r="V238" s="1">
        <f t="shared" si="91"/>
        <v>0</v>
      </c>
    </row>
    <row r="239" spans="2:22" ht="15.75">
      <c r="B239" s="15" t="s">
        <v>547</v>
      </c>
      <c r="F239" s="39">
        <v>0.2</v>
      </c>
      <c r="G239">
        <f>40000*USD_IDR</f>
        <v>650600000</v>
      </c>
      <c r="I239" s="21"/>
      <c r="J239" s="1">
        <f>$F239*J$234</f>
        <v>0</v>
      </c>
      <c r="K239" s="1">
        <f t="shared" ref="K239:V239" si="92">$F239*K$234</f>
        <v>0</v>
      </c>
      <c r="L239" s="1">
        <f t="shared" si="92"/>
        <v>0</v>
      </c>
      <c r="M239" s="1">
        <f t="shared" si="92"/>
        <v>0.14824733388670611</v>
      </c>
      <c r="N239" s="1">
        <f t="shared" si="92"/>
        <v>0.15305475390330728</v>
      </c>
      <c r="O239" s="1">
        <f t="shared" si="92"/>
        <v>0.15800639652040649</v>
      </c>
      <c r="P239" s="1">
        <f t="shared" si="92"/>
        <v>0.16310658841601872</v>
      </c>
      <c r="Q239" s="1">
        <f t="shared" si="92"/>
        <v>0.1683597860684993</v>
      </c>
      <c r="R239" s="1">
        <f t="shared" si="92"/>
        <v>0.17377057965055426</v>
      </c>
      <c r="S239" s="1">
        <f t="shared" si="92"/>
        <v>0.17934369704007092</v>
      </c>
      <c r="T239" s="1">
        <f t="shared" si="92"/>
        <v>0.185084007951273</v>
      </c>
      <c r="U239" s="1">
        <f t="shared" si="92"/>
        <v>0.19099652818981119</v>
      </c>
      <c r="V239" s="1">
        <f t="shared" si="92"/>
        <v>0.19708642403550553</v>
      </c>
    </row>
    <row r="240" spans="2:22" ht="15.75">
      <c r="B240" s="15"/>
      <c r="G240"/>
      <c r="I240" s="2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</row>
    <row r="241" spans="2:22">
      <c r="B241" s="2" t="s">
        <v>513</v>
      </c>
      <c r="E241" s="58" t="s">
        <v>514</v>
      </c>
      <c r="F241" s="58" t="s">
        <v>515</v>
      </c>
      <c r="G241"/>
      <c r="I241" s="22"/>
      <c r="J241">
        <f>SUM(J244,J249)</f>
        <v>0</v>
      </c>
      <c r="K241">
        <f t="shared" ref="K241:V241" si="93">SUM(K244,K249)</f>
        <v>0</v>
      </c>
      <c r="L241">
        <f t="shared" si="93"/>
        <v>0</v>
      </c>
      <c r="M241">
        <f t="shared" si="93"/>
        <v>0.13012000000000001</v>
      </c>
      <c r="N241">
        <f t="shared" si="93"/>
        <v>0.13012000000000001</v>
      </c>
      <c r="O241">
        <f t="shared" si="93"/>
        <v>0.13012000000000001</v>
      </c>
      <c r="P241">
        <f t="shared" si="93"/>
        <v>0.13012000000000001</v>
      </c>
      <c r="Q241">
        <f t="shared" si="93"/>
        <v>0.13012000000000001</v>
      </c>
      <c r="R241">
        <f t="shared" si="93"/>
        <v>0.13012000000000001</v>
      </c>
      <c r="S241">
        <f t="shared" si="93"/>
        <v>0.13012000000000001</v>
      </c>
      <c r="T241">
        <f t="shared" si="93"/>
        <v>0.13012000000000001</v>
      </c>
      <c r="U241">
        <f t="shared" si="93"/>
        <v>0.13012000000000001</v>
      </c>
      <c r="V241">
        <f t="shared" si="93"/>
        <v>0.13012000000000001</v>
      </c>
    </row>
    <row r="242" spans="2:22">
      <c r="B242" s="407" t="s">
        <v>516</v>
      </c>
      <c r="E242" s="6">
        <v>5</v>
      </c>
      <c r="F242" s="30">
        <f>40000/Million</f>
        <v>0.04</v>
      </c>
      <c r="G242" s="17" t="s">
        <v>800</v>
      </c>
    </row>
    <row r="243" spans="2:22">
      <c r="B243" s="407" t="s">
        <v>517</v>
      </c>
      <c r="F243" s="74">
        <v>1</v>
      </c>
      <c r="G243" s="17" t="s">
        <v>800</v>
      </c>
    </row>
    <row r="244" spans="2:22">
      <c r="B244" s="28" t="s">
        <v>476</v>
      </c>
      <c r="C244" s="28"/>
      <c r="D244" s="28"/>
      <c r="E244" s="28"/>
      <c r="F244" s="28"/>
      <c r="G244" s="28"/>
      <c r="H244" s="28"/>
      <c r="I244" s="49">
        <f>SUM(J244:V244)</f>
        <v>1.3012000000000001</v>
      </c>
      <c r="J244" s="47">
        <f t="shared" ref="J244:V244" si="94">($F242*$F243*Million)/$E242*USD_IDR/Billion*J$441</f>
        <v>0</v>
      </c>
      <c r="K244" s="47">
        <f t="shared" si="94"/>
        <v>0</v>
      </c>
      <c r="L244" s="47">
        <f t="shared" si="94"/>
        <v>0</v>
      </c>
      <c r="M244" s="47">
        <f t="shared" si="94"/>
        <v>0.13012000000000001</v>
      </c>
      <c r="N244" s="47">
        <f t="shared" si="94"/>
        <v>0.13012000000000001</v>
      </c>
      <c r="O244" s="47">
        <f t="shared" si="94"/>
        <v>0.13012000000000001</v>
      </c>
      <c r="P244" s="47">
        <f t="shared" si="94"/>
        <v>0.13012000000000001</v>
      </c>
      <c r="Q244" s="47">
        <f t="shared" si="94"/>
        <v>0.13012000000000001</v>
      </c>
      <c r="R244" s="47">
        <f t="shared" si="94"/>
        <v>0.13012000000000001</v>
      </c>
      <c r="S244" s="47">
        <f t="shared" si="94"/>
        <v>0.13012000000000001</v>
      </c>
      <c r="T244" s="47">
        <f t="shared" si="94"/>
        <v>0.13012000000000001</v>
      </c>
      <c r="U244" s="47">
        <f t="shared" si="94"/>
        <v>0.13012000000000001</v>
      </c>
      <c r="V244" s="47">
        <f t="shared" si="94"/>
        <v>0.13012000000000001</v>
      </c>
    </row>
    <row r="245" spans="2:22">
      <c r="G245"/>
    </row>
    <row r="246" spans="2:22">
      <c r="B246" s="2" t="s">
        <v>518</v>
      </c>
      <c r="E246" s="58" t="s">
        <v>514</v>
      </c>
      <c r="F246" s="58" t="s">
        <v>515</v>
      </c>
      <c r="G246"/>
      <c r="I246" s="22"/>
    </row>
    <row r="247" spans="2:22">
      <c r="B247" s="407" t="s">
        <v>516</v>
      </c>
      <c r="E247" s="16">
        <v>10</v>
      </c>
      <c r="F247" s="30">
        <f>Input!$J$1264</f>
        <v>3.7622963418383031</v>
      </c>
      <c r="G247" s="17" t="s">
        <v>315</v>
      </c>
    </row>
    <row r="248" spans="2:22">
      <c r="B248" s="407" t="s">
        <v>517</v>
      </c>
      <c r="F248" s="21">
        <f>100%-F243</f>
        <v>0</v>
      </c>
      <c r="G248" s="17" t="s">
        <v>315</v>
      </c>
    </row>
    <row r="249" spans="2:22">
      <c r="B249" s="28" t="s">
        <v>476</v>
      </c>
      <c r="C249" s="28"/>
      <c r="D249" s="28"/>
      <c r="E249" s="28"/>
      <c r="F249" s="28"/>
      <c r="G249" s="28"/>
      <c r="H249" s="28"/>
      <c r="I249" s="49">
        <f>SUM(J249:V249)</f>
        <v>0</v>
      </c>
      <c r="J249" s="47">
        <f t="shared" ref="J249:V249" si="95">($F247*$F248*Million)/$E247*USD_IDR/Billion*J$441</f>
        <v>0</v>
      </c>
      <c r="K249" s="47">
        <f t="shared" si="95"/>
        <v>0</v>
      </c>
      <c r="L249" s="47">
        <f t="shared" si="95"/>
        <v>0</v>
      </c>
      <c r="M249" s="47">
        <f t="shared" si="95"/>
        <v>0</v>
      </c>
      <c r="N249" s="47">
        <f t="shared" si="95"/>
        <v>0</v>
      </c>
      <c r="O249" s="47">
        <f t="shared" si="95"/>
        <v>0</v>
      </c>
      <c r="P249" s="47">
        <f t="shared" si="95"/>
        <v>0</v>
      </c>
      <c r="Q249" s="47">
        <f t="shared" si="95"/>
        <v>0</v>
      </c>
      <c r="R249" s="47">
        <f t="shared" si="95"/>
        <v>0</v>
      </c>
      <c r="S249" s="47">
        <f t="shared" si="95"/>
        <v>0</v>
      </c>
      <c r="T249" s="47">
        <f t="shared" si="95"/>
        <v>0</v>
      </c>
      <c r="U249" s="47">
        <f t="shared" si="95"/>
        <v>0</v>
      </c>
      <c r="V249" s="47">
        <f t="shared" si="95"/>
        <v>0</v>
      </c>
    </row>
    <row r="250" spans="2:22">
      <c r="G250"/>
    </row>
    <row r="251" spans="2:22">
      <c r="G251"/>
      <c r="J251">
        <f>J252/Million</f>
        <v>1.1000000000000001</v>
      </c>
      <c r="K251">
        <f t="shared" ref="K251:V251" si="96">K252/Million</f>
        <v>5.6829855680000003</v>
      </c>
      <c r="L251">
        <f t="shared" si="96"/>
        <v>5.8534751350400001</v>
      </c>
      <c r="M251">
        <f t="shared" si="96"/>
        <v>6.0290793890912004</v>
      </c>
      <c r="N251">
        <f t="shared" si="96"/>
        <v>6.2099517707639365</v>
      </c>
      <c r="O251">
        <f t="shared" si="96"/>
        <v>6.3962503238868544</v>
      </c>
      <c r="P251">
        <f t="shared" si="96"/>
        <v>6.5881378336034606</v>
      </c>
      <c r="Q251">
        <f t="shared" si="96"/>
        <v>6.7857819686115644</v>
      </c>
      <c r="R251">
        <f t="shared" si="96"/>
        <v>6.9893554276699108</v>
      </c>
      <c r="S251">
        <f t="shared" si="96"/>
        <v>7.1990360905000088</v>
      </c>
      <c r="T251">
        <f t="shared" si="96"/>
        <v>7.4150071732150096</v>
      </c>
      <c r="U251">
        <f t="shared" si="96"/>
        <v>7.6374573884114598</v>
      </c>
      <c r="V251">
        <f t="shared" si="96"/>
        <v>7.8665811100638035</v>
      </c>
    </row>
    <row r="252" spans="2:22" ht="24" thickBot="1">
      <c r="B252" s="14" t="s">
        <v>522</v>
      </c>
      <c r="C252" s="14"/>
      <c r="D252" s="14"/>
      <c r="E252" s="14"/>
      <c r="F252" s="14"/>
      <c r="G252" s="14"/>
      <c r="H252" s="14"/>
      <c r="I252" s="14"/>
      <c r="J252" s="261">
        <f>SUM(J256,J361,J404)</f>
        <v>1100000</v>
      </c>
      <c r="K252" s="261">
        <f t="shared" ref="K252:V252" si="97">SUM(K256,K361,K404)</f>
        <v>5682985.568</v>
      </c>
      <c r="L252" s="261">
        <f t="shared" si="97"/>
        <v>5853475.1350400001</v>
      </c>
      <c r="M252" s="261">
        <f t="shared" si="97"/>
        <v>6029079.3890912002</v>
      </c>
      <c r="N252" s="261">
        <f t="shared" si="97"/>
        <v>6209951.7707639365</v>
      </c>
      <c r="O252" s="261">
        <f t="shared" si="97"/>
        <v>6396250.3238868546</v>
      </c>
      <c r="P252" s="261">
        <f t="shared" si="97"/>
        <v>6588137.8336034603</v>
      </c>
      <c r="Q252" s="261">
        <f t="shared" si="97"/>
        <v>6785781.9686115645</v>
      </c>
      <c r="R252" s="261">
        <f t="shared" si="97"/>
        <v>6989355.4276699107</v>
      </c>
      <c r="S252" s="261">
        <f t="shared" si="97"/>
        <v>7199036.0905000092</v>
      </c>
      <c r="T252" s="261">
        <f t="shared" si="97"/>
        <v>7415007.1732150093</v>
      </c>
      <c r="U252" s="261">
        <f t="shared" si="97"/>
        <v>7637457.3884114595</v>
      </c>
      <c r="V252" s="261">
        <f t="shared" si="97"/>
        <v>7866581.1100638034</v>
      </c>
    </row>
    <row r="253" spans="2:22">
      <c r="G253"/>
    </row>
    <row r="254" spans="2:22" ht="15.75">
      <c r="B254" s="15" t="s">
        <v>523</v>
      </c>
      <c r="G254"/>
    </row>
    <row r="255" spans="2:22" ht="15.75">
      <c r="B255" s="41" t="s">
        <v>511</v>
      </c>
      <c r="G255"/>
      <c r="I255">
        <v>1</v>
      </c>
      <c r="J255" s="77">
        <f>I255*(1+Input!K204)*J$12</f>
        <v>1</v>
      </c>
      <c r="K255" s="77">
        <f>J255*(1+Input!L204)*K$12</f>
        <v>1.03</v>
      </c>
      <c r="L255" s="77">
        <f>K255*(1+Input!M204)*L$12</f>
        <v>1.0609</v>
      </c>
      <c r="M255" s="77">
        <f>L255*(1+Input!N204)*M$12</f>
        <v>1.092727</v>
      </c>
      <c r="N255" s="77">
        <f>M255*(1+Input!O204)*N$12</f>
        <v>1.1255088100000001</v>
      </c>
      <c r="O255" s="77">
        <f>N255*(1+Input!P204)*O$12</f>
        <v>1.1592740743000001</v>
      </c>
      <c r="P255" s="77">
        <f>O255*(1+Input!Q204)*P$12</f>
        <v>1.1940522965290001</v>
      </c>
      <c r="Q255" s="70">
        <f>P255*(1+Input!R204)*Q$12</f>
        <v>1.2298738654248702</v>
      </c>
      <c r="R255" s="70">
        <f>Q255*(1+Input!S204)*R$12</f>
        <v>1.2667700813876164</v>
      </c>
      <c r="S255" s="77">
        <f>R255*(1+Input!T204)*S$12</f>
        <v>1.3047731838292449</v>
      </c>
      <c r="T255" s="77">
        <f>S255*(1+Input!U204)*T$12</f>
        <v>1.3439163793441222</v>
      </c>
      <c r="U255" s="70">
        <f>T255*(1+Input!V204)*U$12</f>
        <v>1.3842338707244459</v>
      </c>
      <c r="V255" s="70">
        <f>U255*(1+Input!W204)*V$12</f>
        <v>1.4257608868461793</v>
      </c>
    </row>
    <row r="256" spans="2:22">
      <c r="B256" s="407" t="s">
        <v>524</v>
      </c>
      <c r="F256" s="6">
        <f>Input!J209*0+1100000</f>
        <v>1100000</v>
      </c>
      <c r="G256" s="17" t="s">
        <v>315</v>
      </c>
      <c r="I256">
        <f>SUM(J256:V256)</f>
        <v>17179569.493224025</v>
      </c>
      <c r="J256">
        <f t="shared" ref="J256:M256" si="98">J255*$F256*J$12</f>
        <v>1100000</v>
      </c>
      <c r="K256">
        <f t="shared" si="98"/>
        <v>1133000</v>
      </c>
      <c r="L256">
        <f t="shared" si="98"/>
        <v>1166990</v>
      </c>
      <c r="M256">
        <f t="shared" si="98"/>
        <v>1201999.7</v>
      </c>
      <c r="N256">
        <f t="shared" ref="N256:V256" si="99">$L$256*L255</f>
        <v>1238059.6909999999</v>
      </c>
      <c r="O256">
        <f t="shared" si="99"/>
        <v>1275201.4817300001</v>
      </c>
      <c r="P256">
        <f t="shared" si="99"/>
        <v>1313457.5261819002</v>
      </c>
      <c r="Q256">
        <f t="shared" si="99"/>
        <v>1352861.251967357</v>
      </c>
      <c r="R256">
        <f t="shared" si="99"/>
        <v>1393447.0895263779</v>
      </c>
      <c r="S256">
        <f t="shared" si="99"/>
        <v>1435250.5022121693</v>
      </c>
      <c r="T256">
        <f t="shared" si="99"/>
        <v>1478308.0172785344</v>
      </c>
      <c r="U256">
        <f t="shared" si="99"/>
        <v>1522657.2577968906</v>
      </c>
      <c r="V256" s="462">
        <f t="shared" si="99"/>
        <v>1568336.9755307971</v>
      </c>
    </row>
    <row r="257" spans="2:22">
      <c r="B257" s="407" t="s">
        <v>525</v>
      </c>
      <c r="E257" t="s">
        <v>801</v>
      </c>
      <c r="F257" s="19">
        <v>1490024.66</v>
      </c>
      <c r="I257">
        <f>SUM(J257:V257)</f>
        <v>0</v>
      </c>
      <c r="J257" s="43"/>
      <c r="K257" s="43"/>
      <c r="L257" s="43"/>
      <c r="M257" s="19">
        <f>F257*D5</f>
        <v>0</v>
      </c>
      <c r="N257">
        <f t="shared" ref="N257:V257" si="100">M257*(1+3%)*N12*$D$5</f>
        <v>0</v>
      </c>
      <c r="O257">
        <f t="shared" si="100"/>
        <v>0</v>
      </c>
      <c r="P257">
        <f t="shared" si="100"/>
        <v>0</v>
      </c>
      <c r="Q257">
        <f t="shared" si="100"/>
        <v>0</v>
      </c>
      <c r="R257">
        <f t="shared" si="100"/>
        <v>0</v>
      </c>
      <c r="S257">
        <f t="shared" si="100"/>
        <v>0</v>
      </c>
      <c r="T257">
        <f t="shared" si="100"/>
        <v>0</v>
      </c>
      <c r="U257">
        <f t="shared" si="100"/>
        <v>0</v>
      </c>
      <c r="V257">
        <f t="shared" si="100"/>
        <v>0</v>
      </c>
    </row>
    <row r="258" spans="2:22">
      <c r="B258" s="407" t="s">
        <v>58</v>
      </c>
      <c r="F258" s="19">
        <v>300000</v>
      </c>
      <c r="I258">
        <f>SUM(J258:V258)</f>
        <v>0</v>
      </c>
      <c r="J258" s="43"/>
      <c r="K258" s="43"/>
      <c r="L258" s="43"/>
      <c r="M258" s="43"/>
      <c r="N258" s="19">
        <f>300000*$D$5</f>
        <v>0</v>
      </c>
      <c r="O258" s="19">
        <f t="shared" ref="O258:T258" si="101">N258*(1+20%)*$D$5</f>
        <v>0</v>
      </c>
      <c r="P258" s="19">
        <f t="shared" si="101"/>
        <v>0</v>
      </c>
      <c r="Q258" s="19">
        <f t="shared" si="101"/>
        <v>0</v>
      </c>
      <c r="R258" s="19">
        <f t="shared" si="101"/>
        <v>0</v>
      </c>
      <c r="S258" s="19">
        <f t="shared" si="101"/>
        <v>0</v>
      </c>
      <c r="T258" s="19">
        <f t="shared" si="101"/>
        <v>0</v>
      </c>
      <c r="U258" s="19">
        <f>T258</f>
        <v>0</v>
      </c>
      <c r="V258" s="19">
        <f>U258</f>
        <v>0</v>
      </c>
    </row>
    <row r="259" spans="2:22">
      <c r="B259" s="407" t="s">
        <v>465</v>
      </c>
      <c r="J259">
        <f>Input!L211*K255</f>
        <v>35143.599999999999</v>
      </c>
      <c r="K259">
        <f>K362</f>
        <v>40944</v>
      </c>
      <c r="L259">
        <f>L362</f>
        <v>40944</v>
      </c>
      <c r="M259">
        <f t="shared" ref="M259:V259" si="102">M362</f>
        <v>49132.80000000001</v>
      </c>
      <c r="N259">
        <f t="shared" si="102"/>
        <v>49132.80000000001</v>
      </c>
      <c r="O259">
        <f t="shared" si="102"/>
        <v>54046.080000000002</v>
      </c>
      <c r="P259">
        <f t="shared" si="102"/>
        <v>54046.080000000002</v>
      </c>
      <c r="Q259">
        <f t="shared" si="102"/>
        <v>57288.844800000006</v>
      </c>
      <c r="R259">
        <f t="shared" si="102"/>
        <v>57288.844800000006</v>
      </c>
      <c r="S259">
        <f t="shared" si="102"/>
        <v>60726.175488000008</v>
      </c>
      <c r="T259">
        <f t="shared" si="102"/>
        <v>60726.175488000008</v>
      </c>
      <c r="U259">
        <f t="shared" si="102"/>
        <v>60726.175488000008</v>
      </c>
      <c r="V259">
        <f t="shared" si="102"/>
        <v>60726.175488000008</v>
      </c>
    </row>
    <row r="260" spans="2:22">
      <c r="B260" s="28" t="s">
        <v>9</v>
      </c>
      <c r="C260" s="28"/>
      <c r="D260" s="28"/>
      <c r="E260" s="28"/>
      <c r="F260" s="28"/>
      <c r="G260" s="28"/>
      <c r="H260" s="28"/>
      <c r="I260" s="48">
        <f>SUM(J260:V260)</f>
        <v>914.58892898383533</v>
      </c>
      <c r="J260" s="28">
        <f>SUM(J256:J258)*J259/Billion</f>
        <v>38.657960000000003</v>
      </c>
      <c r="K260" s="28">
        <f t="shared" ref="K260:V260" si="103">SUM(K256:K258)*K259/Billion</f>
        <v>46.389552000000002</v>
      </c>
      <c r="L260" s="459">
        <f t="shared" si="103"/>
        <v>47.781238559999998</v>
      </c>
      <c r="M260" s="459">
        <f t="shared" si="103"/>
        <v>59.057610860160011</v>
      </c>
      <c r="N260" s="459">
        <f t="shared" si="103"/>
        <v>60.829339185964805</v>
      </c>
      <c r="O260" s="28">
        <f t="shared" si="103"/>
        <v>68.919641297698121</v>
      </c>
      <c r="P260" s="28">
        <f t="shared" si="103"/>
        <v>70.98723053662907</v>
      </c>
      <c r="Q260" s="28">
        <f t="shared" si="103"/>
        <v>77.503858299891618</v>
      </c>
      <c r="R260" s="28">
        <f t="shared" si="103"/>
        <v>79.828974048888384</v>
      </c>
      <c r="S260" s="28">
        <f t="shared" si="103"/>
        <v>87.157273866576347</v>
      </c>
      <c r="T260" s="28">
        <f t="shared" si="103"/>
        <v>89.771992082573618</v>
      </c>
      <c r="U260" s="28">
        <f t="shared" si="103"/>
        <v>92.465151845050841</v>
      </c>
      <c r="V260" s="28">
        <f t="shared" si="103"/>
        <v>95.239106400402363</v>
      </c>
    </row>
    <row r="261" spans="2:22">
      <c r="G261"/>
      <c r="I261" s="21"/>
      <c r="K261" s="21"/>
      <c r="L261" s="21"/>
      <c r="M261" s="21"/>
      <c r="N261" s="21"/>
    </row>
    <row r="262" spans="2:22">
      <c r="B262" t="s">
        <v>471</v>
      </c>
      <c r="G262"/>
      <c r="I262" s="21"/>
      <c r="J262">
        <f>SUM(J256)</f>
        <v>1100000</v>
      </c>
      <c r="K262">
        <f t="shared" ref="K262:V262" si="104">SUM(K256)</f>
        <v>1133000</v>
      </c>
      <c r="L262">
        <f t="shared" si="104"/>
        <v>1166990</v>
      </c>
      <c r="M262">
        <f t="shared" si="104"/>
        <v>1201999.7</v>
      </c>
      <c r="N262">
        <f t="shared" si="104"/>
        <v>1238059.6909999999</v>
      </c>
      <c r="O262">
        <f t="shared" si="104"/>
        <v>1275201.4817300001</v>
      </c>
      <c r="P262">
        <f t="shared" si="104"/>
        <v>1313457.5261819002</v>
      </c>
      <c r="Q262">
        <f t="shared" si="104"/>
        <v>1352861.251967357</v>
      </c>
      <c r="R262">
        <f t="shared" si="104"/>
        <v>1393447.0895263779</v>
      </c>
      <c r="S262">
        <f t="shared" si="104"/>
        <v>1435250.5022121693</v>
      </c>
      <c r="T262">
        <f t="shared" si="104"/>
        <v>1478308.0172785344</v>
      </c>
      <c r="U262">
        <f t="shared" si="104"/>
        <v>1522657.2577968906</v>
      </c>
      <c r="V262">
        <f t="shared" si="104"/>
        <v>1568336.9755307971</v>
      </c>
    </row>
    <row r="263" spans="2:22">
      <c r="G263"/>
      <c r="I263" s="21"/>
      <c r="K263" s="21"/>
      <c r="L263" s="21"/>
      <c r="M263" s="21"/>
      <c r="N263" s="21"/>
    </row>
    <row r="264" spans="2:22" ht="15.75">
      <c r="B264" s="15" t="s">
        <v>526</v>
      </c>
      <c r="G264"/>
      <c r="I264" s="21"/>
      <c r="J264" s="53">
        <f>SUM(J273,J279,J284,J290,J295,J301,J307,J313,J319,J324)</f>
        <v>13.42170554723568</v>
      </c>
      <c r="K264" s="53">
        <f t="shared" ref="K264:V264" si="105">SUM(K273,K279,K284,K290,K295,K301,K307,K313,K319,K324)</f>
        <v>13.950545135917947</v>
      </c>
      <c r="L264" s="53">
        <f t="shared" si="105"/>
        <v>14.537513823246512</v>
      </c>
      <c r="M264" s="477">
        <f t="shared" si="105"/>
        <v>15.117541872077076</v>
      </c>
      <c r="N264" s="53">
        <f t="shared" si="105"/>
        <v>15.72513022083748</v>
      </c>
      <c r="O264" s="53">
        <f t="shared" si="105"/>
        <v>16.394851740185832</v>
      </c>
      <c r="P264" s="53">
        <f t="shared" si="105"/>
        <v>17.061852712242107</v>
      </c>
      <c r="Q264" s="53">
        <f t="shared" si="105"/>
        <v>17.760862275827424</v>
      </c>
      <c r="R264" s="53">
        <f t="shared" si="105"/>
        <v>18.526694391194042</v>
      </c>
      <c r="S264" s="53">
        <f t="shared" si="105"/>
        <v>19.294750069310872</v>
      </c>
      <c r="T264" s="53">
        <f t="shared" si="105"/>
        <v>20.100027611659119</v>
      </c>
      <c r="U264" s="53">
        <f t="shared" si="105"/>
        <v>20.944457891111337</v>
      </c>
      <c r="V264" s="53">
        <f t="shared" si="105"/>
        <v>21.830077575291654</v>
      </c>
    </row>
    <row r="265" spans="2:22">
      <c r="B265" s="2" t="s">
        <v>474</v>
      </c>
      <c r="G265"/>
      <c r="I265" s="22"/>
    </row>
    <row r="266" spans="2:22">
      <c r="B266" s="407" t="s">
        <v>475</v>
      </c>
      <c r="F266" s="30">
        <f>Input!J223</f>
        <v>40.829176858830003</v>
      </c>
      <c r="G266" s="17" t="s">
        <v>315</v>
      </c>
      <c r="J266">
        <f t="shared" ref="J266:V266" si="106">$F$266*J12</f>
        <v>40.829176858830003</v>
      </c>
      <c r="K266">
        <f t="shared" si="106"/>
        <v>40.829176858830003</v>
      </c>
      <c r="L266">
        <f t="shared" si="106"/>
        <v>40.829176858830003</v>
      </c>
      <c r="M266">
        <f t="shared" si="106"/>
        <v>40.829176858830003</v>
      </c>
      <c r="N266">
        <f t="shared" si="106"/>
        <v>40.829176858830003</v>
      </c>
      <c r="O266">
        <f t="shared" si="106"/>
        <v>40.829176858830003</v>
      </c>
      <c r="P266">
        <f t="shared" si="106"/>
        <v>40.829176858830003</v>
      </c>
      <c r="Q266">
        <f t="shared" si="106"/>
        <v>40.829176858830003</v>
      </c>
      <c r="R266">
        <f t="shared" si="106"/>
        <v>40.829176858830003</v>
      </c>
      <c r="S266">
        <f t="shared" si="106"/>
        <v>40.829176858830003</v>
      </c>
      <c r="T266">
        <f t="shared" si="106"/>
        <v>40.829176858830003</v>
      </c>
      <c r="U266">
        <f t="shared" si="106"/>
        <v>40.829176858830003</v>
      </c>
      <c r="V266">
        <f t="shared" si="106"/>
        <v>40.829176858830003</v>
      </c>
    </row>
    <row r="267" spans="2:22">
      <c r="B267" s="407" t="s">
        <v>58</v>
      </c>
      <c r="G267" s="17" t="s">
        <v>315</v>
      </c>
      <c r="J267">
        <f>Input!K218</f>
        <v>0</v>
      </c>
      <c r="K267">
        <f>Input!L218</f>
        <v>0</v>
      </c>
      <c r="L267">
        <f>Input!M218</f>
        <v>1</v>
      </c>
      <c r="M267">
        <f>Input!N218</f>
        <v>1</v>
      </c>
      <c r="N267">
        <f>Input!O218</f>
        <v>1</v>
      </c>
      <c r="O267">
        <f>Input!P218</f>
        <v>2</v>
      </c>
      <c r="P267">
        <f>Input!Q218</f>
        <v>2</v>
      </c>
      <c r="Q267">
        <f>Input!R218</f>
        <v>2</v>
      </c>
      <c r="R267">
        <f>Input!S218</f>
        <v>3</v>
      </c>
      <c r="S267">
        <f>Input!T218</f>
        <v>3</v>
      </c>
      <c r="T267">
        <f>Input!U218</f>
        <v>3</v>
      </c>
      <c r="U267">
        <f>Input!V218</f>
        <v>3</v>
      </c>
      <c r="V267">
        <f>Input!W218</f>
        <v>3</v>
      </c>
    </row>
    <row r="268" spans="2:22">
      <c r="B268" s="28" t="s">
        <v>476</v>
      </c>
      <c r="C268" s="28"/>
      <c r="D268" s="28"/>
      <c r="E268" s="28"/>
      <c r="F268" s="28"/>
      <c r="G268" s="28"/>
      <c r="H268" s="28"/>
      <c r="I268" s="49">
        <f>SUM(J268:V268)</f>
        <v>554.77929916479002</v>
      </c>
      <c r="J268" s="47">
        <f>SUM(J266:J267)</f>
        <v>40.829176858830003</v>
      </c>
      <c r="K268" s="47">
        <f t="shared" ref="K268:V268" si="107">SUM(K266:K267)</f>
        <v>40.829176858830003</v>
      </c>
      <c r="L268" s="47">
        <f t="shared" si="107"/>
        <v>41.829176858830003</v>
      </c>
      <c r="M268" s="47">
        <f t="shared" si="107"/>
        <v>41.829176858830003</v>
      </c>
      <c r="N268" s="47">
        <f t="shared" si="107"/>
        <v>41.829176858830003</v>
      </c>
      <c r="O268" s="47">
        <f t="shared" si="107"/>
        <v>42.829176858830003</v>
      </c>
      <c r="P268" s="47">
        <f t="shared" si="107"/>
        <v>42.829176858830003</v>
      </c>
      <c r="Q268" s="47">
        <f t="shared" si="107"/>
        <v>42.829176858830003</v>
      </c>
      <c r="R268" s="47">
        <f t="shared" si="107"/>
        <v>43.829176858830003</v>
      </c>
      <c r="S268" s="47">
        <f t="shared" si="107"/>
        <v>43.829176858830003</v>
      </c>
      <c r="T268" s="47">
        <f t="shared" si="107"/>
        <v>43.829176858830003</v>
      </c>
      <c r="U268" s="47">
        <f t="shared" si="107"/>
        <v>43.829176858830003</v>
      </c>
      <c r="V268" s="47">
        <f t="shared" si="107"/>
        <v>43.829176858830003</v>
      </c>
    </row>
    <row r="269" spans="2:22">
      <c r="G269"/>
    </row>
    <row r="270" spans="2:22">
      <c r="B270" s="2" t="s">
        <v>477</v>
      </c>
      <c r="G270"/>
    </row>
    <row r="271" spans="2:22">
      <c r="B271" s="407" t="s">
        <v>478</v>
      </c>
      <c r="G271"/>
      <c r="I271" s="13">
        <v>1</v>
      </c>
      <c r="J271" s="13">
        <f>I271*(1+Input!K226)*J$12</f>
        <v>1.0349999999999999</v>
      </c>
      <c r="K271" s="13">
        <f>J271*(1+Input!L226)*K$12</f>
        <v>1.0712249999999999</v>
      </c>
      <c r="L271" s="13">
        <f>K271*(1+Input!M226)*L$12</f>
        <v>1.1087178749999997</v>
      </c>
      <c r="M271" s="13">
        <f>L271*(1+Input!N226)*M$12</f>
        <v>1.1475230006249997</v>
      </c>
      <c r="N271" s="13">
        <f>M271*(1+Input!O226)*N$12</f>
        <v>1.1876863056468745</v>
      </c>
      <c r="O271" s="13">
        <f>N271*(1+Input!P226)*O$12</f>
        <v>1.229255326344515</v>
      </c>
      <c r="P271" s="13">
        <f>O271*(1+Input!Q226)*P$12</f>
        <v>1.2722792627665729</v>
      </c>
      <c r="Q271" s="13">
        <f>P271*(1+Input!R226)*Q$12</f>
        <v>1.3168090369634029</v>
      </c>
      <c r="R271" s="13">
        <f>Q271*(1+Input!S226)*R$12</f>
        <v>1.3628973532571218</v>
      </c>
      <c r="S271" s="13">
        <f>R271*(1+Input!T226)*S$12</f>
        <v>1.410598760621121</v>
      </c>
      <c r="T271" s="403">
        <f>S271*(1+Input!U226)*T$12</f>
        <v>1.4599697172428601</v>
      </c>
      <c r="U271" s="403">
        <f>T271*(1+Input!V226)*U$12</f>
        <v>1.5110686573463601</v>
      </c>
      <c r="V271" s="403">
        <f>U271*(1+Input!W226)*V$12</f>
        <v>1.5639560603534826</v>
      </c>
    </row>
    <row r="272" spans="2:22">
      <c r="B272" t="s">
        <v>479</v>
      </c>
      <c r="F272" s="19">
        <f>Input!J231</f>
        <v>5.423</v>
      </c>
      <c r="G272" s="17" t="s">
        <v>315</v>
      </c>
    </row>
    <row r="273" spans="2:22">
      <c r="B273" s="28" t="s">
        <v>480</v>
      </c>
      <c r="C273" s="28"/>
      <c r="D273" s="28"/>
      <c r="E273" s="28"/>
      <c r="F273" s="28"/>
      <c r="G273" s="28"/>
      <c r="H273" s="28"/>
      <c r="I273" s="28"/>
      <c r="J273" s="47">
        <f>$F272*J271</f>
        <v>5.6128049999999998</v>
      </c>
      <c r="K273" s="47">
        <f t="shared" ref="K273:V273" si="108">$F272*K271</f>
        <v>5.8092531749999994</v>
      </c>
      <c r="L273" s="47">
        <f t="shared" si="108"/>
        <v>6.0125770361249984</v>
      </c>
      <c r="M273" s="47">
        <f t="shared" si="108"/>
        <v>6.2230172323893731</v>
      </c>
      <c r="N273" s="47">
        <f t="shared" si="108"/>
        <v>6.4408228355230008</v>
      </c>
      <c r="O273" s="47">
        <f t="shared" si="108"/>
        <v>6.6662516347663043</v>
      </c>
      <c r="P273" s="47">
        <f t="shared" si="108"/>
        <v>6.8995704419831245</v>
      </c>
      <c r="Q273" s="47">
        <f t="shared" si="108"/>
        <v>7.1410554074525336</v>
      </c>
      <c r="R273" s="47">
        <f t="shared" si="108"/>
        <v>7.3909923467133716</v>
      </c>
      <c r="S273" s="47">
        <f t="shared" si="108"/>
        <v>7.649677078848339</v>
      </c>
      <c r="T273" s="47">
        <f t="shared" si="108"/>
        <v>7.9174157766080304</v>
      </c>
      <c r="U273" s="47">
        <f t="shared" si="108"/>
        <v>8.1945253287893109</v>
      </c>
      <c r="V273" s="47">
        <f t="shared" si="108"/>
        <v>8.4813337152969357</v>
      </c>
    </row>
    <row r="274" spans="2:22">
      <c r="G274"/>
    </row>
    <row r="275" spans="2:22">
      <c r="B275" s="2" t="s">
        <v>481</v>
      </c>
      <c r="G275"/>
    </row>
    <row r="276" spans="2:22">
      <c r="B276" s="407" t="s">
        <v>478</v>
      </c>
      <c r="E276" s="58" t="s">
        <v>482</v>
      </c>
      <c r="F276" s="58" t="s">
        <v>483</v>
      </c>
      <c r="G276"/>
      <c r="I276" s="13">
        <v>1</v>
      </c>
      <c r="J276" s="13">
        <f>I276*(1+Input!K234)*J$12</f>
        <v>1.03</v>
      </c>
      <c r="K276" s="13">
        <f>J276*(1+Input!L234)*K$12</f>
        <v>1.0609</v>
      </c>
      <c r="L276" s="71">
        <f>K276*(1+Input!M234)*L$12</f>
        <v>1.092727</v>
      </c>
      <c r="M276" s="71">
        <f>L276*(1+Input!N234)*M$12</f>
        <v>1.1255088100000001</v>
      </c>
      <c r="N276" s="13">
        <f>M276*(1+Input!O234)*N$12</f>
        <v>1.1592740743000001</v>
      </c>
      <c r="O276" s="13">
        <f>N276*(1+Input!P234)*O$12</f>
        <v>1.1940522965290001</v>
      </c>
      <c r="P276" s="13">
        <f>O276*(1+Input!Q234)*P$12</f>
        <v>1.2298738654248702</v>
      </c>
      <c r="Q276" s="13">
        <f>P276*(1+Input!R234)*Q$12</f>
        <v>1.2667700813876164</v>
      </c>
      <c r="R276" s="13">
        <f>Q276*(1+Input!S234)*R$12</f>
        <v>1.3047731838292449</v>
      </c>
      <c r="S276" s="13">
        <f>R276*(1+Input!T234)*S$12</f>
        <v>1.3439163793441222</v>
      </c>
      <c r="T276" s="13">
        <f>S276*(1+Input!U234)*T$12</f>
        <v>1.3842338707244459</v>
      </c>
      <c r="U276" s="13">
        <f>T276*(1+Input!V234)*U$12</f>
        <v>1.4257608868461793</v>
      </c>
      <c r="V276" s="13">
        <f>U276*(1+Input!W234)*V$12</f>
        <v>1.4685337134515648</v>
      </c>
    </row>
    <row r="277" spans="2:22">
      <c r="B277" s="407" t="s">
        <v>484</v>
      </c>
      <c r="E277" s="19">
        <v>1990024.6600000001</v>
      </c>
      <c r="F277" s="19">
        <f>F278/E277*Billion</f>
        <v>1958.7253667499776</v>
      </c>
      <c r="G277" s="17" t="s">
        <v>485</v>
      </c>
      <c r="J277">
        <f t="shared" ref="J277:V277" si="109">$F277*J276</f>
        <v>2017.4871277524769</v>
      </c>
      <c r="K277">
        <f t="shared" si="109"/>
        <v>2078.0117415850514</v>
      </c>
      <c r="L277">
        <f t="shared" si="109"/>
        <v>2140.3520938326028</v>
      </c>
      <c r="M277">
        <f t="shared" si="109"/>
        <v>2204.5626566475812</v>
      </c>
      <c r="N277">
        <f t="shared" si="109"/>
        <v>2270.6995363470082</v>
      </c>
      <c r="O277">
        <f t="shared" si="109"/>
        <v>2338.8205224374187</v>
      </c>
      <c r="P277">
        <f t="shared" si="109"/>
        <v>2408.9851381105414</v>
      </c>
      <c r="Q277">
        <f t="shared" si="109"/>
        <v>2481.2546922538577</v>
      </c>
      <c r="R277">
        <f t="shared" si="109"/>
        <v>2555.6923330214736</v>
      </c>
      <c r="S277">
        <f t="shared" si="109"/>
        <v>2632.3631030121178</v>
      </c>
      <c r="T277">
        <f t="shared" si="109"/>
        <v>2711.3339961024817</v>
      </c>
      <c r="U277">
        <f t="shared" si="109"/>
        <v>2792.6740159855558</v>
      </c>
      <c r="V277">
        <f t="shared" si="109"/>
        <v>2876.4542364651229</v>
      </c>
    </row>
    <row r="278" spans="2:22">
      <c r="B278" s="407" t="s">
        <v>486</v>
      </c>
      <c r="F278" s="19">
        <v>3.897911782</v>
      </c>
      <c r="G278" s="17" t="s">
        <v>315</v>
      </c>
    </row>
    <row r="279" spans="2:22">
      <c r="B279" s="28" t="s">
        <v>480</v>
      </c>
      <c r="C279" s="28"/>
      <c r="D279" s="28"/>
      <c r="E279" s="28"/>
      <c r="F279" s="28"/>
      <c r="G279" s="28"/>
      <c r="H279" s="28"/>
      <c r="I279" s="28"/>
      <c r="J279" s="47">
        <f>J277*J$262/Billion</f>
        <v>2.2192358405277246</v>
      </c>
      <c r="K279" s="47">
        <f t="shared" ref="K279:V279" si="110">K277*K$262/Billion</f>
        <v>2.3543873032158631</v>
      </c>
      <c r="L279" s="47">
        <f t="shared" si="110"/>
        <v>2.4977694899817089</v>
      </c>
      <c r="M279" s="47">
        <f t="shared" si="110"/>
        <v>2.6498836519215954</v>
      </c>
      <c r="N279" s="47">
        <f t="shared" si="110"/>
        <v>2.81126156632362</v>
      </c>
      <c r="O279" s="47">
        <f t="shared" si="110"/>
        <v>2.9824673957127295</v>
      </c>
      <c r="P279" s="47">
        <f t="shared" si="110"/>
        <v>3.1640996601116349</v>
      </c>
      <c r="Q279" s="47">
        <f t="shared" si="110"/>
        <v>3.356793329412433</v>
      </c>
      <c r="R279" s="47">
        <f t="shared" si="110"/>
        <v>3.5612220431736508</v>
      </c>
      <c r="S279" s="47">
        <f t="shared" si="110"/>
        <v>3.7781004656029267</v>
      </c>
      <c r="T279" s="47">
        <f t="shared" si="110"/>
        <v>4.0081867839581449</v>
      </c>
      <c r="U279" s="47">
        <f t="shared" si="110"/>
        <v>4.2522853591011964</v>
      </c>
      <c r="V279" s="47">
        <f t="shared" si="110"/>
        <v>4.5112495374704586</v>
      </c>
    </row>
    <row r="280" spans="2:22">
      <c r="G280"/>
    </row>
    <row r="281" spans="2:22">
      <c r="B281" s="2" t="s">
        <v>527</v>
      </c>
      <c r="G281"/>
    </row>
    <row r="282" spans="2:22">
      <c r="B282" s="407" t="s">
        <v>478</v>
      </c>
      <c r="G282"/>
      <c r="I282" s="13">
        <v>1</v>
      </c>
      <c r="J282" s="13">
        <f>I282*(1+Input!K250)*J12</f>
        <v>1.0349999999999999</v>
      </c>
      <c r="K282" s="13">
        <f>J282*(1+Input!L250)*K12</f>
        <v>1.0712249999999999</v>
      </c>
      <c r="L282" s="13">
        <f>K282*(1+Input!M250)*L12</f>
        <v>1.1087178749999997</v>
      </c>
      <c r="M282" s="13">
        <f>L282*(1+Input!N250)*M12</f>
        <v>1.1475230006249997</v>
      </c>
      <c r="N282" s="13">
        <f>M282*(1+Input!O250)*N12</f>
        <v>1.1876863056468745</v>
      </c>
      <c r="O282" s="13">
        <f>N282*(1+Input!P250)*O12</f>
        <v>1.229255326344515</v>
      </c>
      <c r="P282" s="13">
        <f>O282*(1+Input!Q250)*P12</f>
        <v>1.2722792627665729</v>
      </c>
      <c r="Q282" s="13">
        <f>P282*(1+Input!R250)*Q12</f>
        <v>1.3168090369634029</v>
      </c>
      <c r="R282" s="13">
        <f>Q282*(1+Input!S250)*R12</f>
        <v>1.3628973532571218</v>
      </c>
      <c r="S282" s="13">
        <f>R282*(1+Input!T250)*S12</f>
        <v>1.410598760621121</v>
      </c>
      <c r="T282" s="403">
        <f>S282*(1+Input!U250)*T12</f>
        <v>1.4599697172428601</v>
      </c>
      <c r="U282" s="403">
        <f>T282*(1+Input!V250)*U12</f>
        <v>1.5110686573463601</v>
      </c>
      <c r="V282" s="403">
        <f>U282*(1+Input!W250)*V12</f>
        <v>1.5639560603534826</v>
      </c>
    </row>
    <row r="283" spans="2:22">
      <c r="B283" t="s">
        <v>479</v>
      </c>
      <c r="F283" s="19">
        <f>Input!J255</f>
        <v>2.1486997309999998</v>
      </c>
      <c r="G283" s="17" t="s">
        <v>315</v>
      </c>
    </row>
    <row r="284" spans="2:22">
      <c r="B284" s="28" t="s">
        <v>480</v>
      </c>
      <c r="C284" s="28"/>
      <c r="D284" s="28"/>
      <c r="E284" s="28"/>
      <c r="F284" s="28"/>
      <c r="G284" s="28"/>
      <c r="H284" s="28"/>
      <c r="I284" s="28"/>
      <c r="J284" s="47">
        <f t="shared" ref="J284:V284" si="111">$F283*J282</f>
        <v>2.2239042215849998</v>
      </c>
      <c r="K284" s="47">
        <f t="shared" si="111"/>
        <v>2.3017408693404744</v>
      </c>
      <c r="L284" s="47">
        <f t="shared" si="111"/>
        <v>2.382301799767391</v>
      </c>
      <c r="M284" s="47">
        <f t="shared" si="111"/>
        <v>2.4656823627592495</v>
      </c>
      <c r="N284" s="47">
        <f t="shared" si="111"/>
        <v>2.5519812454558228</v>
      </c>
      <c r="O284" s="47">
        <f t="shared" si="111"/>
        <v>2.641300589046776</v>
      </c>
      <c r="P284" s="47">
        <f t="shared" si="111"/>
        <v>2.733746109663413</v>
      </c>
      <c r="Q284" s="47">
        <f t="shared" si="111"/>
        <v>2.8294272235016327</v>
      </c>
      <c r="R284" s="47">
        <f t="shared" si="111"/>
        <v>2.9284571763241893</v>
      </c>
      <c r="S284" s="47">
        <f t="shared" si="111"/>
        <v>3.0309531774955358</v>
      </c>
      <c r="T284" s="47">
        <f t="shared" si="111"/>
        <v>3.1370365387078794</v>
      </c>
      <c r="U284" s="47">
        <f t="shared" si="111"/>
        <v>3.2468328175626548</v>
      </c>
      <c r="V284" s="47">
        <f t="shared" si="111"/>
        <v>3.3604719661773474</v>
      </c>
    </row>
    <row r="285" spans="2:22">
      <c r="G285"/>
    </row>
    <row r="286" spans="2:22">
      <c r="B286" s="2" t="s">
        <v>528</v>
      </c>
      <c r="G286"/>
    </row>
    <row r="287" spans="2:22">
      <c r="B287" s="407" t="s">
        <v>478</v>
      </c>
      <c r="E287" s="58" t="s">
        <v>482</v>
      </c>
      <c r="F287" s="58" t="s">
        <v>483</v>
      </c>
      <c r="G287"/>
      <c r="I287" s="13">
        <v>1</v>
      </c>
      <c r="J287" s="13">
        <f>I287*(1+Input!K258)*J$12</f>
        <v>1.03</v>
      </c>
      <c r="K287" s="13">
        <f>J287*(1+Input!L258)*K$12</f>
        <v>1.0609</v>
      </c>
      <c r="L287" s="13">
        <f>K287*(1+Input!M258)*L$12</f>
        <v>1.092727</v>
      </c>
      <c r="M287" s="13">
        <f>L287*(1+Input!N258)*M$12</f>
        <v>1.1255088100000001</v>
      </c>
      <c r="N287" s="13">
        <f>M287*(1+Input!O258)*N$12</f>
        <v>1.1592740743000001</v>
      </c>
      <c r="O287" s="13">
        <f>N287*(1+Input!P258)*O$12</f>
        <v>1.1940522965290001</v>
      </c>
      <c r="P287" s="13">
        <f>O287*(1+Input!Q258)*P$12</f>
        <v>1.2298738654248702</v>
      </c>
      <c r="Q287" s="13">
        <f>P287*(1+Input!R258)*Q$12</f>
        <v>1.2667700813876164</v>
      </c>
      <c r="R287" s="13">
        <f>Q287*(1+Input!S258)*R$12</f>
        <v>1.3047731838292449</v>
      </c>
      <c r="S287" s="13">
        <f>R287*(1+Input!T258)*S$12</f>
        <v>1.3439163793441222</v>
      </c>
      <c r="T287" s="13">
        <f>S287*(1+Input!U258)*T$12</f>
        <v>1.3842338707244459</v>
      </c>
      <c r="U287" s="13">
        <f>T287*(1+Input!V258)*U$12</f>
        <v>1.4257608868461793</v>
      </c>
      <c r="V287" s="13">
        <f>U287*(1+Input!W258)*V$12</f>
        <v>1.4685337134515648</v>
      </c>
    </row>
    <row r="288" spans="2:22">
      <c r="B288" s="407" t="s">
        <v>484</v>
      </c>
      <c r="E288" s="19">
        <v>1990024.6600000001</v>
      </c>
      <c r="F288" s="19">
        <f>F289/E288*Billion</f>
        <v>699.28161243489308</v>
      </c>
      <c r="G288" s="17" t="s">
        <v>485</v>
      </c>
      <c r="J288">
        <f t="shared" ref="J288:V288" si="112">$F288*J287</f>
        <v>720.26006080793991</v>
      </c>
      <c r="K288">
        <f t="shared" si="112"/>
        <v>741.867862632178</v>
      </c>
      <c r="L288">
        <f t="shared" si="112"/>
        <v>764.12389851114347</v>
      </c>
      <c r="M288">
        <f t="shared" si="112"/>
        <v>787.04761546647785</v>
      </c>
      <c r="N288">
        <f t="shared" si="112"/>
        <v>810.65904393047208</v>
      </c>
      <c r="O288">
        <f t="shared" si="112"/>
        <v>834.97881524838624</v>
      </c>
      <c r="P288">
        <f t="shared" si="112"/>
        <v>860.02817970583794</v>
      </c>
      <c r="Q288">
        <f t="shared" si="112"/>
        <v>885.82902509701307</v>
      </c>
      <c r="R288">
        <f t="shared" si="112"/>
        <v>912.40389584992352</v>
      </c>
      <c r="S288">
        <f t="shared" si="112"/>
        <v>939.7760127254212</v>
      </c>
      <c r="T288">
        <f t="shared" si="112"/>
        <v>967.96929310718383</v>
      </c>
      <c r="U288">
        <f t="shared" si="112"/>
        <v>997.00837190039942</v>
      </c>
      <c r="V288">
        <f t="shared" si="112"/>
        <v>1026.9186230574114</v>
      </c>
    </row>
    <row r="289" spans="2:22">
      <c r="B289" s="407" t="s">
        <v>486</v>
      </c>
      <c r="F289" s="19">
        <v>1.39158765303</v>
      </c>
      <c r="G289" s="17" t="s">
        <v>315</v>
      </c>
    </row>
    <row r="290" spans="2:22">
      <c r="B290" s="28" t="s">
        <v>480</v>
      </c>
      <c r="C290" s="28"/>
      <c r="D290" s="28"/>
      <c r="E290" s="28"/>
      <c r="F290" s="28"/>
      <c r="G290" s="28"/>
      <c r="H290" s="28"/>
      <c r="I290" s="28"/>
      <c r="J290" s="47">
        <f>J288*J$262/Billion</f>
        <v>0.79228606688873382</v>
      </c>
      <c r="K290" s="47">
        <f t="shared" ref="K290:V290" si="113">K288*K$262/Billion</f>
        <v>0.84053628836225769</v>
      </c>
      <c r="L290" s="47">
        <f t="shared" si="113"/>
        <v>0.89172494832351934</v>
      </c>
      <c r="M290" s="47">
        <f t="shared" si="113"/>
        <v>0.94603099767642163</v>
      </c>
      <c r="N290" s="47">
        <f t="shared" si="113"/>
        <v>1.0036442854349155</v>
      </c>
      <c r="O290" s="47">
        <f t="shared" si="113"/>
        <v>1.0647662224179022</v>
      </c>
      <c r="P290" s="47">
        <f t="shared" si="113"/>
        <v>1.1296104853631526</v>
      </c>
      <c r="Q290" s="47">
        <f t="shared" si="113"/>
        <v>1.1984037639217684</v>
      </c>
      <c r="R290" s="47">
        <f t="shared" si="113"/>
        <v>1.2713865531446042</v>
      </c>
      <c r="S290" s="47">
        <f t="shared" si="113"/>
        <v>1.3488139942311108</v>
      </c>
      <c r="T290" s="47">
        <f t="shared" si="113"/>
        <v>1.4309567664797855</v>
      </c>
      <c r="U290" s="47">
        <f t="shared" si="113"/>
        <v>1.5181020335584048</v>
      </c>
      <c r="V290" s="47">
        <f t="shared" si="113"/>
        <v>1.6105544474021114</v>
      </c>
    </row>
    <row r="291" spans="2:22">
      <c r="G291"/>
    </row>
    <row r="292" spans="2:22">
      <c r="B292" s="2" t="s">
        <v>529</v>
      </c>
      <c r="G292"/>
    </row>
    <row r="293" spans="2:22">
      <c r="B293" s="407" t="s">
        <v>478</v>
      </c>
      <c r="G293"/>
      <c r="J293" s="32">
        <f>Input!K274</f>
        <v>3.3167525583047128E-2</v>
      </c>
      <c r="K293" s="25">
        <f>Input!L274</f>
        <v>3.3167525583047128E-2</v>
      </c>
      <c r="L293" s="25">
        <f>Input!M274</f>
        <v>3.3167525583047128E-2</v>
      </c>
      <c r="M293" s="25">
        <f>Input!N274</f>
        <v>3.3167525583047128E-2</v>
      </c>
      <c r="N293" s="25">
        <f>Input!O274</f>
        <v>3.3167525583047128E-2</v>
      </c>
      <c r="O293" s="25">
        <f>Input!P274</f>
        <v>3.3167525583047128E-2</v>
      </c>
      <c r="P293" s="25">
        <f>Input!Q274</f>
        <v>3.3167525583047128E-2</v>
      </c>
      <c r="Q293" s="25">
        <f>Input!R274</f>
        <v>3.3167525583047128E-2</v>
      </c>
      <c r="R293" s="25">
        <f>Input!S274</f>
        <v>3.3167525583047128E-2</v>
      </c>
      <c r="S293" s="25">
        <f>Input!T274</f>
        <v>3.3167525583047128E-2</v>
      </c>
      <c r="T293" s="25">
        <f>Input!U274</f>
        <v>3.3167525583047128E-2</v>
      </c>
      <c r="U293" s="25">
        <f>Input!V274</f>
        <v>3.3167525583047128E-2</v>
      </c>
      <c r="V293" s="25">
        <f>Input!W274</f>
        <v>3.3167525583047128E-2</v>
      </c>
    </row>
    <row r="294" spans="2:22">
      <c r="B294" s="407" t="s">
        <v>492</v>
      </c>
      <c r="G294" s="17" t="s">
        <v>315</v>
      </c>
      <c r="J294">
        <f>J268</f>
        <v>40.829176858830003</v>
      </c>
      <c r="K294">
        <f t="shared" ref="K294:V294" si="114">K268</f>
        <v>40.829176858830003</v>
      </c>
      <c r="L294">
        <f t="shared" si="114"/>
        <v>41.829176858830003</v>
      </c>
      <c r="M294">
        <f t="shared" si="114"/>
        <v>41.829176858830003</v>
      </c>
      <c r="N294">
        <f t="shared" si="114"/>
        <v>41.829176858830003</v>
      </c>
      <c r="O294">
        <f t="shared" si="114"/>
        <v>42.829176858830003</v>
      </c>
      <c r="P294">
        <f t="shared" si="114"/>
        <v>42.829176858830003</v>
      </c>
      <c r="Q294">
        <f t="shared" si="114"/>
        <v>42.829176858830003</v>
      </c>
      <c r="R294">
        <f t="shared" si="114"/>
        <v>43.829176858830003</v>
      </c>
      <c r="S294">
        <f t="shared" si="114"/>
        <v>43.829176858830003</v>
      </c>
      <c r="T294">
        <f t="shared" si="114"/>
        <v>43.829176858830003</v>
      </c>
      <c r="U294">
        <f t="shared" si="114"/>
        <v>43.829176858830003</v>
      </c>
      <c r="V294">
        <f t="shared" si="114"/>
        <v>43.829176858830003</v>
      </c>
    </row>
    <row r="295" spans="2:22">
      <c r="B295" s="28" t="s">
        <v>480</v>
      </c>
      <c r="C295" s="28"/>
      <c r="D295" s="28"/>
      <c r="E295" s="28"/>
      <c r="F295" s="28"/>
      <c r="G295" s="28"/>
      <c r="H295" s="28"/>
      <c r="I295" s="28"/>
      <c r="J295" s="47">
        <f>J294*J293</f>
        <v>1.3542027679999999</v>
      </c>
      <c r="K295" s="47">
        <f t="shared" ref="K295:V295" si="115">K294*K293</f>
        <v>1.3542027679999999</v>
      </c>
      <c r="L295" s="47">
        <f t="shared" si="115"/>
        <v>1.387370293583047</v>
      </c>
      <c r="M295" s="47">
        <f t="shared" si="115"/>
        <v>1.387370293583047</v>
      </c>
      <c r="N295" s="47">
        <f t="shared" si="115"/>
        <v>1.387370293583047</v>
      </c>
      <c r="O295" s="47">
        <f t="shared" si="115"/>
        <v>1.4205378191660942</v>
      </c>
      <c r="P295" s="47">
        <f t="shared" si="115"/>
        <v>1.4205378191660942</v>
      </c>
      <c r="Q295" s="47">
        <f t="shared" si="115"/>
        <v>1.4205378191660942</v>
      </c>
      <c r="R295" s="47">
        <f t="shared" si="115"/>
        <v>1.4537053447491413</v>
      </c>
      <c r="S295" s="47">
        <f t="shared" si="115"/>
        <v>1.4537053447491413</v>
      </c>
      <c r="T295" s="47">
        <f t="shared" si="115"/>
        <v>1.4537053447491413</v>
      </c>
      <c r="U295" s="47">
        <f t="shared" si="115"/>
        <v>1.4537053447491413</v>
      </c>
      <c r="V295" s="47">
        <f t="shared" si="115"/>
        <v>1.4537053447491413</v>
      </c>
    </row>
    <row r="296" spans="2:22">
      <c r="G296"/>
    </row>
    <row r="297" spans="2:22">
      <c r="B297" s="2" t="s">
        <v>530</v>
      </c>
      <c r="G297"/>
    </row>
    <row r="298" spans="2:22">
      <c r="B298" s="407" t="s">
        <v>478</v>
      </c>
      <c r="E298" s="58" t="s">
        <v>482</v>
      </c>
      <c r="F298" s="58" t="s">
        <v>483</v>
      </c>
      <c r="G298"/>
      <c r="I298" s="13">
        <v>1</v>
      </c>
      <c r="J298" s="13">
        <f>I298*(1+Input!K266)*J$12</f>
        <v>1.03</v>
      </c>
      <c r="K298" s="13">
        <f>J298*(1+Input!L266)*K$12</f>
        <v>1.0609</v>
      </c>
      <c r="L298" s="13">
        <f>K298*(1+Input!M266)*L$12</f>
        <v>1.092727</v>
      </c>
      <c r="M298" s="13">
        <f>L298*(1+Input!N266)*M$12</f>
        <v>1.1255088100000001</v>
      </c>
      <c r="N298" s="13">
        <f>M298*(1+Input!O266)*N$12</f>
        <v>1.1592740743000001</v>
      </c>
      <c r="O298" s="13">
        <f>N298*(1+Input!P266)*O$12</f>
        <v>1.1940522965290001</v>
      </c>
      <c r="P298" s="13">
        <f>O298*(1+Input!Q266)*P$12</f>
        <v>1.2298738654248702</v>
      </c>
      <c r="Q298" s="13">
        <f>P298*(1+Input!R266)*Q$12</f>
        <v>1.2667700813876164</v>
      </c>
      <c r="R298" s="13">
        <f>Q298*(1+Input!S266)*R$12</f>
        <v>1.3047731838292449</v>
      </c>
      <c r="S298" s="13">
        <f>R298*(1+Input!T266)*S$12</f>
        <v>1.3439163793441222</v>
      </c>
      <c r="T298" s="13">
        <f>S298*(1+Input!U266)*T$12</f>
        <v>1.3842338707244459</v>
      </c>
      <c r="U298" s="13">
        <f>T298*(1+Input!V266)*U$12</f>
        <v>1.4257608868461793</v>
      </c>
      <c r="V298" s="13">
        <f>U298*(1+Input!W266)*V$12</f>
        <v>1.4685337134515648</v>
      </c>
    </row>
    <row r="299" spans="2:22">
      <c r="B299" s="407" t="s">
        <v>484</v>
      </c>
      <c r="E299" s="19">
        <v>1990024.6600000001</v>
      </c>
      <c r="F299" s="19">
        <f>F300/E299*Billion</f>
        <v>602.23322257725181</v>
      </c>
      <c r="G299" s="17" t="s">
        <v>485</v>
      </c>
      <c r="J299">
        <f t="shared" ref="J299:V299" si="116">$F299*J298</f>
        <v>620.30021925456936</v>
      </c>
      <c r="K299">
        <f t="shared" si="116"/>
        <v>638.9092258322064</v>
      </c>
      <c r="L299">
        <f t="shared" si="116"/>
        <v>658.07650260717264</v>
      </c>
      <c r="M299">
        <f t="shared" si="116"/>
        <v>677.81879768538795</v>
      </c>
      <c r="N299">
        <f t="shared" si="116"/>
        <v>698.15336161594951</v>
      </c>
      <c r="O299">
        <f t="shared" si="116"/>
        <v>719.09796246442806</v>
      </c>
      <c r="P299">
        <f t="shared" si="116"/>
        <v>740.67090133836086</v>
      </c>
      <c r="Q299">
        <f t="shared" si="116"/>
        <v>762.89102837851181</v>
      </c>
      <c r="R299">
        <f t="shared" si="116"/>
        <v>785.77775922986712</v>
      </c>
      <c r="S299">
        <f t="shared" si="116"/>
        <v>809.35109200676311</v>
      </c>
      <c r="T299">
        <f t="shared" si="116"/>
        <v>833.63162476696607</v>
      </c>
      <c r="U299">
        <f t="shared" si="116"/>
        <v>858.64057350997507</v>
      </c>
      <c r="V299">
        <f t="shared" si="116"/>
        <v>884.39979071527432</v>
      </c>
    </row>
    <row r="300" spans="2:22">
      <c r="B300" s="407" t="s">
        <v>486</v>
      </c>
      <c r="F300" s="19">
        <v>1.1984589640000001</v>
      </c>
      <c r="G300" s="17" t="s">
        <v>315</v>
      </c>
    </row>
    <row r="301" spans="2:22">
      <c r="B301" s="28" t="s">
        <v>480</v>
      </c>
      <c r="C301" s="28"/>
      <c r="D301" s="28"/>
      <c r="E301" s="28"/>
      <c r="F301" s="28"/>
      <c r="G301" s="28"/>
      <c r="H301" s="28"/>
      <c r="I301" s="28"/>
      <c r="J301" s="47">
        <f>J299*J$262/Billion</f>
        <v>0.68233024118002628</v>
      </c>
      <c r="K301" s="47">
        <f t="shared" ref="K301:V301" si="117">K299*K$262/Billion</f>
        <v>0.72388415286788987</v>
      </c>
      <c r="L301" s="47">
        <f t="shared" si="117"/>
        <v>0.7679686977775444</v>
      </c>
      <c r="M301" s="47">
        <f t="shared" si="117"/>
        <v>0.81473799147219694</v>
      </c>
      <c r="N301" s="47">
        <f t="shared" si="117"/>
        <v>0.86435553515285357</v>
      </c>
      <c r="O301" s="47">
        <f t="shared" si="117"/>
        <v>0.91699478724366268</v>
      </c>
      <c r="P301" s="47">
        <f t="shared" si="117"/>
        <v>0.97283976978680164</v>
      </c>
      <c r="Q301" s="47">
        <f t="shared" si="117"/>
        <v>1.0320857117668178</v>
      </c>
      <c r="R301" s="47">
        <f t="shared" si="117"/>
        <v>1.0949397316134171</v>
      </c>
      <c r="S301" s="47">
        <f t="shared" si="117"/>
        <v>1.1616215612686744</v>
      </c>
      <c r="T301" s="47">
        <f t="shared" si="117"/>
        <v>1.2323643143499368</v>
      </c>
      <c r="U301" s="47">
        <f t="shared" si="117"/>
        <v>1.3074153010938481</v>
      </c>
      <c r="V301" s="47">
        <f t="shared" si="117"/>
        <v>1.3870368929304633</v>
      </c>
    </row>
    <row r="302" spans="2:22">
      <c r="G302"/>
    </row>
    <row r="303" spans="2:22">
      <c r="B303" s="2" t="s">
        <v>531</v>
      </c>
      <c r="G303"/>
    </row>
    <row r="304" spans="2:22">
      <c r="B304" s="407" t="s">
        <v>478</v>
      </c>
      <c r="E304" s="58" t="s">
        <v>482</v>
      </c>
      <c r="F304" s="58" t="s">
        <v>483</v>
      </c>
      <c r="G304"/>
      <c r="I304" s="13">
        <v>1</v>
      </c>
      <c r="J304" s="13">
        <f>I304*(1+Input!K283)*J$12</f>
        <v>1.02</v>
      </c>
      <c r="K304" s="13">
        <f>J304*(1+Input!L283)*K$12</f>
        <v>1.0404</v>
      </c>
      <c r="L304" s="13">
        <f>K304*(1+Input!M283)*L$12</f>
        <v>1.0612079999999999</v>
      </c>
      <c r="M304" s="13">
        <f>L304*(1+Input!N283)*M$12</f>
        <v>1.08243216</v>
      </c>
      <c r="N304" s="13">
        <f>M304*(1+Input!O283)*N$12</f>
        <v>1.1040808032</v>
      </c>
      <c r="O304" s="13">
        <f>N304*(1+Input!P283)*O$12</f>
        <v>1.1261624192640001</v>
      </c>
      <c r="P304" s="13">
        <f>O304*(1+Input!Q283)*P$12</f>
        <v>1.14868566764928</v>
      </c>
      <c r="Q304" s="13">
        <f>P304*(1+Input!R283)*Q$12</f>
        <v>1.1716593810022657</v>
      </c>
      <c r="R304" s="13">
        <f>Q304*(1+Input!S283)*R$12</f>
        <v>1.1950925686223111</v>
      </c>
      <c r="S304" s="13">
        <f>R304*(1+Input!T283)*S$12</f>
        <v>1.2189944199947573</v>
      </c>
      <c r="T304" s="13">
        <f>S304*(1+Input!U283)*T$12</f>
        <v>1.2433743083946525</v>
      </c>
      <c r="U304" s="13">
        <f>T304*(1+Input!V283)*U$12</f>
        <v>1.2682417945625455</v>
      </c>
      <c r="V304" s="13">
        <f>U304*(1+Input!W283)*V$12</f>
        <v>1.2936066304537963</v>
      </c>
    </row>
    <row r="305" spans="2:22">
      <c r="B305" s="407" t="s">
        <v>484</v>
      </c>
      <c r="E305" s="19">
        <v>1990024.6600000001</v>
      </c>
      <c r="F305" s="19">
        <f>F306/E305*Billion</f>
        <v>331.60747917566005</v>
      </c>
      <c r="G305" s="17" t="s">
        <v>485</v>
      </c>
      <c r="J305">
        <f t="shared" ref="J305:V305" si="118">$F305*J304</f>
        <v>338.23962875917323</v>
      </c>
      <c r="K305">
        <f t="shared" si="118"/>
        <v>345.00442133435672</v>
      </c>
      <c r="L305">
        <f t="shared" si="118"/>
        <v>351.90450976104381</v>
      </c>
      <c r="M305">
        <f t="shared" si="118"/>
        <v>358.9425999562647</v>
      </c>
      <c r="N305">
        <f t="shared" si="118"/>
        <v>366.12145195539</v>
      </c>
      <c r="O305">
        <f t="shared" si="118"/>
        <v>373.44388099449782</v>
      </c>
      <c r="P305">
        <f t="shared" si="118"/>
        <v>380.91275861438777</v>
      </c>
      <c r="Q305">
        <f t="shared" si="118"/>
        <v>388.5310137866756</v>
      </c>
      <c r="R305">
        <f t="shared" si="118"/>
        <v>396.30163406240911</v>
      </c>
      <c r="S305">
        <f t="shared" si="118"/>
        <v>404.22766674365727</v>
      </c>
      <c r="T305">
        <f t="shared" si="118"/>
        <v>412.3122200785304</v>
      </c>
      <c r="U305">
        <f t="shared" si="118"/>
        <v>420.55846448010101</v>
      </c>
      <c r="V305">
        <f t="shared" si="118"/>
        <v>428.96963376970302</v>
      </c>
    </row>
    <row r="306" spans="2:22">
      <c r="B306" s="407" t="s">
        <v>486</v>
      </c>
      <c r="F306" s="19">
        <v>0.65990706099999996</v>
      </c>
      <c r="G306" s="17" t="s">
        <v>315</v>
      </c>
    </row>
    <row r="307" spans="2:22">
      <c r="B307" s="28" t="s">
        <v>480</v>
      </c>
      <c r="C307" s="28"/>
      <c r="D307" s="28"/>
      <c r="E307" s="28"/>
      <c r="F307" s="28"/>
      <c r="G307" s="28"/>
      <c r="H307" s="28"/>
      <c r="I307" s="28"/>
      <c r="J307" s="47">
        <f>J305*J$262/Billion</f>
        <v>0.37206359163509051</v>
      </c>
      <c r="K307" s="47">
        <f t="shared" ref="K307:V307" si="119">K305*K$262/Billion</f>
        <v>0.39089000937182616</v>
      </c>
      <c r="L307" s="47">
        <f t="shared" si="119"/>
        <v>0.41066904384604053</v>
      </c>
      <c r="M307" s="47">
        <f t="shared" si="119"/>
        <v>0.43144889746465015</v>
      </c>
      <c r="N307" s="47">
        <f t="shared" si="119"/>
        <v>0.45328021167636146</v>
      </c>
      <c r="O307" s="47">
        <f t="shared" si="119"/>
        <v>0.47621619038718543</v>
      </c>
      <c r="P307" s="47">
        <f t="shared" si="119"/>
        <v>0.50031272962077711</v>
      </c>
      <c r="Q307" s="47">
        <f t="shared" si="119"/>
        <v>0.52562855373958839</v>
      </c>
      <c r="R307" s="47">
        <f t="shared" si="119"/>
        <v>0.55222535855881172</v>
      </c>
      <c r="S307" s="47">
        <f t="shared" si="119"/>
        <v>0.58016796170188745</v>
      </c>
      <c r="T307" s="47">
        <f t="shared" si="119"/>
        <v>0.609524460564003</v>
      </c>
      <c r="U307" s="47">
        <f t="shared" si="119"/>
        <v>0.64036639826854158</v>
      </c>
      <c r="V307" s="47">
        <f t="shared" si="119"/>
        <v>0.67276893802092974</v>
      </c>
    </row>
    <row r="308" spans="2:22">
      <c r="G308"/>
    </row>
    <row r="309" spans="2:22">
      <c r="B309" s="2" t="s">
        <v>532</v>
      </c>
      <c r="G309"/>
    </row>
    <row r="310" spans="2:22">
      <c r="B310" s="407" t="s">
        <v>478</v>
      </c>
      <c r="E310" s="58" t="s">
        <v>482</v>
      </c>
      <c r="F310" s="58" t="s">
        <v>483</v>
      </c>
      <c r="G310"/>
      <c r="I310" s="13">
        <v>1</v>
      </c>
      <c r="J310" s="13">
        <f>I310*(1+Input!K291)*J$12</f>
        <v>1.0349999999999999</v>
      </c>
      <c r="K310" s="13">
        <f>J310*(1+Input!L291)*K$12</f>
        <v>1.0712249999999999</v>
      </c>
      <c r="L310" s="13">
        <f>K310*(1+Input!M291)*L$12</f>
        <v>1.1087178749999997</v>
      </c>
      <c r="M310" s="13">
        <f>L310*(1+Input!N291)*M$12</f>
        <v>1.1475230006249997</v>
      </c>
      <c r="N310" s="13">
        <f>M310*(1+Input!O291)*N$12</f>
        <v>1.1876863056468745</v>
      </c>
      <c r="O310" s="13">
        <f>N310*(1+Input!P291)*O$12</f>
        <v>1.229255326344515</v>
      </c>
      <c r="P310" s="13">
        <f>O310*(1+Input!Q291)*P$12</f>
        <v>1.2722792627665729</v>
      </c>
      <c r="Q310" s="13">
        <f>P310*(1+Input!R291)*Q$12</f>
        <v>1.3168090369634029</v>
      </c>
      <c r="R310" s="13">
        <f>Q310*(1+Input!S291)*R$12</f>
        <v>1.3628973532571218</v>
      </c>
      <c r="S310" s="13">
        <f>R310*(1+Input!T291)*S$12</f>
        <v>1.410598760621121</v>
      </c>
      <c r="T310" s="13">
        <f>S310*(1+Input!U291)*T$12</f>
        <v>1.4599697172428601</v>
      </c>
      <c r="U310" s="13">
        <f>T310*(1+Input!V291)*U$12</f>
        <v>1.5110686573463601</v>
      </c>
      <c r="V310" s="13">
        <f>U310*(1+Input!W291)*V$12</f>
        <v>1.5639560603534826</v>
      </c>
    </row>
    <row r="311" spans="2:22">
      <c r="B311" s="407" t="s">
        <v>484</v>
      </c>
      <c r="E311" s="19">
        <v>1990024.6600000001</v>
      </c>
      <c r="F311" s="19">
        <f>F312/E311*Billion</f>
        <v>107.08021326730695</v>
      </c>
      <c r="G311" s="17" t="s">
        <v>485</v>
      </c>
      <c r="J311">
        <f t="shared" ref="J311:V311" si="120">$F311*J310</f>
        <v>110.82802073166268</v>
      </c>
      <c r="K311">
        <f t="shared" si="120"/>
        <v>114.70700145727086</v>
      </c>
      <c r="L311">
        <f t="shared" si="120"/>
        <v>118.72174650827533</v>
      </c>
      <c r="M311">
        <f t="shared" si="120"/>
        <v>122.87700763606496</v>
      </c>
      <c r="N311">
        <f t="shared" si="120"/>
        <v>127.17770290332722</v>
      </c>
      <c r="O311">
        <f t="shared" si="120"/>
        <v>131.62892250494366</v>
      </c>
      <c r="P311">
        <f t="shared" si="120"/>
        <v>136.23593479261669</v>
      </c>
      <c r="Q311">
        <f t="shared" si="120"/>
        <v>141.00419251035825</v>
      </c>
      <c r="R311">
        <f t="shared" si="120"/>
        <v>145.93933924822076</v>
      </c>
      <c r="S311">
        <f t="shared" si="120"/>
        <v>151.04721612190849</v>
      </c>
      <c r="T311">
        <f t="shared" si="120"/>
        <v>156.33386868617526</v>
      </c>
      <c r="U311">
        <f t="shared" si="120"/>
        <v>161.80555409019141</v>
      </c>
      <c r="V311">
        <f t="shared" si="120"/>
        <v>167.46874848334809</v>
      </c>
    </row>
    <row r="312" spans="2:22">
      <c r="B312" s="407" t="s">
        <v>486</v>
      </c>
      <c r="F312" s="19">
        <v>0.213092265</v>
      </c>
      <c r="G312" s="17" t="s">
        <v>315</v>
      </c>
    </row>
    <row r="313" spans="2:22">
      <c r="B313" s="28" t="s">
        <v>480</v>
      </c>
      <c r="C313" s="28"/>
      <c r="D313" s="28"/>
      <c r="E313" s="28"/>
      <c r="F313" s="28"/>
      <c r="G313" s="28"/>
      <c r="H313" s="28"/>
      <c r="I313" s="28"/>
      <c r="J313" s="47">
        <f>J311*J$262/Billion</f>
        <v>0.12191082280482894</v>
      </c>
      <c r="K313" s="47">
        <f t="shared" ref="K313:V313" si="121">K311*K$262/Billion</f>
        <v>0.12996303265108788</v>
      </c>
      <c r="L313" s="47">
        <f t="shared" si="121"/>
        <v>0.13854709095769224</v>
      </c>
      <c r="M313" s="47">
        <f t="shared" si="121"/>
        <v>0.14769812631544776</v>
      </c>
      <c r="N313" s="47">
        <f t="shared" si="121"/>
        <v>0.15745358755858307</v>
      </c>
      <c r="O313" s="47">
        <f t="shared" si="121"/>
        <v>0.16785339701682753</v>
      </c>
      <c r="P313" s="47">
        <f t="shared" si="121"/>
        <v>0.17894011388978898</v>
      </c>
      <c r="Q313" s="47">
        <f t="shared" si="121"/>
        <v>0.19075910841220947</v>
      </c>
      <c r="R313" s="47">
        <f t="shared" si="121"/>
        <v>0.20335874752283592</v>
      </c>
      <c r="S313" s="47">
        <f t="shared" si="121"/>
        <v>0.21679059279671925</v>
      </c>
      <c r="T313" s="47">
        <f t="shared" si="121"/>
        <v>0.23110961145094253</v>
      </c>
      <c r="U313" s="47">
        <f t="shared" si="121"/>
        <v>0.24637440128727731</v>
      </c>
      <c r="V313" s="47">
        <f t="shared" si="121"/>
        <v>0.26264743049230194</v>
      </c>
    </row>
    <row r="314" spans="2:22">
      <c r="G314"/>
    </row>
    <row r="315" spans="2:22">
      <c r="B315" s="2" t="s">
        <v>533</v>
      </c>
      <c r="G315"/>
    </row>
    <row r="316" spans="2:22">
      <c r="B316" s="407" t="s">
        <v>478</v>
      </c>
      <c r="E316" s="58" t="s">
        <v>482</v>
      </c>
      <c r="F316" s="58" t="s">
        <v>483</v>
      </c>
      <c r="G316"/>
      <c r="I316" s="13">
        <v>1</v>
      </c>
      <c r="J316" s="13">
        <f>I316*(1+Input!K298)*J$12</f>
        <v>1.0349999999999999</v>
      </c>
      <c r="K316" s="13">
        <f>J316*(1+Input!L298)*K$12</f>
        <v>1.0712249999999999</v>
      </c>
      <c r="L316" s="13">
        <f>K316*(1+Input!M298)*L$12</f>
        <v>1.1087178749999997</v>
      </c>
      <c r="M316" s="13">
        <f>L316*(1+Input!N298)*M$12</f>
        <v>1.1475230006249997</v>
      </c>
      <c r="N316" s="13">
        <f>M316*(1+Input!O298)*N$12</f>
        <v>1.1876863056468745</v>
      </c>
      <c r="O316" s="13">
        <f>N316*(1+Input!P298)*O$12</f>
        <v>1.229255326344515</v>
      </c>
      <c r="P316" s="13">
        <f>O316*(1+Input!Q298)*P$12</f>
        <v>1.2722792627665729</v>
      </c>
      <c r="Q316" s="13">
        <f>P316*(1+Input!R298)*Q$12</f>
        <v>1.3168090369634029</v>
      </c>
      <c r="R316" s="13">
        <f>Q316*(1+Input!S298)*R$12</f>
        <v>1.3628973532571218</v>
      </c>
      <c r="S316" s="13">
        <f>R316*(1+Input!T298)*S$12</f>
        <v>1.410598760621121</v>
      </c>
      <c r="T316" s="13">
        <f>S316*(1+Input!U298)*T$12</f>
        <v>1.4599697172428601</v>
      </c>
      <c r="U316" s="13">
        <f>T316*(1+Input!V298)*U$12</f>
        <v>1.5110686573463601</v>
      </c>
      <c r="V316" s="13">
        <f>U316*(1+Input!W298)*V$12</f>
        <v>1.5639560603534826</v>
      </c>
    </row>
    <row r="317" spans="2:22">
      <c r="B317" s="407" t="s">
        <v>484</v>
      </c>
      <c r="E317" s="19">
        <v>1990024.6600000001</v>
      </c>
      <c r="F317" s="19">
        <f>F318/E317*Billion</f>
        <v>35.500214856633981</v>
      </c>
      <c r="G317" s="17" t="s">
        <v>485</v>
      </c>
      <c r="J317">
        <f t="shared" ref="J317:V317" si="122">$F317*J316</f>
        <v>36.742722376616165</v>
      </c>
      <c r="K317">
        <f t="shared" si="122"/>
        <v>38.028717659797735</v>
      </c>
      <c r="L317">
        <f t="shared" si="122"/>
        <v>39.359722777890646</v>
      </c>
      <c r="M317">
        <f t="shared" si="122"/>
        <v>40.737313075116816</v>
      </c>
      <c r="N317">
        <f t="shared" si="122"/>
        <v>42.163119032745904</v>
      </c>
      <c r="O317">
        <f t="shared" si="122"/>
        <v>43.638828198892</v>
      </c>
      <c r="P317">
        <f t="shared" si="122"/>
        <v>45.166187185853218</v>
      </c>
      <c r="Q317">
        <f t="shared" si="122"/>
        <v>46.747003737358078</v>
      </c>
      <c r="R317">
        <f t="shared" si="122"/>
        <v>48.383148868165605</v>
      </c>
      <c r="S317">
        <f t="shared" si="122"/>
        <v>50.076559078551398</v>
      </c>
      <c r="T317">
        <f t="shared" si="122"/>
        <v>51.829238646300695</v>
      </c>
      <c r="U317">
        <f t="shared" si="122"/>
        <v>53.643261998921218</v>
      </c>
      <c r="V317">
        <f t="shared" si="122"/>
        <v>55.520776168883451</v>
      </c>
    </row>
    <row r="318" spans="2:22">
      <c r="B318" s="407" t="s">
        <v>486</v>
      </c>
      <c r="F318" s="19">
        <v>7.0646302999999994E-2</v>
      </c>
      <c r="G318" s="17" t="s">
        <v>315</v>
      </c>
    </row>
    <row r="319" spans="2:22">
      <c r="B319" s="28" t="s">
        <v>480</v>
      </c>
      <c r="C319" s="28"/>
      <c r="D319" s="28"/>
      <c r="E319" s="28"/>
      <c r="F319" s="28"/>
      <c r="G319" s="28"/>
      <c r="H319" s="28"/>
      <c r="I319" s="28"/>
      <c r="J319" s="47">
        <f>J317*J$262/Billion</f>
        <v>4.0416994614277779E-2</v>
      </c>
      <c r="K319" s="47">
        <f t="shared" ref="K319:V319" si="123">K317*K$262/Billion</f>
        <v>4.3086537108550829E-2</v>
      </c>
      <c r="L319" s="47">
        <f t="shared" si="123"/>
        <v>4.5932402884570608E-2</v>
      </c>
      <c r="M319" s="47">
        <f t="shared" si="123"/>
        <v>4.8966238095096488E-2</v>
      </c>
      <c r="N319" s="47">
        <f t="shared" si="123"/>
        <v>5.2200458121277611E-2</v>
      </c>
      <c r="O319" s="47">
        <f t="shared" si="123"/>
        <v>5.5648298380187991E-2</v>
      </c>
      <c r="P319" s="47">
        <f t="shared" si="123"/>
        <v>5.9323868488199406E-2</v>
      </c>
      <c r="Q319" s="47">
        <f t="shared" si="123"/>
        <v>6.3242210001844962E-2</v>
      </c>
      <c r="R319" s="47">
        <f t="shared" si="123"/>
        <v>6.7419357972466828E-2</v>
      </c>
      <c r="S319" s="47">
        <f t="shared" si="123"/>
        <v>7.1872406566548253E-2</v>
      </c>
      <c r="T319" s="47">
        <f t="shared" si="123"/>
        <v>7.6619579020268766E-2</v>
      </c>
      <c r="U319" s="47">
        <f t="shared" si="123"/>
        <v>8.1680302214557535E-2</v>
      </c>
      <c r="V319" s="47">
        <f t="shared" si="123"/>
        <v>8.707528617582902E-2</v>
      </c>
    </row>
    <row r="320" spans="2:22">
      <c r="G320"/>
    </row>
    <row r="321" spans="2:22">
      <c r="B321" s="2" t="s">
        <v>534</v>
      </c>
      <c r="G321"/>
    </row>
    <row r="322" spans="2:22">
      <c r="B322" s="407" t="s">
        <v>478</v>
      </c>
      <c r="G322"/>
      <c r="I322" s="71">
        <v>1</v>
      </c>
      <c r="J322" s="71">
        <f>I322*(1+Input!K306)*J12</f>
        <v>1.02</v>
      </c>
      <c r="K322" s="71">
        <f>J322*(1+Input!L306)*K12</f>
        <v>1.0404</v>
      </c>
      <c r="L322" s="71">
        <f>K322*(1+Input!M306)*L12</f>
        <v>1.0612079999999999</v>
      </c>
      <c r="M322" s="71">
        <f>L322*(1+Input!N306)*M12</f>
        <v>1.08243216</v>
      </c>
      <c r="N322" s="71">
        <f>M322*(1+Input!O306)*N12</f>
        <v>1.1040808032</v>
      </c>
      <c r="O322" s="71">
        <f>N322*(1+Input!P306)*O12</f>
        <v>1.1261624192640001</v>
      </c>
      <c r="P322" s="71">
        <f>O322*(1+Input!Q306)*P12</f>
        <v>1.14868566764928</v>
      </c>
      <c r="Q322" s="71">
        <f>P322*(1+Input!R306)*Q12</f>
        <v>1.1716593810022657</v>
      </c>
      <c r="R322" s="71">
        <f>Q322*(1+Input!S306)*R12</f>
        <v>1.1950925686223111</v>
      </c>
      <c r="S322" s="71">
        <f>R322*(1+Input!T306)*S12</f>
        <v>1.2189944199947573</v>
      </c>
      <c r="T322" s="71">
        <f>S322*(1+Input!U306)*T12</f>
        <v>1.2433743083946525</v>
      </c>
      <c r="U322" s="71">
        <f>T322*(1+Input!V306)*U12</f>
        <v>1.2682417945625455</v>
      </c>
      <c r="V322" s="71">
        <f>U322*(1+Input!W306)*V12</f>
        <v>1.2936066304537963</v>
      </c>
    </row>
    <row r="323" spans="2:22">
      <c r="B323" t="s">
        <v>479</v>
      </c>
      <c r="F323" s="19">
        <f>Input!J311</f>
        <v>2.5000000000000001E-3</v>
      </c>
      <c r="G323" s="17" t="s">
        <v>315</v>
      </c>
    </row>
    <row r="324" spans="2:22">
      <c r="B324" s="28" t="s">
        <v>480</v>
      </c>
      <c r="C324" s="28"/>
      <c r="D324" s="28"/>
      <c r="E324" s="28"/>
      <c r="F324" s="28"/>
      <c r="G324" s="28"/>
      <c r="H324" s="28"/>
      <c r="I324" s="28"/>
      <c r="J324" s="47">
        <f t="shared" ref="J324:V324" si="124">$F323*J322</f>
        <v>2.5500000000000002E-3</v>
      </c>
      <c r="K324" s="47">
        <f t="shared" si="124"/>
        <v>2.601E-3</v>
      </c>
      <c r="L324" s="47">
        <f t="shared" si="124"/>
        <v>2.6530199999999999E-3</v>
      </c>
      <c r="M324" s="47">
        <f t="shared" si="124"/>
        <v>2.7060804000000002E-3</v>
      </c>
      <c r="N324" s="47">
        <f t="shared" si="124"/>
        <v>2.7602020080000002E-3</v>
      </c>
      <c r="O324" s="47">
        <f t="shared" si="124"/>
        <v>2.8154060481600002E-3</v>
      </c>
      <c r="P324" s="47">
        <f t="shared" si="124"/>
        <v>2.8717141691232003E-3</v>
      </c>
      <c r="Q324" s="47">
        <f t="shared" si="124"/>
        <v>2.9291484525056644E-3</v>
      </c>
      <c r="R324" s="47">
        <f t="shared" si="124"/>
        <v>2.9877314215557777E-3</v>
      </c>
      <c r="S324" s="47">
        <f t="shared" si="124"/>
        <v>3.0474860499868934E-3</v>
      </c>
      <c r="T324" s="47">
        <f t="shared" si="124"/>
        <v>3.1084357709866314E-3</v>
      </c>
      <c r="U324" s="47">
        <f t="shared" si="124"/>
        <v>3.1706044864063636E-3</v>
      </c>
      <c r="V324" s="47">
        <f t="shared" si="124"/>
        <v>3.234016576134491E-3</v>
      </c>
    </row>
    <row r="325" spans="2:22">
      <c r="G325"/>
    </row>
    <row r="326" spans="2:22" ht="15.75">
      <c r="B326" s="15" t="s">
        <v>535</v>
      </c>
      <c r="G326"/>
    </row>
    <row r="327" spans="2:22">
      <c r="B327" s="2" t="s">
        <v>465</v>
      </c>
      <c r="G327"/>
    </row>
    <row r="328" spans="2:22">
      <c r="B328" t="s">
        <v>497</v>
      </c>
      <c r="G328"/>
      <c r="I328">
        <v>1</v>
      </c>
      <c r="J328">
        <f>I328*(1+Input!K332)*J$12</f>
        <v>1.0349999999999999</v>
      </c>
      <c r="K328">
        <f>J328*(1+Input!L332)*K$12</f>
        <v>1.0712249999999999</v>
      </c>
      <c r="L328">
        <f>K328*(1+Input!M332)*L$12</f>
        <v>1.1087178749999997</v>
      </c>
      <c r="M328">
        <f>L328*(1+Input!N332)*M$12</f>
        <v>1.1475230006249997</v>
      </c>
      <c r="N328">
        <f>M328*(1+Input!O332)*N$12</f>
        <v>1.1876863056468745</v>
      </c>
      <c r="O328">
        <f>N328*(1+Input!P332)*O$12</f>
        <v>1.229255326344515</v>
      </c>
      <c r="P328">
        <f>O328*(1+Input!Q332)*P$12</f>
        <v>1.2722792627665729</v>
      </c>
      <c r="Q328">
        <f>P328*(1+Input!R332)*Q$12</f>
        <v>1.3168090369634029</v>
      </c>
      <c r="R328">
        <f>Q328*(1+Input!S332)*R$12</f>
        <v>1.3628973532571218</v>
      </c>
      <c r="S328">
        <f>R328*(1+Input!T332)*S$12</f>
        <v>1.410598760621121</v>
      </c>
      <c r="T328">
        <f>S328*(1+Input!U332)*T$12</f>
        <v>1.4599697172428601</v>
      </c>
      <c r="U328">
        <f>T328*(1+Input!V332)*U$12</f>
        <v>1.5110686573463601</v>
      </c>
      <c r="V328">
        <f>U328*(1+Input!W332)*V$12</f>
        <v>1.5639560603534826</v>
      </c>
    </row>
    <row r="329" spans="2:22">
      <c r="B329" t="s">
        <v>496</v>
      </c>
      <c r="G329"/>
      <c r="I329">
        <v>1</v>
      </c>
      <c r="J329">
        <f>I329*(1+Input!K337)*J$12</f>
        <v>1.03</v>
      </c>
      <c r="K329">
        <f>J329*(1+Input!L337)*K$12</f>
        <v>1.0609</v>
      </c>
      <c r="L329">
        <f>K329*(1+Input!M337)*L$12</f>
        <v>1.092727</v>
      </c>
      <c r="M329">
        <f>L329*(1+Input!N337)*M$12</f>
        <v>1.1255088100000001</v>
      </c>
      <c r="N329">
        <f>M329*(1+Input!O337)*N$12</f>
        <v>1.1592740743000001</v>
      </c>
      <c r="O329">
        <f>N329*(1+Input!P337)*O$12</f>
        <v>1.1940522965290001</v>
      </c>
      <c r="P329">
        <f>O329*(1+Input!Q337)*P$12</f>
        <v>1.2298738654248702</v>
      </c>
      <c r="Q329">
        <f>P329*(1+Input!R337)*Q$12</f>
        <v>1.2667700813876164</v>
      </c>
      <c r="R329">
        <f>Q329*(1+Input!S337)*R$12</f>
        <v>1.3047731838292449</v>
      </c>
      <c r="S329">
        <f>R329*(1+Input!T337)*S$12</f>
        <v>1.3439163793441222</v>
      </c>
      <c r="T329">
        <f>S329*(1+Input!U337)*T$12</f>
        <v>1.3842338707244459</v>
      </c>
      <c r="U329">
        <f>T329*(1+Input!V337)*U$12</f>
        <v>1.4257608868461793</v>
      </c>
      <c r="V329">
        <f>U329*(1+Input!W337)*V$12</f>
        <v>1.4685337134515648</v>
      </c>
    </row>
    <row r="330" spans="2:22">
      <c r="B330" t="s">
        <v>505</v>
      </c>
      <c r="G330"/>
      <c r="I330">
        <v>1</v>
      </c>
      <c r="J330">
        <f>I330*(1+Input!K342)*J$12</f>
        <v>1.03</v>
      </c>
      <c r="K330">
        <f>J330*(1+Input!L342)*K$12</f>
        <v>1.0609</v>
      </c>
      <c r="L330">
        <f>K330*(1+Input!M342)*L$12</f>
        <v>1.092727</v>
      </c>
      <c r="M330">
        <f>L330*(1+Input!N342)*M$12</f>
        <v>1.1255088100000001</v>
      </c>
      <c r="N330">
        <f>M330*(1+Input!O342)*N$12</f>
        <v>1.1592740743000001</v>
      </c>
      <c r="O330">
        <f>N330*(1+Input!P342)*O$12</f>
        <v>1.1940522965290001</v>
      </c>
      <c r="P330">
        <f>O330*(1+Input!Q342)*P$12</f>
        <v>1.2298738654248702</v>
      </c>
      <c r="Q330">
        <f>P330*(1+Input!R342)*Q$12</f>
        <v>1.2667700813876164</v>
      </c>
      <c r="R330">
        <f>Q330*(1+Input!S342)*R$12</f>
        <v>1.3047731838292449</v>
      </c>
      <c r="S330">
        <f>R330*(1+Input!T342)*S$12</f>
        <v>1.3439163793441222</v>
      </c>
      <c r="T330">
        <f>S330*(1+Input!U342)*T$12</f>
        <v>1.3842338707244459</v>
      </c>
      <c r="U330">
        <f>T330*(1+Input!V342)*U$12</f>
        <v>1.4257608868461793</v>
      </c>
      <c r="V330">
        <f>U330*(1+Input!W342)*V$12</f>
        <v>1.4685337134515648</v>
      </c>
    </row>
    <row r="331" spans="2:22">
      <c r="B331" t="s">
        <v>501</v>
      </c>
      <c r="G331"/>
      <c r="I331">
        <v>1</v>
      </c>
      <c r="J331">
        <f>I331*(1+Input!K348)*J$12</f>
        <v>1.03</v>
      </c>
      <c r="K331">
        <f>J331*(1+Input!L348)*K$12</f>
        <v>1.0609</v>
      </c>
      <c r="L331">
        <f>K331*(1+Input!M348)*L$12</f>
        <v>1.092727</v>
      </c>
      <c r="M331">
        <f>L331*(1+Input!N348)*M$12</f>
        <v>1.1255088100000001</v>
      </c>
      <c r="N331">
        <f>M331*(1+Input!O348)*N$12</f>
        <v>1.1592740743000001</v>
      </c>
      <c r="O331">
        <f>N331*(1+Input!P348)*O$12</f>
        <v>1.1940522965290001</v>
      </c>
      <c r="P331">
        <f>O331*(1+Input!Q348)*P$12</f>
        <v>1.2298738654248702</v>
      </c>
      <c r="Q331">
        <f>P331*(1+Input!R348)*Q$12</f>
        <v>1.2667700813876164</v>
      </c>
      <c r="R331">
        <f>Q331*(1+Input!S348)*R$12</f>
        <v>1.3047731838292449</v>
      </c>
      <c r="S331">
        <f>R331*(1+Input!T348)*S$12</f>
        <v>1.3439163793441222</v>
      </c>
      <c r="T331">
        <f>S331*(1+Input!U348)*T$12</f>
        <v>1.3842338707244459</v>
      </c>
      <c r="U331">
        <f>T331*(1+Input!V348)*U$12</f>
        <v>1.4257608868461793</v>
      </c>
      <c r="V331">
        <f>U331*(1+Input!W348)*V$12</f>
        <v>1.4685337134515648</v>
      </c>
    </row>
    <row r="332" spans="2:22">
      <c r="B332" t="s">
        <v>498</v>
      </c>
      <c r="G332"/>
      <c r="I332">
        <v>1</v>
      </c>
      <c r="J332">
        <f>I332*(1+Input!K353)*J$12</f>
        <v>1.03</v>
      </c>
      <c r="K332">
        <f>J332*(1+Input!L353)*K$12</f>
        <v>1.0609</v>
      </c>
      <c r="L332">
        <f>K332*(1+Input!M353)*L$12</f>
        <v>1.092727</v>
      </c>
      <c r="M332">
        <f>L332*(1+Input!N353)*M$12</f>
        <v>1.1255088100000001</v>
      </c>
      <c r="N332">
        <f>M332*(1+Input!O353)*N$12</f>
        <v>1.1592740743000001</v>
      </c>
      <c r="O332">
        <f>N332*(1+Input!P353)*O$12</f>
        <v>1.1940522965290001</v>
      </c>
      <c r="P332">
        <f>O332*(1+Input!Q353)*P$12</f>
        <v>1.2298738654248702</v>
      </c>
      <c r="Q332">
        <f>P332*(1+Input!R353)*Q$12</f>
        <v>1.2667700813876164</v>
      </c>
      <c r="R332">
        <f>Q332*(1+Input!S353)*R$12</f>
        <v>1.3047731838292449</v>
      </c>
      <c r="S332">
        <f>R332*(1+Input!T353)*S$12</f>
        <v>1.3439163793441222</v>
      </c>
      <c r="T332">
        <f>S332*(1+Input!U353)*T$12</f>
        <v>1.3842338707244459</v>
      </c>
      <c r="U332">
        <f>T332*(1+Input!V353)*U$12</f>
        <v>1.4257608868461793</v>
      </c>
      <c r="V332">
        <f>U332*(1+Input!W353)*V$12</f>
        <v>1.4685337134515648</v>
      </c>
    </row>
    <row r="333" spans="2:22">
      <c r="B333" t="s">
        <v>499</v>
      </c>
      <c r="G333"/>
      <c r="I333">
        <v>1</v>
      </c>
      <c r="J333">
        <f>I333*(1+Input!K358)*J$12</f>
        <v>1.03</v>
      </c>
      <c r="K333">
        <f>J333*(1+Input!L358)*K$12</f>
        <v>1.0609</v>
      </c>
      <c r="L333">
        <f>K333*(1+Input!M358)*L$12</f>
        <v>1.092727</v>
      </c>
      <c r="M333">
        <f>L333*(1+Input!N358)*M$12</f>
        <v>1.1255088100000001</v>
      </c>
      <c r="N333">
        <f>M333*(1+Input!O358)*N$12</f>
        <v>1.1592740743000001</v>
      </c>
      <c r="O333">
        <f>N333*(1+Input!P358)*O$12</f>
        <v>1.1940522965290001</v>
      </c>
      <c r="P333">
        <f>O333*(1+Input!Q358)*P$12</f>
        <v>1.2298738654248702</v>
      </c>
      <c r="Q333">
        <f>P333*(1+Input!R358)*Q$12</f>
        <v>1.2667700813876164</v>
      </c>
      <c r="R333">
        <f>Q333*(1+Input!S358)*R$12</f>
        <v>1.3047731838292449</v>
      </c>
      <c r="S333">
        <f>R333*(1+Input!T358)*S$12</f>
        <v>1.3439163793441222</v>
      </c>
      <c r="T333">
        <f>S333*(1+Input!U358)*T$12</f>
        <v>1.3842338707244459</v>
      </c>
      <c r="U333">
        <f>T333*(1+Input!V358)*U$12</f>
        <v>1.4257608868461793</v>
      </c>
      <c r="V333">
        <f>U333*(1+Input!W358)*V$12</f>
        <v>1.4685337134515648</v>
      </c>
    </row>
    <row r="334" spans="2:22">
      <c r="B334" t="s">
        <v>503</v>
      </c>
      <c r="G334"/>
      <c r="I334">
        <v>1</v>
      </c>
      <c r="J334">
        <f>I334*(1+Input!K363)*J$12</f>
        <v>1.02</v>
      </c>
      <c r="K334">
        <f>J334*(1+Input!L363)*K$12</f>
        <v>1.0404</v>
      </c>
      <c r="L334">
        <f>K334*(1+Input!M363)*L$12</f>
        <v>1.0612079999999999</v>
      </c>
      <c r="M334">
        <f>L334*(1+Input!N363)*M$12</f>
        <v>1.08243216</v>
      </c>
      <c r="N334">
        <f>M334*(1+Input!O363)*N$12</f>
        <v>1.1040808032</v>
      </c>
      <c r="O334">
        <f>N334*(1+Input!P363)*O$12</f>
        <v>1.1261624192640001</v>
      </c>
      <c r="P334">
        <f>O334*(1+Input!Q363)*P$12</f>
        <v>1.14868566764928</v>
      </c>
      <c r="Q334">
        <f>P334*(1+Input!R363)*Q$12</f>
        <v>1.1716593810022657</v>
      </c>
      <c r="R334">
        <f>Q334*(1+Input!S363)*R$12</f>
        <v>1.1950925686223111</v>
      </c>
      <c r="S334">
        <f>R334*(1+Input!T363)*S$12</f>
        <v>1.2189944199947573</v>
      </c>
      <c r="T334">
        <f>S334*(1+Input!U363)*T$12</f>
        <v>1.2433743083946525</v>
      </c>
      <c r="U334">
        <f>T334*(1+Input!V363)*U$12</f>
        <v>1.2682417945625455</v>
      </c>
      <c r="V334">
        <f>U334*(1+Input!W363)*V$12</f>
        <v>1.2936066304537963</v>
      </c>
    </row>
    <row r="335" spans="2:22">
      <c r="B335" t="s">
        <v>506</v>
      </c>
      <c r="G335"/>
      <c r="I335">
        <v>1</v>
      </c>
      <c r="J335">
        <f>I335*(1+Input!K368)*J$12</f>
        <v>1.03</v>
      </c>
      <c r="K335">
        <f>J335*(1+Input!L368)*K$12</f>
        <v>1.0609</v>
      </c>
      <c r="L335">
        <f>K335*(1+Input!M368)*L$12</f>
        <v>1.092727</v>
      </c>
      <c r="M335">
        <f>L335*(1+Input!N368)*M$12</f>
        <v>1.1255088100000001</v>
      </c>
      <c r="N335">
        <f>M335*(1+Input!O368)*N$12</f>
        <v>1.1592740743000001</v>
      </c>
      <c r="O335">
        <f>N335*(1+Input!P368)*O$12</f>
        <v>1.1940522965290001</v>
      </c>
      <c r="P335">
        <f>O335*(1+Input!Q368)*P$12</f>
        <v>1.2298738654248702</v>
      </c>
      <c r="Q335">
        <f>P335*(1+Input!R368)*Q$12</f>
        <v>1.2667700813876164</v>
      </c>
      <c r="R335">
        <f>Q335*(1+Input!S368)*R$12</f>
        <v>1.3047731838292449</v>
      </c>
      <c r="S335">
        <f>R335*(1+Input!T368)*S$12</f>
        <v>1.3439163793441222</v>
      </c>
      <c r="T335">
        <f>S335*(1+Input!U368)*T$12</f>
        <v>1.3842338707244459</v>
      </c>
      <c r="U335">
        <f>T335*(1+Input!V368)*U$12</f>
        <v>1.4257608868461793</v>
      </c>
      <c r="V335">
        <f>U335*(1+Input!W368)*V$12</f>
        <v>1.4685337134515648</v>
      </c>
    </row>
    <row r="336" spans="2:22">
      <c r="B336" t="s">
        <v>500</v>
      </c>
      <c r="G336"/>
      <c r="I336">
        <v>1</v>
      </c>
      <c r="J336">
        <f>I336*(1+Input!K373)*J$12</f>
        <v>1.02</v>
      </c>
      <c r="K336">
        <f>J336*(1+Input!L373)*K$12</f>
        <v>1.0404</v>
      </c>
      <c r="L336">
        <f>K336*(1+Input!M373)*L$12</f>
        <v>1.0612079999999999</v>
      </c>
      <c r="M336">
        <f>L336*(1+Input!N373)*M$12</f>
        <v>1.08243216</v>
      </c>
      <c r="N336">
        <f>M336*(1+Input!O373)*N$12</f>
        <v>1.1040808032</v>
      </c>
      <c r="O336">
        <f>N336*(1+Input!P373)*O$12</f>
        <v>1.1261624192640001</v>
      </c>
      <c r="P336">
        <f>O336*(1+Input!Q373)*P$12</f>
        <v>1.14868566764928</v>
      </c>
      <c r="Q336">
        <f>P336*(1+Input!R373)*Q$12</f>
        <v>1.1716593810022657</v>
      </c>
      <c r="R336">
        <f>Q336*(1+Input!S373)*R$12</f>
        <v>1.1950925686223111</v>
      </c>
      <c r="S336">
        <f>R336*(1+Input!T373)*S$12</f>
        <v>1.2189944199947573</v>
      </c>
      <c r="T336">
        <f>S336*(1+Input!U373)*T$12</f>
        <v>1.2433743083946525</v>
      </c>
      <c r="U336">
        <f>T336*(1+Input!V373)*U$12</f>
        <v>1.2682417945625455</v>
      </c>
      <c r="V336">
        <f>U336*(1+Input!W373)*V$12</f>
        <v>1.2936066304537963</v>
      </c>
    </row>
    <row r="337" spans="2:22">
      <c r="B337" t="s">
        <v>504</v>
      </c>
      <c r="G337"/>
      <c r="I337">
        <v>1</v>
      </c>
      <c r="J337">
        <f>I337*(1+Input!K378)*J$12</f>
        <v>1.02</v>
      </c>
      <c r="K337">
        <f>J337*(1+Input!L378)*K$12</f>
        <v>1.0404</v>
      </c>
      <c r="L337">
        <f>K337*(1+Input!M378)*L$12</f>
        <v>1.0612079999999999</v>
      </c>
      <c r="M337">
        <f>L337*(1+Input!N378)*M$12</f>
        <v>1.08243216</v>
      </c>
      <c r="N337">
        <f>M337*(1+Input!O378)*N$12</f>
        <v>1.1040808032</v>
      </c>
      <c r="O337">
        <f>N337*(1+Input!P378)*O$12</f>
        <v>1.1261624192640001</v>
      </c>
      <c r="P337">
        <f>O337*(1+Input!Q378)*P$12</f>
        <v>1.14868566764928</v>
      </c>
      <c r="Q337">
        <f>P337*(1+Input!R378)*Q$12</f>
        <v>1.1716593810022657</v>
      </c>
      <c r="R337">
        <f>Q337*(1+Input!S378)*R$12</f>
        <v>1.1950925686223111</v>
      </c>
      <c r="S337">
        <f>R337*(1+Input!T378)*S$12</f>
        <v>1.2189944199947573</v>
      </c>
      <c r="T337">
        <f>S337*(1+Input!U378)*T$12</f>
        <v>1.2433743083946525</v>
      </c>
      <c r="U337">
        <f>T337*(1+Input!V378)*U$12</f>
        <v>1.2682417945625455</v>
      </c>
      <c r="V337">
        <f>U337*(1+Input!W378)*V$12</f>
        <v>1.2936066304537963</v>
      </c>
    </row>
    <row r="338" spans="2:22">
      <c r="B338" t="s">
        <v>502</v>
      </c>
      <c r="G338"/>
      <c r="I338">
        <v>1</v>
      </c>
      <c r="J338">
        <f>I338*(1+Input!K383)*J$12</f>
        <v>1.02</v>
      </c>
      <c r="K338">
        <f>J338*(1+Input!L383)*K$12</f>
        <v>1.0404</v>
      </c>
      <c r="L338">
        <f>K338*(1+Input!M383)*L$12</f>
        <v>1.0612079999999999</v>
      </c>
      <c r="M338">
        <f>L338*(1+Input!N383)*M$12</f>
        <v>1.08243216</v>
      </c>
      <c r="N338">
        <f>M338*(1+Input!O383)*N$12</f>
        <v>1.1040808032</v>
      </c>
      <c r="O338">
        <f>N338*(1+Input!P383)*O$12</f>
        <v>1.1261624192640001</v>
      </c>
      <c r="P338">
        <f>O338*(1+Input!Q383)*P$12</f>
        <v>1.14868566764928</v>
      </c>
      <c r="Q338">
        <f>P338*(1+Input!R383)*Q$12</f>
        <v>1.1716593810022657</v>
      </c>
      <c r="R338">
        <f>Q338*(1+Input!S383)*R$12</f>
        <v>1.1950925686223111</v>
      </c>
      <c r="S338">
        <f>R338*(1+Input!T383)*S$12</f>
        <v>1.2189944199947573</v>
      </c>
      <c r="T338">
        <f>S338*(1+Input!U383)*T$12</f>
        <v>1.2433743083946525</v>
      </c>
      <c r="U338">
        <f>T338*(1+Input!V383)*U$12</f>
        <v>1.2682417945625455</v>
      </c>
      <c r="V338">
        <f>U338*(1+Input!W383)*V$12</f>
        <v>1.2936066304537963</v>
      </c>
    </row>
    <row r="339" spans="2:22">
      <c r="G339"/>
    </row>
    <row r="340" spans="2:22">
      <c r="B340" s="2" t="s">
        <v>536</v>
      </c>
      <c r="G340"/>
      <c r="J340" s="88">
        <f>SUM(J341:J351,-J347)</f>
        <v>9.1526681838109827</v>
      </c>
      <c r="K340" s="22">
        <f t="shared" ref="K340:V340" si="125">SUM(K341:K351,-K347)</f>
        <v>9.4488472204361074</v>
      </c>
      <c r="L340" s="88">
        <f t="shared" si="125"/>
        <v>9.7546753384197089</v>
      </c>
      <c r="M340" s="22">
        <f t="shared" si="125"/>
        <v>10.07046889497304</v>
      </c>
      <c r="N340" s="88">
        <f t="shared" si="125"/>
        <v>10.396554682088896</v>
      </c>
      <c r="O340" s="22">
        <f t="shared" si="125"/>
        <v>10.7332702726893</v>
      </c>
      <c r="P340" s="22">
        <f t="shared" si="125"/>
        <v>11.080964378317505</v>
      </c>
      <c r="Q340" s="22">
        <f t="shared" si="125"/>
        <v>11.439997218761295</v>
      </c>
      <c r="R340" s="22">
        <f t="shared" si="125"/>
        <v>11.810740904007488</v>
      </c>
      <c r="S340" s="22">
        <f t="shared" si="125"/>
        <v>12.193579828941196</v>
      </c>
      <c r="T340" s="22">
        <f t="shared" si="125"/>
        <v>12.588911081217123</v>
      </c>
      <c r="U340" s="22">
        <f t="shared" si="125"/>
        <v>12.997144862744745</v>
      </c>
      <c r="V340" s="22">
        <f t="shared" si="125"/>
        <v>13.418704925244013</v>
      </c>
    </row>
    <row r="341" spans="2:22">
      <c r="B341" t="s">
        <v>497</v>
      </c>
      <c r="F341" s="72">
        <f>Input!J318</f>
        <v>4.2735000000000003</v>
      </c>
      <c r="G341"/>
      <c r="J341" s="22">
        <f t="shared" ref="J341:V341" si="126">$F341*J328</f>
        <v>4.4230725</v>
      </c>
      <c r="K341" s="22">
        <f t="shared" si="126"/>
        <v>4.5778800374999999</v>
      </c>
      <c r="L341" s="22">
        <f t="shared" si="126"/>
        <v>4.7381058388124995</v>
      </c>
      <c r="M341" s="22">
        <f t="shared" si="126"/>
        <v>4.9039395431709361</v>
      </c>
      <c r="N341" s="22">
        <f t="shared" si="126"/>
        <v>5.0755774271819183</v>
      </c>
      <c r="O341" s="22">
        <f t="shared" si="126"/>
        <v>5.2532226371332849</v>
      </c>
      <c r="P341" s="22">
        <f t="shared" si="126"/>
        <v>5.4370854294329494</v>
      </c>
      <c r="Q341" s="22">
        <f t="shared" si="126"/>
        <v>5.6273834194631025</v>
      </c>
      <c r="R341" s="22">
        <f t="shared" si="126"/>
        <v>5.82434183914431</v>
      </c>
      <c r="S341" s="22">
        <f t="shared" si="126"/>
        <v>6.0281938035143607</v>
      </c>
      <c r="T341" s="22">
        <f t="shared" si="126"/>
        <v>6.2391805866373629</v>
      </c>
      <c r="U341" s="22">
        <f t="shared" si="126"/>
        <v>6.4575519071696705</v>
      </c>
      <c r="V341" s="22">
        <f t="shared" si="126"/>
        <v>6.6835662239206082</v>
      </c>
    </row>
    <row r="342" spans="2:22">
      <c r="B342" t="s">
        <v>496</v>
      </c>
      <c r="F342" s="72">
        <f>Input!J319</f>
        <v>3.0775133239999999</v>
      </c>
      <c r="G342"/>
      <c r="J342" s="22">
        <f t="shared" ref="J342:V342" si="127">$F342*J329</f>
        <v>3.1698387237199999</v>
      </c>
      <c r="K342" s="22">
        <f t="shared" si="127"/>
        <v>3.2649338854315997</v>
      </c>
      <c r="L342" s="22">
        <f t="shared" si="127"/>
        <v>3.3628819019945477</v>
      </c>
      <c r="M342" s="22">
        <f t="shared" si="127"/>
        <v>3.4637683590543848</v>
      </c>
      <c r="N342" s="22">
        <f t="shared" si="127"/>
        <v>3.5676814098260161</v>
      </c>
      <c r="O342" s="22">
        <f t="shared" si="127"/>
        <v>3.6747118521207969</v>
      </c>
      <c r="P342" s="22">
        <f t="shared" si="127"/>
        <v>3.784953207684421</v>
      </c>
      <c r="Q342" s="22">
        <f t="shared" si="127"/>
        <v>3.8985018039149537</v>
      </c>
      <c r="R342" s="22">
        <f t="shared" si="127"/>
        <v>4.0154568580324019</v>
      </c>
      <c r="S342" s="22">
        <f t="shared" si="127"/>
        <v>4.1359205637733742</v>
      </c>
      <c r="T342" s="22">
        <f t="shared" si="127"/>
        <v>4.2599981806865754</v>
      </c>
      <c r="U342" s="22">
        <f t="shared" si="127"/>
        <v>4.3877981261071728</v>
      </c>
      <c r="V342" s="22">
        <f t="shared" si="127"/>
        <v>4.5194320698903887</v>
      </c>
    </row>
    <row r="343" spans="2:22">
      <c r="B343" t="s">
        <v>505</v>
      </c>
      <c r="F343" s="72">
        <f>Input!J320</f>
        <v>0.43463408199999998</v>
      </c>
      <c r="G343"/>
      <c r="J343" s="22">
        <f t="shared" ref="J343:V343" si="128">$F343*J330</f>
        <v>0.44767310445999997</v>
      </c>
      <c r="K343" s="22">
        <f t="shared" si="128"/>
        <v>0.46110329759379998</v>
      </c>
      <c r="L343" s="22">
        <f t="shared" si="128"/>
        <v>0.47493639652161396</v>
      </c>
      <c r="M343" s="22">
        <f t="shared" si="128"/>
        <v>0.48918448841726248</v>
      </c>
      <c r="N343" s="22">
        <f t="shared" si="128"/>
        <v>0.50386002306978028</v>
      </c>
      <c r="O343" s="22">
        <f t="shared" si="128"/>
        <v>0.51897582376187368</v>
      </c>
      <c r="P343" s="22">
        <f t="shared" si="128"/>
        <v>0.53454509847472997</v>
      </c>
      <c r="Q343" s="22">
        <f t="shared" si="128"/>
        <v>0.55058145142897186</v>
      </c>
      <c r="R343" s="22">
        <f t="shared" si="128"/>
        <v>0.56709889497184107</v>
      </c>
      <c r="S343" s="22">
        <f t="shared" si="128"/>
        <v>0.58411186182099628</v>
      </c>
      <c r="T343" s="22">
        <f t="shared" si="128"/>
        <v>0.60163521767562622</v>
      </c>
      <c r="U343" s="22">
        <f t="shared" si="128"/>
        <v>0.619684274205895</v>
      </c>
      <c r="V343" s="22">
        <f t="shared" si="128"/>
        <v>0.63827480243207191</v>
      </c>
    </row>
    <row r="344" spans="2:22">
      <c r="B344" t="s">
        <v>501</v>
      </c>
      <c r="F344" s="72">
        <f>Input!J321</f>
        <v>0.38632712999687496</v>
      </c>
      <c r="G344"/>
      <c r="J344" s="22">
        <f t="shared" ref="J344:V344" si="129">$F344*J331</f>
        <v>0.39791694389678123</v>
      </c>
      <c r="K344" s="22">
        <f t="shared" si="129"/>
        <v>0.40985445221368461</v>
      </c>
      <c r="L344" s="22">
        <f t="shared" si="129"/>
        <v>0.42215008578009516</v>
      </c>
      <c r="M344" s="22">
        <f t="shared" si="129"/>
        <v>0.43481458835349812</v>
      </c>
      <c r="N344" s="22">
        <f t="shared" si="129"/>
        <v>0.44785902600410299</v>
      </c>
      <c r="O344" s="22">
        <f t="shared" si="129"/>
        <v>0.46129479678422614</v>
      </c>
      <c r="P344" s="22">
        <f t="shared" si="129"/>
        <v>0.47513364068775293</v>
      </c>
      <c r="Q344" s="22">
        <f t="shared" si="129"/>
        <v>0.48938764990838557</v>
      </c>
      <c r="R344" s="22">
        <f t="shared" si="129"/>
        <v>0.50406927940563717</v>
      </c>
      <c r="S344" s="22">
        <f t="shared" si="129"/>
        <v>0.51919135778780623</v>
      </c>
      <c r="T344" s="22">
        <f t="shared" si="129"/>
        <v>0.53476709852144044</v>
      </c>
      <c r="U344" s="22">
        <f t="shared" si="129"/>
        <v>0.5508101114770837</v>
      </c>
      <c r="V344" s="22">
        <f t="shared" si="129"/>
        <v>0.56733441482139624</v>
      </c>
    </row>
    <row r="345" spans="2:22">
      <c r="B345" t="s">
        <v>498</v>
      </c>
      <c r="F345" s="72">
        <f>Input!J322</f>
        <v>0.35</v>
      </c>
      <c r="G345"/>
      <c r="J345" s="22">
        <f t="shared" ref="J345:V345" si="130">$F345*J332</f>
        <v>0.36049999999999999</v>
      </c>
      <c r="K345" s="22">
        <f t="shared" si="130"/>
        <v>0.37131499999999995</v>
      </c>
      <c r="L345" s="22">
        <f t="shared" si="130"/>
        <v>0.38245445</v>
      </c>
      <c r="M345" s="22">
        <f t="shared" si="130"/>
        <v>0.39392808350000003</v>
      </c>
      <c r="N345" s="22">
        <f t="shared" si="130"/>
        <v>0.40574592600499998</v>
      </c>
      <c r="O345" s="22">
        <f t="shared" si="130"/>
        <v>0.41791830378515005</v>
      </c>
      <c r="P345" s="22">
        <f t="shared" si="130"/>
        <v>0.43045585289870453</v>
      </c>
      <c r="Q345" s="22">
        <f t="shared" si="130"/>
        <v>0.44336952848566569</v>
      </c>
      <c r="R345" s="22">
        <f t="shared" si="130"/>
        <v>0.4566706143402357</v>
      </c>
      <c r="S345" s="22">
        <f t="shared" si="130"/>
        <v>0.47037073277044272</v>
      </c>
      <c r="T345" s="22">
        <f t="shared" si="130"/>
        <v>0.48448185475355604</v>
      </c>
      <c r="U345" s="22">
        <f t="shared" si="130"/>
        <v>0.49901631039616273</v>
      </c>
      <c r="V345" s="22">
        <f t="shared" si="130"/>
        <v>0.51398679970804761</v>
      </c>
    </row>
    <row r="346" spans="2:22">
      <c r="B346" t="s">
        <v>499</v>
      </c>
      <c r="F346" s="72">
        <f>Input!J323</f>
        <v>0.24578808914</v>
      </c>
      <c r="G346"/>
      <c r="J346" s="22">
        <f t="shared" ref="J346:V346" si="131">$F346*J333</f>
        <v>0.25316173181419999</v>
      </c>
      <c r="K346" s="22">
        <f t="shared" si="131"/>
        <v>0.26075658376862598</v>
      </c>
      <c r="L346" s="22">
        <f t="shared" si="131"/>
        <v>0.26857928128168479</v>
      </c>
      <c r="M346" s="22">
        <f t="shared" si="131"/>
        <v>0.27663665972013535</v>
      </c>
      <c r="N346" s="22">
        <f t="shared" si="131"/>
        <v>0.28493575951173938</v>
      </c>
      <c r="O346" s="22">
        <f t="shared" si="131"/>
        <v>0.29348383229709157</v>
      </c>
      <c r="P346" s="22">
        <f t="shared" si="131"/>
        <v>0.30228834726600434</v>
      </c>
      <c r="Q346" s="22">
        <f t="shared" si="131"/>
        <v>0.3113569976839845</v>
      </c>
      <c r="R346" s="22">
        <f t="shared" si="131"/>
        <v>0.32069770761450406</v>
      </c>
      <c r="S346" s="22">
        <f t="shared" si="131"/>
        <v>0.33031863884293916</v>
      </c>
      <c r="T346" s="22">
        <f t="shared" si="131"/>
        <v>0.34022819800822734</v>
      </c>
      <c r="U346" s="22">
        <f t="shared" si="131"/>
        <v>0.35043504394847419</v>
      </c>
      <c r="V346" s="22">
        <f t="shared" si="131"/>
        <v>0.36094809526692845</v>
      </c>
    </row>
    <row r="347" spans="2:22">
      <c r="B347" t="s">
        <v>503</v>
      </c>
      <c r="F347" s="72">
        <f>Input!J324</f>
        <v>0.12710661315000002</v>
      </c>
      <c r="G347"/>
      <c r="J347" s="22">
        <f t="shared" ref="J347:V347" si="132">$F347*J334</f>
        <v>0.12964874541300003</v>
      </c>
      <c r="K347" s="22">
        <f t="shared" si="132"/>
        <v>0.13224172032126003</v>
      </c>
      <c r="L347" s="88">
        <f t="shared" si="132"/>
        <v>0.13488655472768521</v>
      </c>
      <c r="M347" s="22">
        <f t="shared" si="132"/>
        <v>0.13758428582223892</v>
      </c>
      <c r="N347" s="88">
        <f t="shared" si="132"/>
        <v>0.14033597153868371</v>
      </c>
      <c r="O347" s="22">
        <f t="shared" si="132"/>
        <v>0.14314269096945739</v>
      </c>
      <c r="P347" s="22">
        <f t="shared" si="132"/>
        <v>0.14600554478884653</v>
      </c>
      <c r="Q347" s="22">
        <f t="shared" si="132"/>
        <v>0.14892565568462349</v>
      </c>
      <c r="R347" s="22">
        <f t="shared" si="132"/>
        <v>0.15190416879831595</v>
      </c>
      <c r="S347" s="22">
        <f t="shared" si="132"/>
        <v>0.15494225217428226</v>
      </c>
      <c r="T347" s="22">
        <f t="shared" si="132"/>
        <v>0.15804109721776791</v>
      </c>
      <c r="U347" s="22">
        <f t="shared" si="132"/>
        <v>0.16120191916212326</v>
      </c>
      <c r="V347" s="22">
        <f t="shared" si="132"/>
        <v>0.16442595754536571</v>
      </c>
    </row>
    <row r="348" spans="2:22">
      <c r="B348" t="s">
        <v>506</v>
      </c>
      <c r="F348" s="72">
        <f>Input!J325</f>
        <v>4.7444699999999999E-2</v>
      </c>
      <c r="G348"/>
      <c r="J348" s="22">
        <f t="shared" ref="J348:V348" si="133">$F348*J335</f>
        <v>4.8868041000000001E-2</v>
      </c>
      <c r="K348" s="22">
        <f t="shared" si="133"/>
        <v>5.033408223E-2</v>
      </c>
      <c r="L348" s="22">
        <f t="shared" si="133"/>
        <v>5.1844104696899998E-2</v>
      </c>
      <c r="M348" s="22">
        <f t="shared" si="133"/>
        <v>5.3399427837807004E-2</v>
      </c>
      <c r="N348" s="22">
        <f t="shared" si="133"/>
        <v>5.500141067294121E-2</v>
      </c>
      <c r="O348" s="22">
        <f t="shared" si="133"/>
        <v>5.6651452993129452E-2</v>
      </c>
      <c r="P348" s="22">
        <f t="shared" si="133"/>
        <v>5.8350996582923337E-2</v>
      </c>
      <c r="Q348" s="22">
        <f t="shared" si="133"/>
        <v>6.010152648041104E-2</v>
      </c>
      <c r="R348" s="22">
        <f t="shared" si="133"/>
        <v>6.1904572274823377E-2</v>
      </c>
      <c r="S348" s="22">
        <f t="shared" si="133"/>
        <v>6.3761709443068068E-2</v>
      </c>
      <c r="T348" s="22">
        <f t="shared" si="133"/>
        <v>6.5674560726360118E-2</v>
      </c>
      <c r="U348" s="22">
        <f t="shared" si="133"/>
        <v>6.764479754815092E-2</v>
      </c>
      <c r="V348" s="22">
        <f t="shared" si="133"/>
        <v>6.9674141474595455E-2</v>
      </c>
    </row>
    <row r="349" spans="2:22">
      <c r="B349" t="s">
        <v>500</v>
      </c>
      <c r="F349" s="72">
        <f>Input!J326</f>
        <v>2.0640441999999998E-2</v>
      </c>
      <c r="G349"/>
      <c r="J349" s="22">
        <f t="shared" ref="J349:V349" si="134">$F349*J336</f>
        <v>2.1053250839999999E-2</v>
      </c>
      <c r="K349" s="22">
        <f t="shared" si="134"/>
        <v>2.14743158568E-2</v>
      </c>
      <c r="L349" s="22">
        <f t="shared" si="134"/>
        <v>2.1903802173935998E-2</v>
      </c>
      <c r="M349" s="22">
        <f t="shared" si="134"/>
        <v>2.2341878217414717E-2</v>
      </c>
      <c r="N349" s="22">
        <f t="shared" si="134"/>
        <v>2.2788715781763013E-2</v>
      </c>
      <c r="O349" s="22">
        <f t="shared" si="134"/>
        <v>2.3244490097398273E-2</v>
      </c>
      <c r="P349" s="22">
        <f t="shared" si="134"/>
        <v>2.3709379899346239E-2</v>
      </c>
      <c r="Q349" s="22">
        <f t="shared" si="134"/>
        <v>2.4183567497333167E-2</v>
      </c>
      <c r="R349" s="22">
        <f t="shared" si="134"/>
        <v>2.4667238847279831E-2</v>
      </c>
      <c r="S349" s="22">
        <f t="shared" si="134"/>
        <v>2.5160583624225429E-2</v>
      </c>
      <c r="T349" s="22">
        <f t="shared" si="134"/>
        <v>2.5663795296709934E-2</v>
      </c>
      <c r="U349" s="22">
        <f t="shared" si="134"/>
        <v>2.6177071202644134E-2</v>
      </c>
      <c r="V349" s="22">
        <f t="shared" si="134"/>
        <v>2.6700612626697016E-2</v>
      </c>
    </row>
    <row r="350" spans="2:22">
      <c r="B350" t="s">
        <v>504</v>
      </c>
      <c r="F350" s="72">
        <f>Input!J327</f>
        <v>1.7084203999999999E-2</v>
      </c>
      <c r="G350"/>
      <c r="J350" s="22">
        <f t="shared" ref="J350:V350" si="135">$F350*J337</f>
        <v>1.742588808E-2</v>
      </c>
      <c r="K350" s="22">
        <f t="shared" si="135"/>
        <v>1.7774405841599998E-2</v>
      </c>
      <c r="L350" s="22">
        <f t="shared" si="135"/>
        <v>1.8129893958431998E-2</v>
      </c>
      <c r="M350" s="22">
        <f t="shared" si="135"/>
        <v>1.8492491837600638E-2</v>
      </c>
      <c r="N350" s="22">
        <f t="shared" si="135"/>
        <v>1.8862341674352651E-2</v>
      </c>
      <c r="O350" s="22">
        <f t="shared" si="135"/>
        <v>1.9239588507839706E-2</v>
      </c>
      <c r="P350" s="22">
        <f t="shared" si="135"/>
        <v>1.9624380277996498E-2</v>
      </c>
      <c r="Q350" s="22">
        <f t="shared" si="135"/>
        <v>2.001686788355643E-2</v>
      </c>
      <c r="R350" s="22">
        <f t="shared" si="135"/>
        <v>2.041720524122756E-2</v>
      </c>
      <c r="S350" s="22">
        <f t="shared" si="135"/>
        <v>2.0825549346052113E-2</v>
      </c>
      <c r="T350" s="22">
        <f t="shared" si="135"/>
        <v>2.1242060332973153E-2</v>
      </c>
      <c r="U350" s="22">
        <f t="shared" si="135"/>
        <v>2.1666901539632615E-2</v>
      </c>
      <c r="V350" s="22">
        <f t="shared" si="135"/>
        <v>2.2100239570425267E-2</v>
      </c>
    </row>
    <row r="351" spans="2:22">
      <c r="B351" t="s">
        <v>502</v>
      </c>
      <c r="F351" s="72">
        <f>Input!J328</f>
        <v>1.29E-2</v>
      </c>
      <c r="G351"/>
      <c r="J351" s="22">
        <f t="shared" ref="J351:V351" si="136">$F351*J338</f>
        <v>1.3158E-2</v>
      </c>
      <c r="K351" s="22">
        <f t="shared" si="136"/>
        <v>1.342116E-2</v>
      </c>
      <c r="L351" s="22">
        <f t="shared" si="136"/>
        <v>1.3689583199999999E-2</v>
      </c>
      <c r="M351" s="22">
        <f t="shared" si="136"/>
        <v>1.3963374863999999E-2</v>
      </c>
      <c r="N351" s="22">
        <f t="shared" si="136"/>
        <v>1.4242642361280001E-2</v>
      </c>
      <c r="O351" s="22">
        <f t="shared" si="136"/>
        <v>1.4527495208505601E-2</v>
      </c>
      <c r="P351" s="22">
        <f t="shared" si="136"/>
        <v>1.4818045112675713E-2</v>
      </c>
      <c r="Q351" s="22">
        <f t="shared" si="136"/>
        <v>1.5114406014929228E-2</v>
      </c>
      <c r="R351" s="22">
        <f t="shared" si="136"/>
        <v>1.5416694135227813E-2</v>
      </c>
      <c r="S351" s="22">
        <f t="shared" si="136"/>
        <v>1.5725028017932369E-2</v>
      </c>
      <c r="T351" s="22">
        <f t="shared" si="136"/>
        <v>1.6039528578291017E-2</v>
      </c>
      <c r="U351" s="22">
        <f t="shared" si="136"/>
        <v>1.6360319149856837E-2</v>
      </c>
      <c r="V351" s="22">
        <f t="shared" si="136"/>
        <v>1.6687525532853971E-2</v>
      </c>
    </row>
    <row r="352" spans="2:22">
      <c r="G352"/>
    </row>
    <row r="353" spans="2:22">
      <c r="B353" s="2" t="s">
        <v>492</v>
      </c>
      <c r="G353"/>
      <c r="J353" s="22">
        <f>SUM(J347,J268)</f>
        <v>40.958825604243003</v>
      </c>
      <c r="K353" s="22">
        <f t="shared" ref="K353:V353" si="137">SUM(K347,K268)</f>
        <v>40.961418579151264</v>
      </c>
      <c r="L353" s="22">
        <f t="shared" si="137"/>
        <v>41.964063413557689</v>
      </c>
      <c r="M353" s="22">
        <f t="shared" si="137"/>
        <v>41.966761144652239</v>
      </c>
      <c r="N353" s="22">
        <f t="shared" si="137"/>
        <v>41.969512830368686</v>
      </c>
      <c r="O353" s="22">
        <f t="shared" si="137"/>
        <v>42.972319549799458</v>
      </c>
      <c r="P353" s="22">
        <f t="shared" si="137"/>
        <v>42.975182403618852</v>
      </c>
      <c r="Q353" s="22">
        <f t="shared" si="137"/>
        <v>42.978102514514624</v>
      </c>
      <c r="R353" s="22">
        <f t="shared" si="137"/>
        <v>43.981081027628321</v>
      </c>
      <c r="S353" s="22">
        <f t="shared" si="137"/>
        <v>43.984119111004283</v>
      </c>
      <c r="T353" s="22">
        <f t="shared" si="137"/>
        <v>43.987217956047772</v>
      </c>
      <c r="U353" s="22">
        <f t="shared" si="137"/>
        <v>43.990378777992127</v>
      </c>
      <c r="V353" s="22">
        <f t="shared" si="137"/>
        <v>43.993602816375372</v>
      </c>
    </row>
    <row r="354" spans="2:22">
      <c r="G354"/>
    </row>
    <row r="355" spans="2:22" ht="24" thickBot="1">
      <c r="B355" s="14" t="s">
        <v>294</v>
      </c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</row>
    <row r="356" spans="2:22">
      <c r="G356"/>
    </row>
    <row r="357" spans="2:22">
      <c r="B357" t="s">
        <v>37</v>
      </c>
      <c r="F357" s="19">
        <v>2025</v>
      </c>
      <c r="G357"/>
      <c r="J357" s="13">
        <f t="shared" ref="J357:V357" si="138">IF(J8&lt;F357,0,1)*J12</f>
        <v>0</v>
      </c>
      <c r="K357" s="13">
        <f t="shared" si="138"/>
        <v>1</v>
      </c>
      <c r="L357" s="13">
        <f t="shared" si="138"/>
        <v>1</v>
      </c>
      <c r="M357" s="13">
        <f t="shared" si="138"/>
        <v>1</v>
      </c>
      <c r="N357" s="13">
        <f t="shared" si="138"/>
        <v>1</v>
      </c>
      <c r="O357" s="13">
        <f t="shared" si="138"/>
        <v>1</v>
      </c>
      <c r="P357" s="13">
        <f t="shared" si="138"/>
        <v>1</v>
      </c>
      <c r="Q357" s="13">
        <f t="shared" si="138"/>
        <v>1</v>
      </c>
      <c r="R357" s="13">
        <f t="shared" si="138"/>
        <v>1</v>
      </c>
      <c r="S357" s="13">
        <f t="shared" si="138"/>
        <v>1</v>
      </c>
      <c r="T357" s="13">
        <f t="shared" si="138"/>
        <v>1</v>
      </c>
      <c r="U357" s="13">
        <f t="shared" si="138"/>
        <v>1</v>
      </c>
      <c r="V357" s="13">
        <f t="shared" si="138"/>
        <v>1</v>
      </c>
    </row>
    <row r="358" spans="2:22">
      <c r="G358"/>
    </row>
    <row r="359" spans="2:22" ht="15.75">
      <c r="B359" s="15" t="s">
        <v>537</v>
      </c>
      <c r="G359"/>
    </row>
    <row r="360" spans="2:22" ht="15.75">
      <c r="B360" s="41" t="s">
        <v>511</v>
      </c>
      <c r="F360" s="19">
        <v>2025</v>
      </c>
      <c r="G360"/>
      <c r="I360">
        <v>1</v>
      </c>
      <c r="J360" s="77">
        <f>IF(J$8&lt;$F360,0,IF(J$8=$F360,1,I360*(1+Input!K400)*J$12))</f>
        <v>0</v>
      </c>
      <c r="K360" s="77">
        <f>IF(K$8&lt;$F360,0,IF(K$8=$F360,1,J360*(1+Input!L400)*K$12))</f>
        <v>1</v>
      </c>
      <c r="L360" s="70">
        <f>IF(L$8&lt;$F360,0,IF(L$8=$F360,1,K360*(1+Input!M400)*L$12))</f>
        <v>1.03</v>
      </c>
      <c r="M360" s="70">
        <f>IF(M$8&lt;$F360,0,IF(M$8=$F360,1,L360*(1+Input!N400)*M$12))</f>
        <v>1.0609</v>
      </c>
      <c r="N360" s="77">
        <f>IF(N$8&lt;$F360,0,IF(N$8=$F360,1,M360*(1+Input!O400)*N$12))</f>
        <v>1.092727</v>
      </c>
      <c r="O360" s="77">
        <f>IF(O$8&lt;$F360,0,IF(O$8=$F360,1,N360*(1+Input!P400)*O$12))</f>
        <v>1.1255088100000001</v>
      </c>
      <c r="P360" s="70">
        <f>IF(P$8&lt;$F360,0,IF(P$8=$F360,1,O360*(1+Input!Q400)*P$12))</f>
        <v>1.1592740743000001</v>
      </c>
      <c r="Q360" s="77">
        <f>IF(Q$8&lt;$F360,0,IF(Q$8=$F360,1,P360*(1+Input!R400)*Q$12))</f>
        <v>1.1940522965290001</v>
      </c>
      <c r="R360" s="77">
        <f>IF(R$8&lt;$F360,0,IF(R$8=$F360,1,Q360*(1+Input!S400)*R$12))</f>
        <v>1.2298738654248702</v>
      </c>
      <c r="S360" s="70">
        <f>IF(S$8&lt;$F360,0,IF(S$8=$F360,1,R360*(1+Input!T400)*S$12))</f>
        <v>1.2667700813876164</v>
      </c>
      <c r="T360" s="70">
        <f>IF(T$8&lt;$F360,0,IF(T$8=$F360,1,S360*(1+Input!U400)*T$12))</f>
        <v>1.3047731838292449</v>
      </c>
      <c r="U360" s="70">
        <f>IF(U$8&lt;$F360,0,IF(U$8=$F360,1,T360*(1+Input!V400)*U$12))</f>
        <v>1.3439163793441222</v>
      </c>
      <c r="V360" s="70">
        <f>IF(V$8&lt;$F360,0,IF(V$8=$F360,1,U360*(1+Input!W400)*V$12))</f>
        <v>1.3842338707244459</v>
      </c>
    </row>
    <row r="361" spans="2:22">
      <c r="B361" s="407" t="s">
        <v>407</v>
      </c>
      <c r="F361" s="6">
        <f>Input!J405</f>
        <v>2449985.568</v>
      </c>
      <c r="G361" s="17" t="s">
        <v>315</v>
      </c>
      <c r="J361">
        <f t="shared" ref="J361:V361" si="139">J360*$F361*J$12</f>
        <v>0</v>
      </c>
      <c r="K361">
        <f t="shared" si="139"/>
        <v>2449985.568</v>
      </c>
      <c r="L361">
        <f t="shared" si="139"/>
        <v>2523485.1350400001</v>
      </c>
      <c r="M361">
        <f t="shared" si="139"/>
        <v>2599189.6890912</v>
      </c>
      <c r="N361">
        <f t="shared" si="139"/>
        <v>2677165.3797639362</v>
      </c>
      <c r="O361">
        <f t="shared" si="139"/>
        <v>2757480.3411568543</v>
      </c>
      <c r="P361">
        <f t="shared" si="139"/>
        <v>2840204.7513915598</v>
      </c>
      <c r="Q361">
        <f t="shared" si="139"/>
        <v>2925410.8939333069</v>
      </c>
      <c r="R361">
        <f t="shared" si="139"/>
        <v>3013173.220751306</v>
      </c>
      <c r="S361">
        <f t="shared" si="139"/>
        <v>3103568.4173738454</v>
      </c>
      <c r="T361">
        <f t="shared" si="139"/>
        <v>3196675.4698950611</v>
      </c>
      <c r="U361">
        <f t="shared" si="139"/>
        <v>3292575.7339919126</v>
      </c>
      <c r="V361" s="462">
        <f t="shared" si="139"/>
        <v>3391353.00601167</v>
      </c>
    </row>
    <row r="362" spans="2:22">
      <c r="B362" s="407" t="s">
        <v>465</v>
      </c>
      <c r="J362">
        <f>Input!K407</f>
        <v>0</v>
      </c>
      <c r="K362">
        <f>Input!L407</f>
        <v>40944</v>
      </c>
      <c r="L362">
        <f>Input!M407</f>
        <v>40944</v>
      </c>
      <c r="M362">
        <f>Input!N407</f>
        <v>49132.80000000001</v>
      </c>
      <c r="N362">
        <f>Input!O407</f>
        <v>49132.80000000001</v>
      </c>
      <c r="O362">
        <f>Input!P407</f>
        <v>54046.080000000002</v>
      </c>
      <c r="P362">
        <f>Input!Q407</f>
        <v>54046.080000000002</v>
      </c>
      <c r="Q362">
        <f>Input!R407</f>
        <v>57288.844800000006</v>
      </c>
      <c r="R362">
        <f>Input!S407</f>
        <v>57288.844800000006</v>
      </c>
      <c r="S362">
        <f>Input!T407</f>
        <v>60726.175488000008</v>
      </c>
      <c r="T362">
        <f>Input!U407</f>
        <v>60726.175488000008</v>
      </c>
      <c r="U362">
        <f>Input!V407</f>
        <v>60726.175488000008</v>
      </c>
      <c r="V362">
        <f>Input!W407</f>
        <v>60726.175488000008</v>
      </c>
    </row>
    <row r="363" spans="2:22">
      <c r="B363" s="28" t="s">
        <v>9</v>
      </c>
      <c r="C363" s="28"/>
      <c r="D363" s="28"/>
      <c r="E363" s="28"/>
      <c r="F363" s="28"/>
      <c r="G363" s="28"/>
      <c r="H363" s="28"/>
      <c r="I363" s="48">
        <f>SUM(J363:V363)</f>
        <v>1894.1025883271418</v>
      </c>
      <c r="J363" s="459">
        <f t="shared" ref="J363:V363" si="140">J361*J362/Billion</f>
        <v>0</v>
      </c>
      <c r="K363" s="28">
        <f t="shared" si="140"/>
        <v>100.31220909619201</v>
      </c>
      <c r="L363" s="28">
        <f t="shared" si="140"/>
        <v>103.32157536907776</v>
      </c>
      <c r="M363" s="28">
        <f t="shared" si="140"/>
        <v>127.70546715618015</v>
      </c>
      <c r="N363" s="28">
        <f t="shared" si="140"/>
        <v>131.53663117086555</v>
      </c>
      <c r="O363" s="28">
        <f t="shared" si="140"/>
        <v>149.03100311659063</v>
      </c>
      <c r="P363" s="28">
        <f t="shared" si="140"/>
        <v>153.50193321008834</v>
      </c>
      <c r="Q363" s="28">
        <f t="shared" si="140"/>
        <v>167.59341067877452</v>
      </c>
      <c r="R363" s="28">
        <f t="shared" si="140"/>
        <v>172.62121299913773</v>
      </c>
      <c r="S363" s="28">
        <f t="shared" si="140"/>
        <v>188.46784035245858</v>
      </c>
      <c r="T363" s="28">
        <f t="shared" si="140"/>
        <v>194.12187556303238</v>
      </c>
      <c r="U363" s="28">
        <f t="shared" si="140"/>
        <v>199.94553182992331</v>
      </c>
      <c r="V363" s="28">
        <f t="shared" si="140"/>
        <v>205.94389778482102</v>
      </c>
    </row>
    <row r="364" spans="2:22">
      <c r="G364"/>
      <c r="I364" s="21"/>
      <c r="K364" s="21"/>
      <c r="L364" s="21"/>
      <c r="M364" s="21"/>
      <c r="N364" s="21"/>
    </row>
    <row r="365" spans="2:22">
      <c r="B365" t="s">
        <v>471</v>
      </c>
      <c r="G365"/>
      <c r="I365" s="21"/>
      <c r="J365">
        <f>SUM(J361)</f>
        <v>0</v>
      </c>
      <c r="K365" s="462">
        <f t="shared" ref="K365:V365" si="141">SUM(K361)</f>
        <v>2449985.568</v>
      </c>
      <c r="L365">
        <f t="shared" si="141"/>
        <v>2523485.1350400001</v>
      </c>
      <c r="M365">
        <f t="shared" si="141"/>
        <v>2599189.6890912</v>
      </c>
      <c r="N365">
        <f t="shared" si="141"/>
        <v>2677165.3797639362</v>
      </c>
      <c r="O365">
        <f t="shared" si="141"/>
        <v>2757480.3411568543</v>
      </c>
      <c r="P365">
        <f t="shared" si="141"/>
        <v>2840204.7513915598</v>
      </c>
      <c r="Q365">
        <f t="shared" si="141"/>
        <v>2925410.8939333069</v>
      </c>
      <c r="R365">
        <f t="shared" si="141"/>
        <v>3013173.220751306</v>
      </c>
      <c r="S365">
        <f t="shared" si="141"/>
        <v>3103568.4173738454</v>
      </c>
      <c r="T365">
        <f t="shared" si="141"/>
        <v>3196675.4698950611</v>
      </c>
      <c r="U365">
        <f t="shared" si="141"/>
        <v>3292575.7339919126</v>
      </c>
      <c r="V365">
        <f t="shared" si="141"/>
        <v>3391353.00601167</v>
      </c>
    </row>
    <row r="366" spans="2:22">
      <c r="B366" s="483" t="s">
        <v>547</v>
      </c>
      <c r="F366" s="39">
        <v>0.2</v>
      </c>
      <c r="G366"/>
      <c r="I366" s="21"/>
      <c r="J366">
        <f>-$F$366*J363</f>
        <v>0</v>
      </c>
      <c r="K366">
        <f t="shared" ref="K366:V366" si="142">-$F$366*K363</f>
        <v>-20.062441819238401</v>
      </c>
      <c r="L366">
        <f t="shared" si="142"/>
        <v>-20.664315073815555</v>
      </c>
      <c r="M366">
        <f t="shared" si="142"/>
        <v>-25.541093431236032</v>
      </c>
      <c r="N366">
        <f t="shared" si="142"/>
        <v>-26.307326234173111</v>
      </c>
      <c r="O366">
        <f t="shared" si="142"/>
        <v>-29.806200623318126</v>
      </c>
      <c r="P366">
        <f t="shared" si="142"/>
        <v>-30.700386642017669</v>
      </c>
      <c r="Q366">
        <f t="shared" si="142"/>
        <v>-33.518682135754908</v>
      </c>
      <c r="R366">
        <f t="shared" si="142"/>
        <v>-34.524242599827545</v>
      </c>
      <c r="S366">
        <f t="shared" si="142"/>
        <v>-37.693568070491715</v>
      </c>
      <c r="T366">
        <f t="shared" si="142"/>
        <v>-38.824375112606475</v>
      </c>
      <c r="U366">
        <f t="shared" si="142"/>
        <v>-39.989106365984668</v>
      </c>
      <c r="V366">
        <f t="shared" si="142"/>
        <v>-41.188779556964207</v>
      </c>
    </row>
    <row r="367" spans="2:22" ht="15.75">
      <c r="B367" s="15" t="s">
        <v>473</v>
      </c>
      <c r="G367"/>
      <c r="I367" s="21"/>
      <c r="J367">
        <f>SUM(J381,J386,J391,J396,)</f>
        <v>0</v>
      </c>
      <c r="K367" s="462">
        <f t="shared" ref="K367:V367" si="143">SUM(K381,K386,K391,K396,)</f>
        <v>9.5149427163807232</v>
      </c>
      <c r="L367" s="462">
        <f t="shared" si="143"/>
        <v>10.031008263808308</v>
      </c>
      <c r="M367">
        <f t="shared" si="143"/>
        <v>10.578502203074235</v>
      </c>
      <c r="N367">
        <f t="shared" si="143"/>
        <v>11.159338523241455</v>
      </c>
      <c r="O367">
        <f t="shared" si="143"/>
        <v>11.775547775306862</v>
      </c>
      <c r="P367">
        <f t="shared" si="143"/>
        <v>12.429284170823049</v>
      </c>
      <c r="Q367">
        <f t="shared" si="143"/>
        <v>13.122833112826175</v>
      </c>
      <c r="R367">
        <f t="shared" si="143"/>
        <v>13.85861918539729</v>
      </c>
      <c r="S367">
        <f t="shared" si="143"/>
        <v>14.639214629787984</v>
      </c>
      <c r="T367">
        <f t="shared" si="143"/>
        <v>15.467348336742075</v>
      </c>
      <c r="U367">
        <f t="shared" si="143"/>
        <v>16.345915386449665</v>
      </c>
      <c r="V367">
        <f t="shared" si="143"/>
        <v>17.277987169484451</v>
      </c>
    </row>
    <row r="368" spans="2:22">
      <c r="B368" s="2" t="s">
        <v>513</v>
      </c>
      <c r="E368" s="58" t="s">
        <v>514</v>
      </c>
      <c r="F368" s="58" t="s">
        <v>515</v>
      </c>
      <c r="G368"/>
      <c r="I368" s="22"/>
    </row>
    <row r="369" spans="2:22">
      <c r="B369" s="407" t="s">
        <v>516</v>
      </c>
      <c r="E369" s="16">
        <f>Input!J428</f>
        <v>20</v>
      </c>
      <c r="F369" s="30">
        <f>SUM(Input!$J$420:$L$420)</f>
        <v>12.8</v>
      </c>
      <c r="G369" s="17" t="s">
        <v>315</v>
      </c>
    </row>
    <row r="370" spans="2:22">
      <c r="B370" s="407" t="s">
        <v>517</v>
      </c>
      <c r="F370" s="21">
        <f>Input!J425</f>
        <v>0.52678707711330686</v>
      </c>
      <c r="G370" s="17" t="s">
        <v>315</v>
      </c>
    </row>
    <row r="371" spans="2:22">
      <c r="B371" s="28" t="s">
        <v>476</v>
      </c>
      <c r="C371" s="28"/>
      <c r="D371" s="28"/>
      <c r="E371" s="28"/>
      <c r="F371" s="28"/>
      <c r="G371" s="28"/>
      <c r="H371" s="28"/>
      <c r="I371" s="49">
        <f>SUM(J371:V371)</f>
        <v>65.80371309502415</v>
      </c>
      <c r="J371" s="47">
        <f t="shared" ref="J371:V371" si="144">($F369*$F370*Million)/$E369*USD_IDR/Billion*J$357</f>
        <v>0</v>
      </c>
      <c r="K371" s="47">
        <f t="shared" si="144"/>
        <v>5.4836427579186795</v>
      </c>
      <c r="L371" s="47">
        <f t="shared" si="144"/>
        <v>5.4836427579186795</v>
      </c>
      <c r="M371" s="47">
        <f t="shared" si="144"/>
        <v>5.4836427579186795</v>
      </c>
      <c r="N371" s="47">
        <f t="shared" si="144"/>
        <v>5.4836427579186795</v>
      </c>
      <c r="O371" s="47">
        <f t="shared" si="144"/>
        <v>5.4836427579186795</v>
      </c>
      <c r="P371" s="47">
        <f t="shared" si="144"/>
        <v>5.4836427579186795</v>
      </c>
      <c r="Q371" s="47">
        <f t="shared" si="144"/>
        <v>5.4836427579186795</v>
      </c>
      <c r="R371" s="47">
        <f t="shared" si="144"/>
        <v>5.4836427579186795</v>
      </c>
      <c r="S371" s="47">
        <f t="shared" si="144"/>
        <v>5.4836427579186795</v>
      </c>
      <c r="T371" s="47">
        <f t="shared" si="144"/>
        <v>5.4836427579186795</v>
      </c>
      <c r="U371" s="47">
        <f t="shared" si="144"/>
        <v>5.4836427579186795</v>
      </c>
      <c r="V371" s="47">
        <f t="shared" si="144"/>
        <v>5.4836427579186795</v>
      </c>
    </row>
    <row r="372" spans="2:22">
      <c r="G372"/>
    </row>
    <row r="373" spans="2:22">
      <c r="B373" s="2" t="s">
        <v>518</v>
      </c>
      <c r="E373" s="58" t="s">
        <v>514</v>
      </c>
      <c r="F373" s="58" t="s">
        <v>515</v>
      </c>
      <c r="G373"/>
      <c r="I373" s="22"/>
    </row>
    <row r="374" spans="2:22">
      <c r="B374" s="407" t="s">
        <v>516</v>
      </c>
      <c r="E374" s="16">
        <f>Input!J429</f>
        <v>8</v>
      </c>
      <c r="F374" s="30">
        <f>SUM(Input!$J$420:$L$420)</f>
        <v>12.8</v>
      </c>
      <c r="G374" s="17" t="s">
        <v>315</v>
      </c>
    </row>
    <row r="375" spans="2:22">
      <c r="B375" s="407" t="s">
        <v>517</v>
      </c>
      <c r="F375" s="73">
        <f>Input!J426</f>
        <v>0.47321292288669314</v>
      </c>
      <c r="G375" s="17" t="s">
        <v>315</v>
      </c>
    </row>
    <row r="376" spans="2:22">
      <c r="B376" s="28" t="s">
        <v>476</v>
      </c>
      <c r="C376" s="28"/>
      <c r="D376" s="28"/>
      <c r="E376" s="28"/>
      <c r="F376" s="28"/>
      <c r="G376" s="28"/>
      <c r="H376" s="28"/>
      <c r="I376" s="49">
        <f>SUM(J376:V376)</f>
        <v>147.77871726243967</v>
      </c>
      <c r="J376" s="47">
        <f t="shared" ref="J376:V376" si="145">($F374*$F375*Million)/$E374*USD_IDR/Billion*J$357</f>
        <v>0</v>
      </c>
      <c r="K376" s="47">
        <f t="shared" si="145"/>
        <v>12.314893105203303</v>
      </c>
      <c r="L376" s="47">
        <f t="shared" si="145"/>
        <v>12.314893105203303</v>
      </c>
      <c r="M376" s="47">
        <f t="shared" si="145"/>
        <v>12.314893105203303</v>
      </c>
      <c r="N376" s="47">
        <f t="shared" si="145"/>
        <v>12.314893105203303</v>
      </c>
      <c r="O376" s="47">
        <f t="shared" si="145"/>
        <v>12.314893105203303</v>
      </c>
      <c r="P376" s="47">
        <f t="shared" si="145"/>
        <v>12.314893105203303</v>
      </c>
      <c r="Q376" s="47">
        <f t="shared" si="145"/>
        <v>12.314893105203303</v>
      </c>
      <c r="R376" s="47">
        <f t="shared" si="145"/>
        <v>12.314893105203303</v>
      </c>
      <c r="S376" s="47">
        <f t="shared" si="145"/>
        <v>12.314893105203303</v>
      </c>
      <c r="T376" s="47">
        <f t="shared" si="145"/>
        <v>12.314893105203303</v>
      </c>
      <c r="U376" s="47">
        <f t="shared" si="145"/>
        <v>12.314893105203303</v>
      </c>
      <c r="V376" s="47">
        <f t="shared" si="145"/>
        <v>12.314893105203303</v>
      </c>
    </row>
    <row r="377" spans="2:22">
      <c r="G377"/>
    </row>
    <row r="378" spans="2:22">
      <c r="B378" s="2" t="s">
        <v>481</v>
      </c>
      <c r="G378"/>
    </row>
    <row r="379" spans="2:22">
      <c r="B379" s="407" t="s">
        <v>483</v>
      </c>
      <c r="G379" s="17" t="s">
        <v>485</v>
      </c>
      <c r="J379">
        <f t="shared" ref="J379:V379" si="146">J277</f>
        <v>2017.4871277524769</v>
      </c>
      <c r="K379" s="462">
        <f t="shared" si="146"/>
        <v>2078.0117415850514</v>
      </c>
      <c r="L379">
        <f t="shared" si="146"/>
        <v>2140.3520938326028</v>
      </c>
      <c r="M379">
        <f t="shared" si="146"/>
        <v>2204.5626566475812</v>
      </c>
      <c r="N379">
        <f t="shared" si="146"/>
        <v>2270.6995363470082</v>
      </c>
      <c r="O379">
        <f t="shared" si="146"/>
        <v>2338.8205224374187</v>
      </c>
      <c r="P379">
        <f t="shared" si="146"/>
        <v>2408.9851381105414</v>
      </c>
      <c r="Q379">
        <f t="shared" si="146"/>
        <v>2481.2546922538577</v>
      </c>
      <c r="R379">
        <f t="shared" si="146"/>
        <v>2555.6923330214736</v>
      </c>
      <c r="S379">
        <f t="shared" si="146"/>
        <v>2632.3631030121178</v>
      </c>
      <c r="T379">
        <f t="shared" si="146"/>
        <v>2711.3339961024817</v>
      </c>
      <c r="U379">
        <f t="shared" si="146"/>
        <v>2792.6740159855558</v>
      </c>
      <c r="V379">
        <f t="shared" si="146"/>
        <v>2876.4542364651229</v>
      </c>
    </row>
    <row r="380" spans="2:22">
      <c r="B380" s="407" t="s">
        <v>486</v>
      </c>
      <c r="G380" s="17" t="s">
        <v>315</v>
      </c>
    </row>
    <row r="381" spans="2:22">
      <c r="B381" s="28" t="s">
        <v>480</v>
      </c>
      <c r="C381" s="28"/>
      <c r="D381" s="28"/>
      <c r="E381" s="28"/>
      <c r="F381" s="28"/>
      <c r="G381" s="28"/>
      <c r="H381" s="28"/>
      <c r="I381" s="28"/>
      <c r="J381" s="47">
        <f>J379*J$365/Billion</f>
        <v>0</v>
      </c>
      <c r="K381" s="460">
        <f t="shared" ref="K381:V381" si="147">K379*K$365/Billion</f>
        <v>5.0910987770179217</v>
      </c>
      <c r="L381" s="47">
        <f t="shared" si="147"/>
        <v>5.4011466925383127</v>
      </c>
      <c r="M381" s="47">
        <f t="shared" si="147"/>
        <v>5.730076526113896</v>
      </c>
      <c r="N381" s="47">
        <f t="shared" si="147"/>
        <v>6.0790381865542313</v>
      </c>
      <c r="O381" s="47">
        <f t="shared" si="147"/>
        <v>6.4492516121153862</v>
      </c>
      <c r="P381" s="47">
        <f t="shared" si="147"/>
        <v>6.8420110352932131</v>
      </c>
      <c r="Q381" s="47">
        <f t="shared" si="147"/>
        <v>7.2586895073425701</v>
      </c>
      <c r="R381" s="47">
        <f t="shared" si="147"/>
        <v>7.7007436983397328</v>
      </c>
      <c r="S381" s="47">
        <f t="shared" si="147"/>
        <v>8.1697189895686222</v>
      </c>
      <c r="T381" s="47">
        <f t="shared" si="147"/>
        <v>8.6672548760333541</v>
      </c>
      <c r="U381" s="47">
        <f t="shared" si="147"/>
        <v>9.1950906979837832</v>
      </c>
      <c r="V381" s="47">
        <f t="shared" si="147"/>
        <v>9.7550717214909977</v>
      </c>
    </row>
    <row r="382" spans="2:22">
      <c r="G382"/>
    </row>
    <row r="383" spans="2:22">
      <c r="B383" s="2" t="s">
        <v>538</v>
      </c>
      <c r="G383"/>
    </row>
    <row r="384" spans="2:22">
      <c r="B384" s="407" t="s">
        <v>483</v>
      </c>
      <c r="G384" s="17" t="s">
        <v>485</v>
      </c>
      <c r="J384">
        <f t="shared" ref="J384:V384" si="148">J299</f>
        <v>620.30021925456936</v>
      </c>
      <c r="K384">
        <f t="shared" si="148"/>
        <v>638.9092258322064</v>
      </c>
      <c r="L384">
        <f t="shared" si="148"/>
        <v>658.07650260717264</v>
      </c>
      <c r="M384">
        <f t="shared" si="148"/>
        <v>677.81879768538795</v>
      </c>
      <c r="N384">
        <f t="shared" si="148"/>
        <v>698.15336161594951</v>
      </c>
      <c r="O384">
        <f t="shared" si="148"/>
        <v>719.09796246442806</v>
      </c>
      <c r="P384">
        <f t="shared" si="148"/>
        <v>740.67090133836086</v>
      </c>
      <c r="Q384">
        <f t="shared" si="148"/>
        <v>762.89102837851181</v>
      </c>
      <c r="R384">
        <f t="shared" si="148"/>
        <v>785.77775922986712</v>
      </c>
      <c r="S384">
        <f t="shared" si="148"/>
        <v>809.35109200676311</v>
      </c>
      <c r="T384">
        <f t="shared" si="148"/>
        <v>833.63162476696607</v>
      </c>
      <c r="U384">
        <f t="shared" si="148"/>
        <v>858.64057350997507</v>
      </c>
      <c r="V384">
        <f t="shared" si="148"/>
        <v>884.39979071527432</v>
      </c>
    </row>
    <row r="385" spans="2:22">
      <c r="B385" s="407" t="s">
        <v>486</v>
      </c>
      <c r="G385" s="17" t="s">
        <v>315</v>
      </c>
    </row>
    <row r="386" spans="2:22">
      <c r="B386" s="28" t="s">
        <v>480</v>
      </c>
      <c r="C386" s="28"/>
      <c r="D386" s="28"/>
      <c r="E386" s="28"/>
      <c r="F386" s="28"/>
      <c r="G386" s="28"/>
      <c r="H386" s="28"/>
      <c r="I386" s="28"/>
      <c r="J386" s="47">
        <f>J384*J$365/Billion</f>
        <v>0</v>
      </c>
      <c r="K386" s="47">
        <f t="shared" ref="K386:V386" si="149">K384*K$365/Billion</f>
        <v>1.5653183825509585</v>
      </c>
      <c r="L386" s="47">
        <f t="shared" si="149"/>
        <v>1.6606462720483119</v>
      </c>
      <c r="M386" s="47">
        <f t="shared" si="149"/>
        <v>1.7617796300160544</v>
      </c>
      <c r="N386" s="47">
        <f t="shared" si="149"/>
        <v>1.8690720094840321</v>
      </c>
      <c r="O386" s="47">
        <f t="shared" si="149"/>
        <v>1.98289849486161</v>
      </c>
      <c r="P386" s="47">
        <f t="shared" si="149"/>
        <v>2.1036570131986818</v>
      </c>
      <c r="Q386" s="47">
        <f t="shared" si="149"/>
        <v>2.231769725302482</v>
      </c>
      <c r="R386" s="47">
        <f t="shared" si="149"/>
        <v>2.3676845015734029</v>
      </c>
      <c r="S386" s="47">
        <f t="shared" si="149"/>
        <v>2.5118764877192237</v>
      </c>
      <c r="T386" s="47">
        <f t="shared" si="149"/>
        <v>2.6648497658213244</v>
      </c>
      <c r="U386" s="47">
        <f t="shared" si="149"/>
        <v>2.827139116559843</v>
      </c>
      <c r="V386" s="47">
        <f t="shared" si="149"/>
        <v>2.9993118887583377</v>
      </c>
    </row>
    <row r="387" spans="2:22">
      <c r="G387"/>
    </row>
    <row r="388" spans="2:22">
      <c r="B388" s="2" t="s">
        <v>520</v>
      </c>
      <c r="F388" s="58" t="s">
        <v>515</v>
      </c>
      <c r="G388"/>
      <c r="I388" s="22"/>
    </row>
    <row r="389" spans="2:22">
      <c r="B389" s="407" t="s">
        <v>516</v>
      </c>
      <c r="F389" s="30">
        <f>SUM(Input!$J$420:$L$420)</f>
        <v>12.8</v>
      </c>
      <c r="G389" s="17" t="s">
        <v>315</v>
      </c>
    </row>
    <row r="390" spans="2:22">
      <c r="B390" s="407" t="s">
        <v>517</v>
      </c>
      <c r="F390" s="289">
        <v>5.0000000000000001E-3</v>
      </c>
      <c r="G390" s="17" t="s">
        <v>315</v>
      </c>
    </row>
    <row r="391" spans="2:22">
      <c r="B391" s="28" t="s">
        <v>476</v>
      </c>
      <c r="C391" s="28"/>
      <c r="D391" s="28"/>
      <c r="E391" s="28"/>
      <c r="F391" s="28"/>
      <c r="G391" s="28"/>
      <c r="H391" s="28"/>
      <c r="I391" s="49">
        <f>SUM(J391:V391)</f>
        <v>12.491520000000001</v>
      </c>
      <c r="J391" s="47">
        <f t="shared" ref="J391:V391" si="150">$F$389*$F$390*USD_IDR*Million/Billion*J357</f>
        <v>0</v>
      </c>
      <c r="K391" s="47">
        <f t="shared" si="150"/>
        <v>1.0409600000000001</v>
      </c>
      <c r="L391" s="47">
        <f t="shared" si="150"/>
        <v>1.0409600000000001</v>
      </c>
      <c r="M391" s="47">
        <f t="shared" si="150"/>
        <v>1.0409600000000001</v>
      </c>
      <c r="N391" s="47">
        <f t="shared" si="150"/>
        <v>1.0409600000000001</v>
      </c>
      <c r="O391" s="47">
        <f t="shared" si="150"/>
        <v>1.0409600000000001</v>
      </c>
      <c r="P391" s="47">
        <f t="shared" si="150"/>
        <v>1.0409600000000001</v>
      </c>
      <c r="Q391" s="47">
        <f t="shared" si="150"/>
        <v>1.0409600000000001</v>
      </c>
      <c r="R391" s="47">
        <f t="shared" si="150"/>
        <v>1.0409600000000001</v>
      </c>
      <c r="S391" s="47">
        <f t="shared" si="150"/>
        <v>1.0409600000000001</v>
      </c>
      <c r="T391" s="47">
        <f t="shared" si="150"/>
        <v>1.0409600000000001</v>
      </c>
      <c r="U391" s="47">
        <f t="shared" si="150"/>
        <v>1.0409600000000001</v>
      </c>
      <c r="V391" s="47">
        <f t="shared" si="150"/>
        <v>1.0409600000000001</v>
      </c>
    </row>
    <row r="392" spans="2:22">
      <c r="G392"/>
    </row>
    <row r="393" spans="2:22">
      <c r="B393" s="2" t="s">
        <v>489</v>
      </c>
      <c r="G393"/>
    </row>
    <row r="394" spans="2:22">
      <c r="B394" s="407" t="s">
        <v>483</v>
      </c>
      <c r="G394" s="17" t="s">
        <v>485</v>
      </c>
      <c r="J394">
        <f t="shared" ref="J394:V394" si="151">J288</f>
        <v>720.26006080793991</v>
      </c>
      <c r="K394">
        <f t="shared" si="151"/>
        <v>741.867862632178</v>
      </c>
      <c r="L394">
        <f t="shared" si="151"/>
        <v>764.12389851114347</v>
      </c>
      <c r="M394">
        <f t="shared" si="151"/>
        <v>787.04761546647785</v>
      </c>
      <c r="N394">
        <f t="shared" si="151"/>
        <v>810.65904393047208</v>
      </c>
      <c r="O394">
        <f t="shared" si="151"/>
        <v>834.97881524838624</v>
      </c>
      <c r="P394">
        <f t="shared" si="151"/>
        <v>860.02817970583794</v>
      </c>
      <c r="Q394">
        <f t="shared" si="151"/>
        <v>885.82902509701307</v>
      </c>
      <c r="R394">
        <f t="shared" si="151"/>
        <v>912.40389584992352</v>
      </c>
      <c r="S394">
        <f t="shared" si="151"/>
        <v>939.7760127254212</v>
      </c>
      <c r="T394">
        <f t="shared" si="151"/>
        <v>967.96929310718383</v>
      </c>
      <c r="U394">
        <f t="shared" si="151"/>
        <v>997.00837190039942</v>
      </c>
      <c r="V394">
        <f t="shared" si="151"/>
        <v>1026.9186230574114</v>
      </c>
    </row>
    <row r="395" spans="2:22">
      <c r="B395" s="407" t="s">
        <v>486</v>
      </c>
      <c r="G395" s="17" t="s">
        <v>315</v>
      </c>
    </row>
    <row r="396" spans="2:22">
      <c r="B396" s="28" t="s">
        <v>480</v>
      </c>
      <c r="C396" s="28"/>
      <c r="D396" s="28"/>
      <c r="E396" s="28"/>
      <c r="F396" s="28"/>
      <c r="G396" s="28"/>
      <c r="H396" s="28"/>
      <c r="I396" s="28"/>
      <c r="J396" s="47">
        <f>J394*J$365/Billion</f>
        <v>0</v>
      </c>
      <c r="K396" s="47">
        <f t="shared" ref="K396:V396" si="152">K394*K$365/Billion</f>
        <v>1.8175655568118427</v>
      </c>
      <c r="L396" s="47">
        <f t="shared" si="152"/>
        <v>1.9282552992216841</v>
      </c>
      <c r="M396" s="47">
        <f t="shared" si="152"/>
        <v>2.0456860469442848</v>
      </c>
      <c r="N396" s="47">
        <f t="shared" si="152"/>
        <v>2.1702683272031917</v>
      </c>
      <c r="O396" s="47">
        <f t="shared" si="152"/>
        <v>2.302437668329866</v>
      </c>
      <c r="P396" s="47">
        <f t="shared" si="152"/>
        <v>2.4426561223311554</v>
      </c>
      <c r="Q396" s="47">
        <f t="shared" si="152"/>
        <v>2.5914138801811228</v>
      </c>
      <c r="R396" s="47">
        <f t="shared" si="152"/>
        <v>2.7492309854841532</v>
      </c>
      <c r="S396" s="47">
        <f t="shared" si="152"/>
        <v>2.9166591525001384</v>
      </c>
      <c r="T396" s="47">
        <f t="shared" si="152"/>
        <v>3.0942836948873969</v>
      </c>
      <c r="U396" s="47">
        <f t="shared" si="152"/>
        <v>3.2827255719060391</v>
      </c>
      <c r="V396" s="47">
        <f t="shared" si="152"/>
        <v>3.4826435592351173</v>
      </c>
    </row>
    <row r="397" spans="2:22">
      <c r="G397"/>
    </row>
    <row r="398" spans="2:22" ht="24" thickBot="1">
      <c r="B398" s="14" t="s">
        <v>539</v>
      </c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</row>
    <row r="399" spans="2:22">
      <c r="G399"/>
    </row>
    <row r="400" spans="2:22">
      <c r="B400" t="s">
        <v>37</v>
      </c>
      <c r="F400" s="19">
        <v>2025</v>
      </c>
      <c r="G400"/>
      <c r="J400" s="71">
        <f>IF(J$8&lt;$F400,0,1)*J$12</f>
        <v>0</v>
      </c>
      <c r="K400" s="13">
        <f t="shared" ref="K400:V400" si="153">IF(K$8&lt;$F400,0,1)*K$12</f>
        <v>1</v>
      </c>
      <c r="L400" s="13">
        <f t="shared" si="153"/>
        <v>1</v>
      </c>
      <c r="M400" s="13">
        <f t="shared" si="153"/>
        <v>1</v>
      </c>
      <c r="N400" s="13">
        <f t="shared" si="153"/>
        <v>1</v>
      </c>
      <c r="O400" s="13">
        <f t="shared" si="153"/>
        <v>1</v>
      </c>
      <c r="P400" s="13">
        <f t="shared" si="153"/>
        <v>1</v>
      </c>
      <c r="Q400" s="13">
        <f t="shared" si="153"/>
        <v>1</v>
      </c>
      <c r="R400" s="13">
        <f t="shared" si="153"/>
        <v>1</v>
      </c>
      <c r="S400" s="13">
        <f t="shared" si="153"/>
        <v>1</v>
      </c>
      <c r="T400" s="13">
        <f t="shared" si="153"/>
        <v>1</v>
      </c>
      <c r="U400" s="13">
        <f t="shared" si="153"/>
        <v>1</v>
      </c>
      <c r="V400" s="13">
        <f t="shared" si="153"/>
        <v>1</v>
      </c>
    </row>
    <row r="401" spans="2:22">
      <c r="G401"/>
    </row>
    <row r="402" spans="2:22" ht="15.75">
      <c r="B402" s="15" t="s">
        <v>540</v>
      </c>
      <c r="G402"/>
    </row>
    <row r="403" spans="2:22" ht="15.75">
      <c r="B403" s="41" t="s">
        <v>511</v>
      </c>
      <c r="F403" s="19">
        <v>2025</v>
      </c>
      <c r="G403"/>
      <c r="J403" s="77">
        <f>Calculation_SOEs!J328</f>
        <v>0</v>
      </c>
      <c r="K403" s="70">
        <f>Calculation_SOEs!K328</f>
        <v>1</v>
      </c>
      <c r="L403" s="70">
        <f>Calculation_SOEs!L328</f>
        <v>1.03</v>
      </c>
      <c r="M403" s="70">
        <f>Calculation_SOEs!M328</f>
        <v>1.0609</v>
      </c>
      <c r="N403" s="70">
        <f>Calculation_SOEs!N328</f>
        <v>1.092727</v>
      </c>
      <c r="O403" s="70">
        <f>Calculation_SOEs!O328</f>
        <v>1.1255088100000001</v>
      </c>
      <c r="P403" s="70">
        <f>Calculation_SOEs!P328</f>
        <v>1.1592740743000001</v>
      </c>
      <c r="Q403" s="70">
        <f>Calculation_SOEs!Q328</f>
        <v>1.1940522965290001</v>
      </c>
      <c r="R403" s="70">
        <f>Calculation_SOEs!R328</f>
        <v>1.2298738654248702</v>
      </c>
      <c r="S403" s="70">
        <f>Calculation_SOEs!S328</f>
        <v>1.2667700813876164</v>
      </c>
      <c r="T403" s="77">
        <f>Calculation_SOEs!T328</f>
        <v>1.3047731838292449</v>
      </c>
      <c r="U403" s="70">
        <f>Calculation_SOEs!U328</f>
        <v>1.3439163793441222</v>
      </c>
      <c r="V403" s="70">
        <f>Calculation_SOEs!V328</f>
        <v>1.3842338707244459</v>
      </c>
    </row>
    <row r="404" spans="2:22">
      <c r="B404" s="407" t="s">
        <v>407</v>
      </c>
      <c r="F404" s="16">
        <f>Input!J451</f>
        <v>0</v>
      </c>
      <c r="G404" s="17" t="s">
        <v>315</v>
      </c>
      <c r="J404">
        <f>Input!K439</f>
        <v>0</v>
      </c>
      <c r="K404">
        <f>Input!L439</f>
        <v>2100000</v>
      </c>
      <c r="L404">
        <f>$K$404*L403</f>
        <v>2163000</v>
      </c>
      <c r="M404">
        <f t="shared" ref="M404:V404" si="154">$K$404*M403</f>
        <v>2227890</v>
      </c>
      <c r="N404">
        <f t="shared" si="154"/>
        <v>2294726.7000000002</v>
      </c>
      <c r="O404">
        <f t="shared" si="154"/>
        <v>2363568.5010000002</v>
      </c>
      <c r="P404">
        <f t="shared" si="154"/>
        <v>2434475.5560300001</v>
      </c>
      <c r="Q404">
        <f t="shared" si="154"/>
        <v>2507509.8227109001</v>
      </c>
      <c r="R404">
        <f t="shared" si="154"/>
        <v>2582735.1173922275</v>
      </c>
      <c r="S404">
        <f t="shared" si="154"/>
        <v>2660217.1709139943</v>
      </c>
      <c r="T404">
        <f t="shared" si="154"/>
        <v>2740023.6860414143</v>
      </c>
      <c r="U404">
        <f t="shared" si="154"/>
        <v>2822224.3966226568</v>
      </c>
      <c r="V404">
        <f t="shared" si="154"/>
        <v>2906891.1285213362</v>
      </c>
    </row>
    <row r="405" spans="2:22">
      <c r="B405" s="407" t="s">
        <v>465</v>
      </c>
      <c r="J405">
        <f>Input!K445</f>
        <v>0</v>
      </c>
      <c r="K405">
        <f>Input!L445</f>
        <v>15000</v>
      </c>
      <c r="L405">
        <f>Input!M445</f>
        <v>15000</v>
      </c>
      <c r="M405">
        <f>Input!N445</f>
        <v>15000</v>
      </c>
      <c r="N405">
        <f>Input!O445</f>
        <v>15000</v>
      </c>
      <c r="O405">
        <f>Input!P445</f>
        <v>15000</v>
      </c>
      <c r="P405">
        <f>Input!Q445</f>
        <v>15000</v>
      </c>
      <c r="Q405">
        <f>Input!R445</f>
        <v>15000</v>
      </c>
      <c r="R405">
        <f>Input!S445</f>
        <v>15000</v>
      </c>
      <c r="S405">
        <f>Input!T445</f>
        <v>15000</v>
      </c>
      <c r="T405">
        <f>Input!U445</f>
        <v>15000</v>
      </c>
      <c r="U405">
        <f>Input!V445</f>
        <v>15000</v>
      </c>
      <c r="V405">
        <f>Input!W445</f>
        <v>15000</v>
      </c>
    </row>
    <row r="406" spans="2:22">
      <c r="B406" s="28" t="s">
        <v>9</v>
      </c>
      <c r="C406" s="28"/>
      <c r="D406" s="28"/>
      <c r="E406" s="28"/>
      <c r="F406" s="28"/>
      <c r="G406" s="28"/>
      <c r="H406" s="28"/>
      <c r="I406" s="48">
        <f>SUM(J406:V406)</f>
        <v>447.04893118848793</v>
      </c>
      <c r="J406" s="28">
        <f>J404*J405/Billion</f>
        <v>0</v>
      </c>
      <c r="K406" s="28">
        <f t="shared" ref="K406:V406" si="155">K404*K405/Billion</f>
        <v>31.5</v>
      </c>
      <c r="L406" s="28">
        <f t="shared" si="155"/>
        <v>32.445</v>
      </c>
      <c r="M406" s="28">
        <f t="shared" si="155"/>
        <v>33.418349999999997</v>
      </c>
      <c r="N406" s="28">
        <f t="shared" si="155"/>
        <v>34.420900500000002</v>
      </c>
      <c r="O406" s="28">
        <f t="shared" si="155"/>
        <v>35.453527514999998</v>
      </c>
      <c r="P406" s="28">
        <f t="shared" si="155"/>
        <v>36.517133340450002</v>
      </c>
      <c r="Q406" s="28">
        <f t="shared" si="155"/>
        <v>37.6126473406635</v>
      </c>
      <c r="R406" s="28">
        <f t="shared" si="155"/>
        <v>38.741026760883415</v>
      </c>
      <c r="S406" s="28">
        <f t="shared" si="155"/>
        <v>39.903257563709914</v>
      </c>
      <c r="T406" s="28">
        <f t="shared" si="155"/>
        <v>41.100355290621216</v>
      </c>
      <c r="U406" s="28">
        <f t="shared" si="155"/>
        <v>42.33336594933985</v>
      </c>
      <c r="V406" s="28">
        <f t="shared" si="155"/>
        <v>43.603366927820048</v>
      </c>
    </row>
    <row r="407" spans="2:22">
      <c r="G407"/>
      <c r="I407" s="21"/>
      <c r="K407" s="21"/>
      <c r="L407" s="21"/>
      <c r="M407" s="21"/>
      <c r="N407" s="21"/>
    </row>
    <row r="408" spans="2:22">
      <c r="B408" t="s">
        <v>471</v>
      </c>
      <c r="G408"/>
      <c r="I408" s="21"/>
      <c r="J408" s="462">
        <f>SUM(J404)</f>
        <v>0</v>
      </c>
      <c r="K408">
        <f t="shared" ref="K408:V408" si="156">SUM(K404)</f>
        <v>2100000</v>
      </c>
      <c r="L408">
        <f t="shared" si="156"/>
        <v>2163000</v>
      </c>
      <c r="M408">
        <f t="shared" si="156"/>
        <v>2227890</v>
      </c>
      <c r="N408">
        <f t="shared" si="156"/>
        <v>2294726.7000000002</v>
      </c>
      <c r="O408">
        <f t="shared" si="156"/>
        <v>2363568.5010000002</v>
      </c>
      <c r="P408">
        <f t="shared" si="156"/>
        <v>2434475.5560300001</v>
      </c>
      <c r="Q408">
        <f t="shared" si="156"/>
        <v>2507509.8227109001</v>
      </c>
      <c r="R408">
        <f t="shared" si="156"/>
        <v>2582735.1173922275</v>
      </c>
      <c r="S408">
        <f t="shared" si="156"/>
        <v>2660217.1709139943</v>
      </c>
      <c r="T408">
        <f t="shared" si="156"/>
        <v>2740023.6860414143</v>
      </c>
      <c r="U408">
        <f t="shared" si="156"/>
        <v>2822224.3966226568</v>
      </c>
      <c r="V408">
        <f t="shared" si="156"/>
        <v>2906891.1285213362</v>
      </c>
    </row>
    <row r="409" spans="2:22">
      <c r="G409"/>
      <c r="I409" s="21"/>
      <c r="K409" s="21"/>
      <c r="L409" s="21"/>
      <c r="M409" s="21"/>
      <c r="N409" s="21"/>
    </row>
    <row r="410" spans="2:22" ht="15.75">
      <c r="B410" s="15" t="s">
        <v>473</v>
      </c>
      <c r="G410"/>
      <c r="I410" s="21"/>
      <c r="J410" s="1">
        <f>SUM(J425,J430,J436)</f>
        <v>0</v>
      </c>
      <c r="K410" s="1">
        <f t="shared" ref="K410:V410" si="157">SUM(K425,K430,K436)</f>
        <v>2.4271241506568542</v>
      </c>
      <c r="L410" s="1">
        <f>SUM(L425,L430,L436)</f>
        <v>2.5353144714318567</v>
      </c>
      <c r="M410" s="1">
        <f t="shared" si="157"/>
        <v>2.6500935827420573</v>
      </c>
      <c r="N410" s="1">
        <f t="shared" si="157"/>
        <v>2.7718627419310486</v>
      </c>
      <c r="O410" s="1">
        <f t="shared" si="157"/>
        <v>2.9010476429146492</v>
      </c>
      <c r="P410" s="1">
        <f t="shared" si="157"/>
        <v>3.0380999043681518</v>
      </c>
      <c r="Q410" s="1">
        <f t="shared" si="157"/>
        <v>3.1834986485441723</v>
      </c>
      <c r="R410" s="1">
        <f t="shared" si="157"/>
        <v>3.3377521762405129</v>
      </c>
      <c r="S410" s="1">
        <f t="shared" si="157"/>
        <v>3.5013997437735593</v>
      </c>
      <c r="T410" s="1">
        <f t="shared" si="157"/>
        <v>3.6750134481693699</v>
      </c>
      <c r="U410" s="1">
        <f t="shared" si="157"/>
        <v>3.8592002271628845</v>
      </c>
      <c r="V410" s="1">
        <f t="shared" si="157"/>
        <v>4.0546039809971042</v>
      </c>
    </row>
    <row r="411" spans="2:22">
      <c r="B411" s="2" t="s">
        <v>513</v>
      </c>
      <c r="E411" s="58" t="s">
        <v>514</v>
      </c>
      <c r="F411" s="58" t="s">
        <v>515</v>
      </c>
      <c r="G411"/>
      <c r="I411" s="22"/>
    </row>
    <row r="412" spans="2:22">
      <c r="B412" s="407" t="s">
        <v>516</v>
      </c>
      <c r="E412" s="16">
        <f>Input!J460</f>
        <v>20</v>
      </c>
      <c r="F412" s="30">
        <f>SUM(Input!J452:L452)</f>
        <v>8</v>
      </c>
      <c r="G412" s="17" t="s">
        <v>315</v>
      </c>
    </row>
    <row r="413" spans="2:22">
      <c r="B413" s="407" t="s">
        <v>517</v>
      </c>
      <c r="F413" s="21">
        <f>Input!J457</f>
        <v>0.90634083357247652</v>
      </c>
      <c r="G413" s="17" t="s">
        <v>315</v>
      </c>
    </row>
    <row r="414" spans="2:22">
      <c r="B414" s="28" t="s">
        <v>476</v>
      </c>
      <c r="C414" s="28"/>
      <c r="D414" s="28"/>
      <c r="E414" s="28"/>
      <c r="F414" s="28"/>
      <c r="G414" s="28"/>
      <c r="H414" s="28"/>
      <c r="I414" s="49">
        <f>SUM(J414:V414)</f>
        <v>70.759841558670402</v>
      </c>
      <c r="J414" s="47">
        <f t="shared" ref="J414:V414" si="158">($F412*$F413*Million)/$E412*USD_IDR/Billion*J$400</f>
        <v>0</v>
      </c>
      <c r="K414" s="47">
        <f t="shared" si="158"/>
        <v>5.896653463222532</v>
      </c>
      <c r="L414" s="47">
        <f t="shared" si="158"/>
        <v>5.896653463222532</v>
      </c>
      <c r="M414" s="47">
        <f t="shared" si="158"/>
        <v>5.896653463222532</v>
      </c>
      <c r="N414" s="47">
        <f t="shared" si="158"/>
        <v>5.896653463222532</v>
      </c>
      <c r="O414" s="47">
        <f t="shared" si="158"/>
        <v>5.896653463222532</v>
      </c>
      <c r="P414" s="47">
        <f t="shared" si="158"/>
        <v>5.896653463222532</v>
      </c>
      <c r="Q414" s="47">
        <f t="shared" si="158"/>
        <v>5.896653463222532</v>
      </c>
      <c r="R414" s="47">
        <f t="shared" si="158"/>
        <v>5.896653463222532</v>
      </c>
      <c r="S414" s="47">
        <f t="shared" si="158"/>
        <v>5.896653463222532</v>
      </c>
      <c r="T414" s="47">
        <f t="shared" si="158"/>
        <v>5.896653463222532</v>
      </c>
      <c r="U414" s="47">
        <f t="shared" si="158"/>
        <v>5.896653463222532</v>
      </c>
      <c r="V414" s="47">
        <f t="shared" si="158"/>
        <v>5.896653463222532</v>
      </c>
    </row>
    <row r="415" spans="2:22">
      <c r="G415"/>
    </row>
    <row r="416" spans="2:22">
      <c r="B416" s="2" t="s">
        <v>518</v>
      </c>
      <c r="E416" s="58" t="s">
        <v>514</v>
      </c>
      <c r="F416" s="58" t="s">
        <v>515</v>
      </c>
      <c r="G416"/>
      <c r="I416" s="22"/>
    </row>
    <row r="417" spans="2:22">
      <c r="B417" s="407" t="s">
        <v>516</v>
      </c>
      <c r="E417" s="16">
        <f>Input!J461</f>
        <v>8</v>
      </c>
      <c r="F417" s="30">
        <f>SUM(Input!J452:L452)</f>
        <v>8</v>
      </c>
      <c r="G417" s="17" t="s">
        <v>315</v>
      </c>
    </row>
    <row r="418" spans="2:22">
      <c r="B418" s="407" t="s">
        <v>517</v>
      </c>
      <c r="F418" s="21">
        <f>Input!J458</f>
        <v>9.3659166427523463E-2</v>
      </c>
      <c r="G418" s="17" t="s">
        <v>315</v>
      </c>
    </row>
    <row r="419" spans="2:22">
      <c r="B419" s="28" t="s">
        <v>476</v>
      </c>
      <c r="C419" s="28"/>
      <c r="D419" s="28"/>
      <c r="E419" s="28"/>
      <c r="F419" s="28"/>
      <c r="G419" s="28"/>
      <c r="H419" s="28"/>
      <c r="I419" s="49">
        <f>SUM(J419:V419)</f>
        <v>18.28039610332403</v>
      </c>
      <c r="J419" s="47">
        <f t="shared" ref="J419:V419" si="159">($F417*$F418*Million)/$E417*USD_IDR/Billion*J$400</f>
        <v>0</v>
      </c>
      <c r="K419" s="47">
        <f t="shared" si="159"/>
        <v>1.5233663419436692</v>
      </c>
      <c r="L419" s="47">
        <f t="shared" si="159"/>
        <v>1.5233663419436692</v>
      </c>
      <c r="M419" s="47">
        <f t="shared" si="159"/>
        <v>1.5233663419436692</v>
      </c>
      <c r="N419" s="47">
        <f t="shared" si="159"/>
        <v>1.5233663419436692</v>
      </c>
      <c r="O419" s="47">
        <f t="shared" si="159"/>
        <v>1.5233663419436692</v>
      </c>
      <c r="P419" s="47">
        <f t="shared" si="159"/>
        <v>1.5233663419436692</v>
      </c>
      <c r="Q419" s="47">
        <f t="shared" si="159"/>
        <v>1.5233663419436692</v>
      </c>
      <c r="R419" s="47">
        <f t="shared" si="159"/>
        <v>1.5233663419436692</v>
      </c>
      <c r="S419" s="47">
        <f t="shared" si="159"/>
        <v>1.5233663419436692</v>
      </c>
      <c r="T419" s="47">
        <f t="shared" si="159"/>
        <v>1.5233663419436692</v>
      </c>
      <c r="U419" s="47">
        <f t="shared" si="159"/>
        <v>1.5233663419436692</v>
      </c>
      <c r="V419" s="47">
        <f t="shared" si="159"/>
        <v>1.5233663419436692</v>
      </c>
    </row>
    <row r="420" spans="2:22">
      <c r="G420"/>
    </row>
    <row r="421" spans="2:22">
      <c r="B421" s="2" t="s">
        <v>481</v>
      </c>
      <c r="G421"/>
    </row>
    <row r="422" spans="2:22">
      <c r="B422" s="407" t="s">
        <v>483</v>
      </c>
      <c r="G422" s="17" t="s">
        <v>485</v>
      </c>
      <c r="J422">
        <f>J$379</f>
        <v>2017.4871277524769</v>
      </c>
      <c r="K422">
        <f t="shared" ref="K422:V422" si="160">K$379</f>
        <v>2078.0117415850514</v>
      </c>
      <c r="L422">
        <f t="shared" si="160"/>
        <v>2140.3520938326028</v>
      </c>
      <c r="M422">
        <f t="shared" si="160"/>
        <v>2204.5626566475812</v>
      </c>
      <c r="N422">
        <f t="shared" si="160"/>
        <v>2270.6995363470082</v>
      </c>
      <c r="O422">
        <f t="shared" si="160"/>
        <v>2338.8205224374187</v>
      </c>
      <c r="P422">
        <f t="shared" si="160"/>
        <v>2408.9851381105414</v>
      </c>
      <c r="Q422">
        <f t="shared" si="160"/>
        <v>2481.2546922538577</v>
      </c>
      <c r="R422">
        <f t="shared" si="160"/>
        <v>2555.6923330214736</v>
      </c>
      <c r="S422">
        <f t="shared" si="160"/>
        <v>2632.3631030121178</v>
      </c>
      <c r="T422">
        <f t="shared" si="160"/>
        <v>2711.3339961024817</v>
      </c>
      <c r="U422">
        <f t="shared" si="160"/>
        <v>2792.6740159855558</v>
      </c>
      <c r="V422">
        <f t="shared" si="160"/>
        <v>2876.4542364651229</v>
      </c>
    </row>
    <row r="423" spans="2:22">
      <c r="B423" s="407" t="s">
        <v>519</v>
      </c>
      <c r="J423" s="74">
        <f>Input!K464</f>
        <v>0</v>
      </c>
      <c r="K423" s="74">
        <f>Input!L464</f>
        <v>0.3</v>
      </c>
      <c r="L423" s="74">
        <f>Input!M464</f>
        <v>0.3</v>
      </c>
      <c r="M423" s="74">
        <f>Input!N464</f>
        <v>0.3</v>
      </c>
      <c r="N423" s="74">
        <f>Input!O464</f>
        <v>0.3</v>
      </c>
      <c r="O423" s="74">
        <f>Input!P464</f>
        <v>0.3</v>
      </c>
      <c r="P423" s="74">
        <f>Input!Q464</f>
        <v>0.3</v>
      </c>
      <c r="Q423" s="74">
        <f>Input!R464</f>
        <v>0.3</v>
      </c>
      <c r="R423" s="74">
        <f>Input!S464</f>
        <v>0.3</v>
      </c>
      <c r="S423" s="74">
        <f>Input!T464</f>
        <v>0.3</v>
      </c>
      <c r="T423" s="74">
        <f>Input!U464</f>
        <v>0.3</v>
      </c>
      <c r="U423" s="74">
        <f>Input!V464</f>
        <v>0.3</v>
      </c>
      <c r="V423" s="74">
        <f>Input!W464</f>
        <v>0.3</v>
      </c>
    </row>
    <row r="424" spans="2:22">
      <c r="B424" s="407" t="s">
        <v>486</v>
      </c>
      <c r="G424" s="17" t="s">
        <v>315</v>
      </c>
    </row>
    <row r="425" spans="2:22">
      <c r="B425" s="28" t="s">
        <v>480</v>
      </c>
      <c r="C425" s="28"/>
      <c r="D425" s="28"/>
      <c r="E425" s="28"/>
      <c r="F425" s="28"/>
      <c r="G425" s="28"/>
      <c r="H425" s="28"/>
      <c r="I425" s="28"/>
      <c r="J425" s="47">
        <f>J422*J$408*J423/Billion</f>
        <v>0</v>
      </c>
      <c r="K425" s="47">
        <f t="shared" ref="K425:V425" si="161">K422*K$408*K423/Billion</f>
        <v>1.3091473971985821</v>
      </c>
      <c r="L425" s="47">
        <f t="shared" si="161"/>
        <v>1.3888744736879759</v>
      </c>
      <c r="M425" s="47">
        <f t="shared" si="161"/>
        <v>1.4734569291355739</v>
      </c>
      <c r="N425" s="47">
        <f t="shared" si="161"/>
        <v>1.5631904561199303</v>
      </c>
      <c r="O425" s="47">
        <f t="shared" si="161"/>
        <v>1.6583887548976339</v>
      </c>
      <c r="P425" s="47">
        <f t="shared" si="161"/>
        <v>1.7593846300709</v>
      </c>
      <c r="Q425" s="47">
        <f t="shared" si="161"/>
        <v>1.866531154042218</v>
      </c>
      <c r="R425" s="47">
        <f t="shared" si="161"/>
        <v>1.9802029013233895</v>
      </c>
      <c r="S425" s="47">
        <f t="shared" si="161"/>
        <v>2.1007972580139835</v>
      </c>
      <c r="T425" s="47">
        <f t="shared" si="161"/>
        <v>2.2287358110270357</v>
      </c>
      <c r="U425" s="47">
        <f t="shared" si="161"/>
        <v>2.3644658219185821</v>
      </c>
      <c r="V425" s="47">
        <f t="shared" si="161"/>
        <v>2.5084617904734237</v>
      </c>
    </row>
    <row r="426" spans="2:22">
      <c r="G426"/>
    </row>
    <row r="427" spans="2:22">
      <c r="B427" s="2" t="s">
        <v>520</v>
      </c>
      <c r="F427" s="58" t="s">
        <v>515</v>
      </c>
      <c r="G427"/>
      <c r="I427" s="22"/>
    </row>
    <row r="428" spans="2:22">
      <c r="B428" s="407" t="s">
        <v>516</v>
      </c>
      <c r="F428" s="30">
        <f>$F$417</f>
        <v>8</v>
      </c>
      <c r="G428" s="17" t="s">
        <v>176</v>
      </c>
    </row>
    <row r="429" spans="2:22">
      <c r="B429" s="407" t="s">
        <v>517</v>
      </c>
      <c r="F429" s="75">
        <v>5.0000000000000001E-3</v>
      </c>
      <c r="G429" s="17" t="s">
        <v>315</v>
      </c>
    </row>
    <row r="430" spans="2:22">
      <c r="B430" s="28" t="s">
        <v>476</v>
      </c>
      <c r="C430" s="28"/>
      <c r="D430" s="28"/>
      <c r="E430" s="28"/>
      <c r="F430" s="28"/>
      <c r="G430" s="28"/>
      <c r="H430" s="28"/>
      <c r="I430" s="49">
        <f>SUM(J430:V430)</f>
        <v>7.807199999999999</v>
      </c>
      <c r="J430" s="47">
        <f t="shared" ref="J430:V430" si="162">$F428*USD_IDR*$F429*Million/Billion*J400</f>
        <v>0</v>
      </c>
      <c r="K430" s="47">
        <f t="shared" si="162"/>
        <v>0.65059999999999996</v>
      </c>
      <c r="L430" s="47">
        <f t="shared" si="162"/>
        <v>0.65059999999999996</v>
      </c>
      <c r="M430" s="47">
        <f t="shared" si="162"/>
        <v>0.65059999999999996</v>
      </c>
      <c r="N430" s="47">
        <f t="shared" si="162"/>
        <v>0.65059999999999996</v>
      </c>
      <c r="O430" s="47">
        <f t="shared" si="162"/>
        <v>0.65059999999999996</v>
      </c>
      <c r="P430" s="47">
        <f t="shared" si="162"/>
        <v>0.65059999999999996</v>
      </c>
      <c r="Q430" s="47">
        <f t="shared" si="162"/>
        <v>0.65059999999999996</v>
      </c>
      <c r="R430" s="47">
        <f t="shared" si="162"/>
        <v>0.65059999999999996</v>
      </c>
      <c r="S430" s="47">
        <f t="shared" si="162"/>
        <v>0.65059999999999996</v>
      </c>
      <c r="T430" s="47">
        <f t="shared" si="162"/>
        <v>0.65059999999999996</v>
      </c>
      <c r="U430" s="47">
        <f t="shared" si="162"/>
        <v>0.65059999999999996</v>
      </c>
      <c r="V430" s="47">
        <f t="shared" si="162"/>
        <v>0.65059999999999996</v>
      </c>
    </row>
    <row r="431" spans="2:22">
      <c r="G431"/>
    </row>
    <row r="432" spans="2:22">
      <c r="B432" s="2" t="s">
        <v>489</v>
      </c>
      <c r="G432"/>
    </row>
    <row r="433" spans="2:22">
      <c r="B433" s="407" t="s">
        <v>483</v>
      </c>
      <c r="G433" s="17" t="s">
        <v>485</v>
      </c>
      <c r="J433">
        <f>J$394</f>
        <v>720.26006080793991</v>
      </c>
      <c r="K433">
        <f t="shared" ref="K433:V433" si="163">K$394</f>
        <v>741.867862632178</v>
      </c>
      <c r="L433">
        <f t="shared" si="163"/>
        <v>764.12389851114347</v>
      </c>
      <c r="M433">
        <f t="shared" si="163"/>
        <v>787.04761546647785</v>
      </c>
      <c r="N433">
        <f t="shared" si="163"/>
        <v>810.65904393047208</v>
      </c>
      <c r="O433">
        <f t="shared" si="163"/>
        <v>834.97881524838624</v>
      </c>
      <c r="P433">
        <f t="shared" si="163"/>
        <v>860.02817970583794</v>
      </c>
      <c r="Q433">
        <f t="shared" si="163"/>
        <v>885.82902509701307</v>
      </c>
      <c r="R433">
        <f t="shared" si="163"/>
        <v>912.40389584992352</v>
      </c>
      <c r="S433">
        <f t="shared" si="163"/>
        <v>939.7760127254212</v>
      </c>
      <c r="T433">
        <f t="shared" si="163"/>
        <v>967.96929310718383</v>
      </c>
      <c r="U433">
        <f t="shared" si="163"/>
        <v>997.00837190039942</v>
      </c>
      <c r="V433">
        <f t="shared" si="163"/>
        <v>1026.9186230574114</v>
      </c>
    </row>
    <row r="434" spans="2:22">
      <c r="B434" s="407" t="s">
        <v>519</v>
      </c>
      <c r="J434" s="74">
        <f>Input!K470</f>
        <v>0</v>
      </c>
      <c r="K434" s="74">
        <f>Input!L470</f>
        <v>0.3</v>
      </c>
      <c r="L434" s="74">
        <f>Input!M470</f>
        <v>0.3</v>
      </c>
      <c r="M434" s="74">
        <f>Input!N470</f>
        <v>0.3</v>
      </c>
      <c r="N434" s="74">
        <f>Input!O470</f>
        <v>0.3</v>
      </c>
      <c r="O434" s="74">
        <f>Input!P470</f>
        <v>0.3</v>
      </c>
      <c r="P434" s="74">
        <f>Input!Q470</f>
        <v>0.3</v>
      </c>
      <c r="Q434" s="74">
        <f>Input!R470</f>
        <v>0.3</v>
      </c>
      <c r="R434" s="74">
        <f>Input!S470</f>
        <v>0.3</v>
      </c>
      <c r="S434" s="74">
        <f>Input!T470</f>
        <v>0.3</v>
      </c>
      <c r="T434" s="74">
        <f>Input!U470</f>
        <v>0.3</v>
      </c>
      <c r="U434" s="74">
        <f>Input!V470</f>
        <v>0.3</v>
      </c>
      <c r="V434" s="74">
        <f>Input!W470</f>
        <v>0.3</v>
      </c>
    </row>
    <row r="435" spans="2:22">
      <c r="B435" s="407" t="s">
        <v>521</v>
      </c>
      <c r="G435" s="17" t="s">
        <v>315</v>
      </c>
    </row>
    <row r="436" spans="2:22">
      <c r="B436" s="28" t="s">
        <v>480</v>
      </c>
      <c r="C436" s="28"/>
      <c r="D436" s="28"/>
      <c r="E436" s="28"/>
      <c r="F436" s="28"/>
      <c r="G436" s="28"/>
      <c r="H436" s="28"/>
      <c r="I436" s="28"/>
      <c r="J436" s="47">
        <f>J433*J$408*J434/Billion</f>
        <v>0</v>
      </c>
      <c r="K436" s="47">
        <f t="shared" ref="K436:V436" si="164">K433*K$408*K434/Billion</f>
        <v>0.46737675345827218</v>
      </c>
      <c r="L436" s="47">
        <f t="shared" si="164"/>
        <v>0.49583999774388099</v>
      </c>
      <c r="M436" s="47">
        <f t="shared" si="164"/>
        <v>0.52603665360648344</v>
      </c>
      <c r="N436" s="47">
        <f t="shared" si="164"/>
        <v>0.55807228581111823</v>
      </c>
      <c r="O436" s="47">
        <f t="shared" si="164"/>
        <v>0.59205888801701534</v>
      </c>
      <c r="P436" s="47">
        <f t="shared" si="164"/>
        <v>0.62811527429725156</v>
      </c>
      <c r="Q436" s="47">
        <f t="shared" si="164"/>
        <v>0.66636749450195421</v>
      </c>
      <c r="R436" s="47">
        <f t="shared" si="164"/>
        <v>0.70694927491712334</v>
      </c>
      <c r="S436" s="47">
        <f t="shared" si="164"/>
        <v>0.75000248575957618</v>
      </c>
      <c r="T436" s="47">
        <f t="shared" si="164"/>
        <v>0.79567763714233442</v>
      </c>
      <c r="U436" s="47">
        <f t="shared" si="164"/>
        <v>0.84413440524430261</v>
      </c>
      <c r="V436" s="47">
        <f t="shared" si="164"/>
        <v>0.89554219052368067</v>
      </c>
    </row>
    <row r="437" spans="2:22">
      <c r="G437"/>
    </row>
    <row r="438" spans="2:22" ht="24" thickBot="1">
      <c r="B438" s="14" t="s">
        <v>802</v>
      </c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</row>
    <row r="439" spans="2:22">
      <c r="G439"/>
    </row>
    <row r="440" spans="2:22">
      <c r="B440" t="s">
        <v>803</v>
      </c>
      <c r="G440"/>
      <c r="J440">
        <f>SUM(J361,J256:J258)</f>
        <v>1100000</v>
      </c>
      <c r="K440">
        <f t="shared" ref="K440:V440" si="165">SUM(K361,K256:K258)</f>
        <v>3582985.568</v>
      </c>
      <c r="L440">
        <f t="shared" si="165"/>
        <v>3690475.1350400001</v>
      </c>
      <c r="M440">
        <f t="shared" si="165"/>
        <v>3801189.3890912002</v>
      </c>
      <c r="N440">
        <f t="shared" si="165"/>
        <v>3915225.0707639363</v>
      </c>
      <c r="O440">
        <f t="shared" si="165"/>
        <v>4032681.8228868544</v>
      </c>
      <c r="P440">
        <f t="shared" si="165"/>
        <v>4153662.2775734598</v>
      </c>
      <c r="Q440">
        <f t="shared" si="165"/>
        <v>4278272.1459006639</v>
      </c>
      <c r="R440">
        <f t="shared" si="165"/>
        <v>4406620.3102776837</v>
      </c>
      <c r="S440">
        <f t="shared" si="165"/>
        <v>4538818.9195860149</v>
      </c>
      <c r="T440">
        <f t="shared" si="165"/>
        <v>4674983.4871735955</v>
      </c>
      <c r="U440">
        <f t="shared" si="165"/>
        <v>4815232.9917888027</v>
      </c>
      <c r="V440" s="462">
        <f t="shared" si="165"/>
        <v>4959689.9815424671</v>
      </c>
    </row>
    <row r="441" spans="2:22">
      <c r="B441" t="s">
        <v>37</v>
      </c>
      <c r="F441" s="19">
        <v>2027</v>
      </c>
      <c r="G441"/>
      <c r="J441" s="71">
        <f>IF(J$8&lt;$F441,0,1)*J$12</f>
        <v>0</v>
      </c>
      <c r="K441" s="13">
        <f t="shared" ref="K441:V441" si="166">IF(K$8&lt;$F441,0,1)*K$12</f>
        <v>0</v>
      </c>
      <c r="L441" s="13">
        <f t="shared" si="166"/>
        <v>0</v>
      </c>
      <c r="M441" s="71">
        <f t="shared" si="166"/>
        <v>1</v>
      </c>
      <c r="N441" s="13">
        <f t="shared" si="166"/>
        <v>1</v>
      </c>
      <c r="O441" s="13">
        <f t="shared" si="166"/>
        <v>1</v>
      </c>
      <c r="P441" s="13">
        <f t="shared" si="166"/>
        <v>1</v>
      </c>
      <c r="Q441" s="13">
        <f t="shared" si="166"/>
        <v>1</v>
      </c>
      <c r="R441" s="13">
        <f t="shared" si="166"/>
        <v>1</v>
      </c>
      <c r="S441" s="13">
        <f t="shared" si="166"/>
        <v>1</v>
      </c>
      <c r="T441" s="13">
        <f t="shared" si="166"/>
        <v>1</v>
      </c>
      <c r="U441" s="13">
        <f t="shared" si="166"/>
        <v>1</v>
      </c>
      <c r="V441" s="71">
        <f t="shared" si="166"/>
        <v>1</v>
      </c>
    </row>
    <row r="442" spans="2:22">
      <c r="G442"/>
      <c r="J442">
        <f>J256</f>
        <v>1100000</v>
      </c>
      <c r="K442">
        <f t="shared" ref="K442:V442" si="167">K256</f>
        <v>1133000</v>
      </c>
      <c r="L442">
        <f t="shared" si="167"/>
        <v>1166990</v>
      </c>
      <c r="M442">
        <f t="shared" si="167"/>
        <v>1201999.7</v>
      </c>
      <c r="N442">
        <f t="shared" si="167"/>
        <v>1238059.6909999999</v>
      </c>
      <c r="O442">
        <f t="shared" si="167"/>
        <v>1275201.4817300001</v>
      </c>
      <c r="P442">
        <f t="shared" si="167"/>
        <v>1313457.5261819002</v>
      </c>
      <c r="Q442">
        <f t="shared" si="167"/>
        <v>1352861.251967357</v>
      </c>
      <c r="R442">
        <f t="shared" si="167"/>
        <v>1393447.0895263779</v>
      </c>
      <c r="S442">
        <f t="shared" si="167"/>
        <v>1435250.5022121693</v>
      </c>
      <c r="T442">
        <f t="shared" si="167"/>
        <v>1478308.0172785344</v>
      </c>
      <c r="U442">
        <f t="shared" si="167"/>
        <v>1522657.2577968906</v>
      </c>
      <c r="V442">
        <f t="shared" si="167"/>
        <v>1568336.9755307971</v>
      </c>
    </row>
    <row r="443" spans="2:22" ht="15.75">
      <c r="B443" s="15" t="s">
        <v>804</v>
      </c>
      <c r="G443"/>
    </row>
    <row r="444" spans="2:22" ht="15.75">
      <c r="B444" s="41" t="s">
        <v>511</v>
      </c>
      <c r="F444" s="19">
        <v>2027</v>
      </c>
      <c r="G444"/>
      <c r="J444" s="70">
        <f>Calculation_SOEs!J368</f>
        <v>1</v>
      </c>
      <c r="K444" s="70">
        <f>Calculation_SOEs!K368</f>
        <v>1</v>
      </c>
      <c r="L444" s="70">
        <f>Calculation_SOEs!L368</f>
        <v>1.03</v>
      </c>
      <c r="M444" s="77">
        <f>Calculation_SOEs!M368</f>
        <v>1.0609</v>
      </c>
      <c r="N444" s="70">
        <f>Calculation_SOEs!N368</f>
        <v>1.092727</v>
      </c>
      <c r="O444" s="70">
        <f>Calculation_SOEs!O368</f>
        <v>1.1255088100000001</v>
      </c>
      <c r="P444" s="70">
        <f>Calculation_SOEs!P368</f>
        <v>1.1592740743000001</v>
      </c>
      <c r="Q444" s="70">
        <f>Calculation_SOEs!Q368</f>
        <v>1.1940522965290001</v>
      </c>
      <c r="R444" s="70">
        <f>Calculation_SOEs!R368</f>
        <v>1.2298738654248702</v>
      </c>
      <c r="S444" s="70">
        <f>Calculation_SOEs!S368</f>
        <v>1.2667700813876164</v>
      </c>
      <c r="T444" s="70">
        <f>Calculation_SOEs!T368</f>
        <v>1.3047731838292449</v>
      </c>
      <c r="U444" s="70">
        <f>Calculation_SOEs!U368</f>
        <v>1.3439163793441222</v>
      </c>
      <c r="V444" s="77">
        <f>Calculation_SOEs!V368</f>
        <v>1.3842338707244459</v>
      </c>
    </row>
    <row r="445" spans="2:22">
      <c r="B445" s="407" t="s">
        <v>407</v>
      </c>
      <c r="F445" s="461">
        <f>Calculation_SOEs!F369*0+1.7*Million</f>
        <v>1700000</v>
      </c>
      <c r="G445" s="17" t="s">
        <v>543</v>
      </c>
      <c r="J445">
        <f>$F$445*J444*J441</f>
        <v>0</v>
      </c>
      <c r="K445">
        <f t="shared" ref="K445:V445" si="168">$F$445*K444*K441</f>
        <v>0</v>
      </c>
      <c r="L445">
        <f t="shared" si="168"/>
        <v>0</v>
      </c>
      <c r="M445" s="462">
        <f t="shared" si="168"/>
        <v>1803530</v>
      </c>
      <c r="N445">
        <f t="shared" si="168"/>
        <v>1857635.9</v>
      </c>
      <c r="O445">
        <f t="shared" si="168"/>
        <v>1913364.9770000002</v>
      </c>
      <c r="P445">
        <f t="shared" si="168"/>
        <v>1970765.92631</v>
      </c>
      <c r="Q445">
        <f t="shared" si="168"/>
        <v>2029888.9040993003</v>
      </c>
      <c r="R445">
        <f t="shared" si="168"/>
        <v>2090785.5712222795</v>
      </c>
      <c r="S445">
        <f t="shared" si="168"/>
        <v>2153509.1383589478</v>
      </c>
      <c r="T445">
        <f t="shared" si="168"/>
        <v>2218114.4125097161</v>
      </c>
      <c r="U445">
        <f t="shared" si="168"/>
        <v>2284657.8448850079</v>
      </c>
      <c r="V445" s="462">
        <f t="shared" si="168"/>
        <v>2353197.5802315581</v>
      </c>
    </row>
    <row r="446" spans="2:22">
      <c r="B446" s="407" t="s">
        <v>544</v>
      </c>
      <c r="F446" s="19">
        <v>28000</v>
      </c>
      <c r="G446" s="17" t="s">
        <v>545</v>
      </c>
      <c r="J446" s="19">
        <f>Input!K485</f>
        <v>0</v>
      </c>
      <c r="K446" s="19">
        <f>Input!L485</f>
        <v>0</v>
      </c>
      <c r="L446" s="19">
        <f>$F$446</f>
        <v>28000</v>
      </c>
      <c r="M446" s="19">
        <f t="shared" ref="M446:V446" si="169">$F$446</f>
        <v>28000</v>
      </c>
      <c r="N446" s="19">
        <f t="shared" si="169"/>
        <v>28000</v>
      </c>
      <c r="O446" s="19">
        <f t="shared" si="169"/>
        <v>28000</v>
      </c>
      <c r="P446" s="19">
        <f t="shared" si="169"/>
        <v>28000</v>
      </c>
      <c r="Q446" s="19">
        <f t="shared" si="169"/>
        <v>28000</v>
      </c>
      <c r="R446" s="19">
        <f t="shared" si="169"/>
        <v>28000</v>
      </c>
      <c r="S446" s="19">
        <f t="shared" si="169"/>
        <v>28000</v>
      </c>
      <c r="T446" s="19">
        <f t="shared" si="169"/>
        <v>28000</v>
      </c>
      <c r="U446" s="19">
        <f t="shared" si="169"/>
        <v>28000</v>
      </c>
      <c r="V446" s="19">
        <f t="shared" si="169"/>
        <v>28000</v>
      </c>
    </row>
    <row r="447" spans="2:22">
      <c r="B447" s="407" t="s">
        <v>546</v>
      </c>
      <c r="F447" s="19">
        <v>7000</v>
      </c>
      <c r="J447" s="19"/>
      <c r="K447" s="19"/>
      <c r="L447" s="19">
        <f>$F$447</f>
        <v>7000</v>
      </c>
      <c r="M447" s="19">
        <f t="shared" ref="M447:V447" si="170">$F$447</f>
        <v>7000</v>
      </c>
      <c r="N447" s="19">
        <f t="shared" si="170"/>
        <v>7000</v>
      </c>
      <c r="O447" s="19">
        <f t="shared" si="170"/>
        <v>7000</v>
      </c>
      <c r="P447" s="19">
        <f t="shared" si="170"/>
        <v>7000</v>
      </c>
      <c r="Q447" s="19">
        <f t="shared" si="170"/>
        <v>7000</v>
      </c>
      <c r="R447" s="19">
        <f t="shared" si="170"/>
        <v>7000</v>
      </c>
      <c r="S447" s="19">
        <f t="shared" si="170"/>
        <v>7000</v>
      </c>
      <c r="T447" s="19">
        <f t="shared" si="170"/>
        <v>7000</v>
      </c>
      <c r="U447" s="19">
        <f t="shared" si="170"/>
        <v>7000</v>
      </c>
      <c r="V447" s="19">
        <f t="shared" si="170"/>
        <v>7000</v>
      </c>
    </row>
    <row r="448" spans="2:22">
      <c r="B448" s="407" t="s">
        <v>12</v>
      </c>
      <c r="F448" s="19">
        <v>25000</v>
      </c>
      <c r="J448" s="19"/>
      <c r="K448" s="19"/>
      <c r="L448" s="19">
        <f>$F$448</f>
        <v>25000</v>
      </c>
      <c r="M448" s="19">
        <f t="shared" ref="M448:V448" si="171">$F$448</f>
        <v>25000</v>
      </c>
      <c r="N448" s="19">
        <f t="shared" si="171"/>
        <v>25000</v>
      </c>
      <c r="O448" s="19">
        <f t="shared" si="171"/>
        <v>25000</v>
      </c>
      <c r="P448" s="19">
        <f t="shared" si="171"/>
        <v>25000</v>
      </c>
      <c r="Q448" s="19">
        <f t="shared" si="171"/>
        <v>25000</v>
      </c>
      <c r="R448" s="19">
        <f t="shared" si="171"/>
        <v>25000</v>
      </c>
      <c r="S448" s="19">
        <f t="shared" si="171"/>
        <v>25000</v>
      </c>
      <c r="T448" s="19">
        <f t="shared" si="171"/>
        <v>25000</v>
      </c>
      <c r="U448" s="19">
        <f t="shared" si="171"/>
        <v>25000</v>
      </c>
      <c r="V448" s="19">
        <f t="shared" si="171"/>
        <v>25000</v>
      </c>
    </row>
    <row r="449" spans="2:22">
      <c r="B449" s="28" t="s">
        <v>9</v>
      </c>
      <c r="C449" s="28"/>
      <c r="D449" s="28"/>
      <c r="E449" s="28"/>
      <c r="F449" s="28"/>
      <c r="G449" s="28"/>
      <c r="H449" s="28"/>
      <c r="I449" s="48">
        <f>SUM(J449:V449)</f>
        <v>1240.5270152770086</v>
      </c>
      <c r="J449" s="28">
        <f>J445*SUM(J446:J448)/Billion</f>
        <v>0</v>
      </c>
      <c r="K449" s="28">
        <f t="shared" ref="K449:V449" si="172">K445*SUM(K446:K448)/Billion</f>
        <v>0</v>
      </c>
      <c r="L449" s="28">
        <f t="shared" si="172"/>
        <v>0</v>
      </c>
      <c r="M449" s="28">
        <f t="shared" si="172"/>
        <v>108.2118</v>
      </c>
      <c r="N449" s="28">
        <f t="shared" si="172"/>
        <v>111.45815399999999</v>
      </c>
      <c r="O449" s="28">
        <f t="shared" si="172"/>
        <v>114.80189862000002</v>
      </c>
      <c r="P449" s="28">
        <f t="shared" si="172"/>
        <v>118.2459555786</v>
      </c>
      <c r="Q449" s="28">
        <f t="shared" si="172"/>
        <v>121.79333424595802</v>
      </c>
      <c r="R449" s="28">
        <f t="shared" si="172"/>
        <v>125.44713427333676</v>
      </c>
      <c r="S449" s="28">
        <f t="shared" si="172"/>
        <v>129.21054830153687</v>
      </c>
      <c r="T449" s="28">
        <f t="shared" si="172"/>
        <v>133.08686475058298</v>
      </c>
      <c r="U449" s="28">
        <f t="shared" si="172"/>
        <v>137.07947069310049</v>
      </c>
      <c r="V449" s="28">
        <f t="shared" si="172"/>
        <v>141.19185481389349</v>
      </c>
    </row>
    <row r="450" spans="2:22">
      <c r="B450" s="407"/>
    </row>
    <row r="451" spans="2:22">
      <c r="B451" s="407" t="s">
        <v>805</v>
      </c>
      <c r="F451" s="39">
        <f>1-F452</f>
        <v>0.51</v>
      </c>
      <c r="J451">
        <f>J449*$F$451</f>
        <v>0</v>
      </c>
      <c r="K451">
        <f t="shared" ref="K451:V451" si="173">K449*$F$451</f>
        <v>0</v>
      </c>
      <c r="L451">
        <f t="shared" si="173"/>
        <v>0</v>
      </c>
      <c r="M451">
        <f t="shared" si="173"/>
        <v>55.188018</v>
      </c>
      <c r="N451">
        <f t="shared" si="173"/>
        <v>56.84365854</v>
      </c>
      <c r="O451">
        <f t="shared" si="173"/>
        <v>58.548968296200009</v>
      </c>
      <c r="P451">
        <f t="shared" si="173"/>
        <v>60.305437345086006</v>
      </c>
      <c r="Q451">
        <f t="shared" si="173"/>
        <v>62.114600465438592</v>
      </c>
      <c r="R451">
        <f t="shared" si="173"/>
        <v>63.978038479401746</v>
      </c>
      <c r="S451">
        <f t="shared" si="173"/>
        <v>65.897379633783814</v>
      </c>
      <c r="T451">
        <f t="shared" si="173"/>
        <v>67.874301022797326</v>
      </c>
      <c r="U451">
        <f t="shared" si="173"/>
        <v>69.910530053481253</v>
      </c>
      <c r="V451">
        <f t="shared" si="173"/>
        <v>72.007845955085685</v>
      </c>
    </row>
    <row r="452" spans="2:22">
      <c r="B452" s="407"/>
      <c r="F452" s="39">
        <v>0.49</v>
      </c>
      <c r="J452" s="19"/>
      <c r="K452" s="19"/>
      <c r="L452" s="19"/>
      <c r="M452" s="19"/>
      <c r="N452" s="19"/>
      <c r="O452" s="19"/>
      <c r="P452" s="19"/>
      <c r="Q452" s="19"/>
      <c r="R452" s="19"/>
      <c r="S452" s="19"/>
      <c r="T452" s="19"/>
      <c r="U452" s="19"/>
      <c r="V452" s="19"/>
    </row>
    <row r="453" spans="2:22">
      <c r="B453" s="28" t="s">
        <v>806</v>
      </c>
      <c r="C453" s="28"/>
      <c r="D453" s="28"/>
      <c r="E453" s="28"/>
      <c r="F453" s="28"/>
      <c r="G453" s="28"/>
      <c r="H453" s="28"/>
      <c r="I453" s="48">
        <f>SUM(J453:V453)</f>
        <v>607.85823748573432</v>
      </c>
      <c r="J453" s="459">
        <f>J449*$F$452</f>
        <v>0</v>
      </c>
      <c r="K453" s="28">
        <f t="shared" ref="K453:V453" si="174">K449*$F$452</f>
        <v>0</v>
      </c>
      <c r="L453" s="28">
        <f t="shared" si="174"/>
        <v>0</v>
      </c>
      <c r="M453" s="459">
        <f t="shared" si="174"/>
        <v>53.023781999999997</v>
      </c>
      <c r="N453" s="28">
        <f t="shared" si="174"/>
        <v>54.614495459999993</v>
      </c>
      <c r="O453" s="28">
        <f t="shared" si="174"/>
        <v>56.252930323800008</v>
      </c>
      <c r="P453" s="28">
        <f t="shared" si="174"/>
        <v>57.940518233513998</v>
      </c>
      <c r="Q453" s="28">
        <f t="shared" si="174"/>
        <v>59.67873378051943</v>
      </c>
      <c r="R453" s="28">
        <f t="shared" si="174"/>
        <v>61.469095793935011</v>
      </c>
      <c r="S453" s="28">
        <f t="shared" si="174"/>
        <v>63.313168667753068</v>
      </c>
      <c r="T453" s="28">
        <f t="shared" si="174"/>
        <v>65.21256372778565</v>
      </c>
      <c r="U453" s="28">
        <f t="shared" si="174"/>
        <v>67.168940639619237</v>
      </c>
      <c r="V453" s="28">
        <f t="shared" si="174"/>
        <v>69.1840088588078</v>
      </c>
    </row>
    <row r="454" spans="2:22">
      <c r="G454"/>
      <c r="I454" s="21"/>
      <c r="K454" s="21"/>
      <c r="L454" s="21"/>
      <c r="M454" s="21"/>
      <c r="N454" s="21"/>
    </row>
    <row r="455" spans="2:22">
      <c r="B455" t="s">
        <v>471</v>
      </c>
      <c r="G455"/>
      <c r="I455" s="21"/>
      <c r="J455">
        <f>SUM(J445)</f>
        <v>0</v>
      </c>
      <c r="K455">
        <f t="shared" ref="K455:V455" si="175">SUM(K445)</f>
        <v>0</v>
      </c>
      <c r="L455">
        <f t="shared" si="175"/>
        <v>0</v>
      </c>
      <c r="M455">
        <f t="shared" si="175"/>
        <v>1803530</v>
      </c>
      <c r="N455">
        <f t="shared" si="175"/>
        <v>1857635.9</v>
      </c>
      <c r="O455">
        <f t="shared" si="175"/>
        <v>1913364.9770000002</v>
      </c>
      <c r="P455">
        <f t="shared" si="175"/>
        <v>1970765.92631</v>
      </c>
      <c r="Q455">
        <f t="shared" si="175"/>
        <v>2029888.9040993003</v>
      </c>
      <c r="R455">
        <f t="shared" si="175"/>
        <v>2090785.5712222795</v>
      </c>
      <c r="S455">
        <f t="shared" si="175"/>
        <v>2153509.1383589478</v>
      </c>
      <c r="T455">
        <f t="shared" si="175"/>
        <v>2218114.4125097161</v>
      </c>
      <c r="U455">
        <f t="shared" si="175"/>
        <v>2284657.8448850079</v>
      </c>
      <c r="V455">
        <f t="shared" si="175"/>
        <v>2353197.5802315581</v>
      </c>
    </row>
    <row r="456" spans="2:22">
      <c r="G456"/>
      <c r="I456" s="21"/>
      <c r="K456" s="21"/>
      <c r="L456" s="21"/>
      <c r="M456" s="21"/>
      <c r="N456" s="21"/>
    </row>
    <row r="457" spans="2:22" ht="15.75">
      <c r="B457" s="15" t="s">
        <v>473</v>
      </c>
      <c r="F457" s="39">
        <v>0.1</v>
      </c>
      <c r="G457"/>
      <c r="I457" s="21"/>
      <c r="J457" s="1">
        <f>$F457*J$453</f>
        <v>0</v>
      </c>
      <c r="K457" s="1">
        <f t="shared" ref="K457:V458" si="176">$F457*K$453</f>
        <v>0</v>
      </c>
      <c r="L457" s="1">
        <f t="shared" si="176"/>
        <v>0</v>
      </c>
      <c r="M457" s="1">
        <f t="shared" si="176"/>
        <v>5.3023781999999997</v>
      </c>
      <c r="N457" s="1">
        <f t="shared" si="176"/>
        <v>5.4614495459999999</v>
      </c>
      <c r="O457" s="1">
        <f t="shared" si="176"/>
        <v>5.625293032380001</v>
      </c>
      <c r="P457" s="1">
        <f t="shared" si="176"/>
        <v>5.7940518233514</v>
      </c>
      <c r="Q457" s="1">
        <f t="shared" si="176"/>
        <v>5.9678733780519435</v>
      </c>
      <c r="R457" s="1">
        <f t="shared" si="176"/>
        <v>6.1469095793935011</v>
      </c>
      <c r="S457" s="1">
        <f t="shared" si="176"/>
        <v>6.3313168667753068</v>
      </c>
      <c r="T457" s="1">
        <f t="shared" si="176"/>
        <v>6.5212563727785655</v>
      </c>
      <c r="U457" s="1">
        <f t="shared" si="176"/>
        <v>6.7168940639619237</v>
      </c>
      <c r="V457" s="1">
        <f t="shared" si="176"/>
        <v>6.9184008858807804</v>
      </c>
    </row>
    <row r="458" spans="2:22" ht="15.75">
      <c r="B458" s="15" t="s">
        <v>547</v>
      </c>
      <c r="F458" s="39">
        <f>(38/60*100%-10%)*0+50%</f>
        <v>0.5</v>
      </c>
      <c r="G458"/>
      <c r="I458" s="21"/>
      <c r="J458" s="1">
        <f>$F458*J$453</f>
        <v>0</v>
      </c>
      <c r="K458" s="1">
        <f t="shared" si="176"/>
        <v>0</v>
      </c>
      <c r="L458" s="1">
        <f t="shared" si="176"/>
        <v>0</v>
      </c>
      <c r="M458" s="1">
        <f t="shared" si="176"/>
        <v>26.511890999999999</v>
      </c>
      <c r="N458" s="1">
        <f t="shared" si="176"/>
        <v>27.307247729999997</v>
      </c>
      <c r="O458" s="1">
        <f t="shared" si="176"/>
        <v>28.126465161900004</v>
      </c>
      <c r="P458" s="1">
        <f t="shared" si="176"/>
        <v>28.970259116756999</v>
      </c>
      <c r="Q458" s="1">
        <f t="shared" si="176"/>
        <v>29.839366890259715</v>
      </c>
      <c r="R458" s="1">
        <f t="shared" si="176"/>
        <v>30.734547896967506</v>
      </c>
      <c r="S458" s="1">
        <f t="shared" si="176"/>
        <v>31.656584333876534</v>
      </c>
      <c r="T458" s="1">
        <f t="shared" si="176"/>
        <v>32.606281863892825</v>
      </c>
      <c r="U458" s="1">
        <f t="shared" si="176"/>
        <v>33.584470319809618</v>
      </c>
      <c r="V458" s="1">
        <f t="shared" si="176"/>
        <v>34.5920044294039</v>
      </c>
    </row>
    <row r="459" spans="2:22" ht="15.75">
      <c r="B459" s="15"/>
      <c r="G459"/>
      <c r="I459" s="2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</row>
    <row r="460" spans="2:22">
      <c r="B460" s="2" t="s">
        <v>513</v>
      </c>
      <c r="E460" s="58" t="s">
        <v>514</v>
      </c>
      <c r="F460" s="58" t="s">
        <v>515</v>
      </c>
      <c r="G460"/>
      <c r="I460" s="22"/>
      <c r="J460">
        <f>SUM(J463,J468)</f>
        <v>0</v>
      </c>
      <c r="K460">
        <f t="shared" ref="K460:V460" si="177">SUM(K463,K468)</f>
        <v>0</v>
      </c>
      <c r="L460">
        <f t="shared" si="177"/>
        <v>0</v>
      </c>
      <c r="M460">
        <f t="shared" si="177"/>
        <v>0</v>
      </c>
      <c r="N460">
        <f t="shared" si="177"/>
        <v>0</v>
      </c>
      <c r="O460">
        <f t="shared" si="177"/>
        <v>0</v>
      </c>
      <c r="P460">
        <f t="shared" si="177"/>
        <v>0</v>
      </c>
      <c r="Q460">
        <f t="shared" si="177"/>
        <v>0</v>
      </c>
      <c r="R460">
        <f t="shared" si="177"/>
        <v>0</v>
      </c>
      <c r="S460">
        <f t="shared" si="177"/>
        <v>0</v>
      </c>
      <c r="T460">
        <f t="shared" si="177"/>
        <v>0</v>
      </c>
      <c r="U460">
        <f t="shared" si="177"/>
        <v>0</v>
      </c>
      <c r="V460">
        <f t="shared" si="177"/>
        <v>0</v>
      </c>
    </row>
    <row r="461" spans="2:22">
      <c r="B461" s="407" t="s">
        <v>516</v>
      </c>
      <c r="E461" s="6">
        <v>20</v>
      </c>
      <c r="F461" s="30">
        <f>Input!L1270</f>
        <v>0</v>
      </c>
      <c r="G461" s="17" t="s">
        <v>315</v>
      </c>
    </row>
    <row r="462" spans="2:22">
      <c r="B462" s="407" t="s">
        <v>517</v>
      </c>
      <c r="F462" s="74">
        <v>1</v>
      </c>
      <c r="G462" s="17" t="s">
        <v>315</v>
      </c>
    </row>
    <row r="463" spans="2:22">
      <c r="B463" s="28" t="s">
        <v>476</v>
      </c>
      <c r="C463" s="28"/>
      <c r="D463" s="28"/>
      <c r="E463" s="28"/>
      <c r="F463" s="28"/>
      <c r="G463" s="28"/>
      <c r="H463" s="28"/>
      <c r="I463" s="49">
        <f>SUM(J463:V463)</f>
        <v>0</v>
      </c>
      <c r="J463" s="47">
        <f t="shared" ref="J463:V463" si="178">($F461*$F462*Million)/$E461*USD_IDR/Billion*J$441</f>
        <v>0</v>
      </c>
      <c r="K463" s="47">
        <f t="shared" si="178"/>
        <v>0</v>
      </c>
      <c r="L463" s="47">
        <f t="shared" si="178"/>
        <v>0</v>
      </c>
      <c r="M463" s="47">
        <f t="shared" si="178"/>
        <v>0</v>
      </c>
      <c r="N463" s="47">
        <f t="shared" si="178"/>
        <v>0</v>
      </c>
      <c r="O463" s="47">
        <f t="shared" si="178"/>
        <v>0</v>
      </c>
      <c r="P463" s="47">
        <f t="shared" si="178"/>
        <v>0</v>
      </c>
      <c r="Q463" s="47">
        <f t="shared" si="178"/>
        <v>0</v>
      </c>
      <c r="R463" s="47">
        <f t="shared" si="178"/>
        <v>0</v>
      </c>
      <c r="S463" s="47">
        <f t="shared" si="178"/>
        <v>0</v>
      </c>
      <c r="T463" s="47">
        <f t="shared" si="178"/>
        <v>0</v>
      </c>
      <c r="U463" s="47">
        <f t="shared" si="178"/>
        <v>0</v>
      </c>
      <c r="V463" s="47">
        <f t="shared" si="178"/>
        <v>0</v>
      </c>
    </row>
    <row r="464" spans="2:22">
      <c r="G464"/>
    </row>
    <row r="465" spans="2:22">
      <c r="B465" s="2" t="s">
        <v>518</v>
      </c>
      <c r="E465" s="58" t="s">
        <v>514</v>
      </c>
      <c r="F465" s="58" t="s">
        <v>515</v>
      </c>
      <c r="G465"/>
      <c r="I465" s="22"/>
    </row>
    <row r="466" spans="2:22">
      <c r="B466" s="407" t="s">
        <v>516</v>
      </c>
      <c r="E466" s="16">
        <v>10</v>
      </c>
      <c r="F466" s="30"/>
      <c r="G466" s="17" t="s">
        <v>315</v>
      </c>
    </row>
    <row r="467" spans="2:22">
      <c r="B467" s="407" t="s">
        <v>517</v>
      </c>
      <c r="F467" s="21">
        <f>100%-F462</f>
        <v>0</v>
      </c>
      <c r="G467" s="17" t="s">
        <v>315</v>
      </c>
    </row>
    <row r="468" spans="2:22">
      <c r="B468" s="28" t="s">
        <v>476</v>
      </c>
      <c r="C468" s="28"/>
      <c r="D468" s="28"/>
      <c r="E468" s="28"/>
      <c r="F468" s="28"/>
      <c r="G468" s="28"/>
      <c r="H468" s="28"/>
      <c r="I468" s="49">
        <f>SUM(J468:V468)</f>
        <v>0</v>
      </c>
      <c r="J468" s="47">
        <f t="shared" ref="J468:V468" si="179">($F466*$F467*Million)/$E466*USD_IDR/Billion*J$441</f>
        <v>0</v>
      </c>
      <c r="K468" s="47">
        <f t="shared" si="179"/>
        <v>0</v>
      </c>
      <c r="L468" s="47">
        <f t="shared" si="179"/>
        <v>0</v>
      </c>
      <c r="M468" s="47">
        <f t="shared" si="179"/>
        <v>0</v>
      </c>
      <c r="N468" s="47">
        <f t="shared" si="179"/>
        <v>0</v>
      </c>
      <c r="O468" s="47">
        <f t="shared" si="179"/>
        <v>0</v>
      </c>
      <c r="P468" s="47">
        <f t="shared" si="179"/>
        <v>0</v>
      </c>
      <c r="Q468" s="47">
        <f t="shared" si="179"/>
        <v>0</v>
      </c>
      <c r="R468" s="47">
        <f t="shared" si="179"/>
        <v>0</v>
      </c>
      <c r="S468" s="47">
        <f t="shared" si="179"/>
        <v>0</v>
      </c>
      <c r="T468" s="47">
        <f t="shared" si="179"/>
        <v>0</v>
      </c>
      <c r="U468" s="47">
        <f t="shared" si="179"/>
        <v>0</v>
      </c>
      <c r="V468" s="47">
        <f t="shared" si="179"/>
        <v>0</v>
      </c>
    </row>
    <row r="469" spans="2:22">
      <c r="G469"/>
    </row>
    <row r="470" spans="2:22">
      <c r="B470" t="s">
        <v>807</v>
      </c>
      <c r="G470"/>
    </row>
    <row r="471" spans="2:22">
      <c r="G471"/>
    </row>
    <row r="472" spans="2:22">
      <c r="G472"/>
    </row>
    <row r="473" spans="2:22">
      <c r="G473"/>
    </row>
    <row r="474" spans="2:22" ht="24" thickBot="1">
      <c r="B474" s="14" t="s">
        <v>808</v>
      </c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</row>
    <row r="475" spans="2:22">
      <c r="G475"/>
    </row>
    <row r="476" spans="2:22">
      <c r="B476" t="s">
        <v>803</v>
      </c>
      <c r="G476"/>
      <c r="J476">
        <f>SUM(J389,J284:J286)</f>
        <v>2.2239042215849998</v>
      </c>
      <c r="K476">
        <f t="shared" ref="K476:V476" si="180">SUM(K389,K284:K286)</f>
        <v>2.3017408693404744</v>
      </c>
      <c r="L476">
        <f t="shared" si="180"/>
        <v>2.382301799767391</v>
      </c>
      <c r="M476">
        <f t="shared" si="180"/>
        <v>2.4656823627592495</v>
      </c>
      <c r="N476">
        <f t="shared" si="180"/>
        <v>2.5519812454558228</v>
      </c>
      <c r="O476">
        <f t="shared" si="180"/>
        <v>2.641300589046776</v>
      </c>
      <c r="P476">
        <f t="shared" si="180"/>
        <v>2.733746109663413</v>
      </c>
      <c r="Q476">
        <f t="shared" si="180"/>
        <v>2.8294272235016327</v>
      </c>
      <c r="R476">
        <f t="shared" si="180"/>
        <v>2.9284571763241893</v>
      </c>
      <c r="S476">
        <f t="shared" si="180"/>
        <v>3.0309531774955358</v>
      </c>
      <c r="T476">
        <f t="shared" si="180"/>
        <v>3.1370365387078794</v>
      </c>
      <c r="U476">
        <f t="shared" si="180"/>
        <v>3.2468328175626548</v>
      </c>
      <c r="V476">
        <f t="shared" si="180"/>
        <v>3.3604719661773474</v>
      </c>
    </row>
    <row r="477" spans="2:22">
      <c r="B477" t="s">
        <v>37</v>
      </c>
      <c r="F477" s="19">
        <v>2027</v>
      </c>
      <c r="G477"/>
      <c r="J477" s="71">
        <f>IF(J$8&lt;$F477,0,1)*J$12</f>
        <v>0</v>
      </c>
      <c r="K477" s="13">
        <f t="shared" ref="K477:V477" si="181">IF(K$8&lt;$F477,0,1)*K$12</f>
        <v>0</v>
      </c>
      <c r="L477" s="13">
        <f t="shared" si="181"/>
        <v>0</v>
      </c>
      <c r="M477" s="13">
        <f t="shared" si="181"/>
        <v>1</v>
      </c>
      <c r="N477" s="13">
        <f t="shared" si="181"/>
        <v>1</v>
      </c>
      <c r="O477" s="13">
        <f t="shared" si="181"/>
        <v>1</v>
      </c>
      <c r="P477" s="13">
        <f t="shared" si="181"/>
        <v>1</v>
      </c>
      <c r="Q477" s="13">
        <f t="shared" si="181"/>
        <v>1</v>
      </c>
      <c r="R477" s="13">
        <f t="shared" si="181"/>
        <v>1</v>
      </c>
      <c r="S477" s="13">
        <f t="shared" si="181"/>
        <v>1</v>
      </c>
      <c r="T477" s="13">
        <f t="shared" si="181"/>
        <v>1</v>
      </c>
      <c r="U477" s="13">
        <f t="shared" si="181"/>
        <v>1</v>
      </c>
      <c r="V477" s="13">
        <f t="shared" si="181"/>
        <v>1</v>
      </c>
    </row>
    <row r="478" spans="2:22">
      <c r="G478"/>
    </row>
    <row r="479" spans="2:22" ht="15.75">
      <c r="B479" s="15" t="s">
        <v>540</v>
      </c>
      <c r="G479"/>
    </row>
    <row r="480" spans="2:22" ht="15.75">
      <c r="B480" s="41" t="s">
        <v>511</v>
      </c>
      <c r="F480" s="19">
        <v>2026</v>
      </c>
      <c r="G480"/>
      <c r="J480" s="77">
        <f>J255</f>
        <v>1</v>
      </c>
      <c r="K480" s="77">
        <f t="shared" ref="K480:V480" si="182">K255</f>
        <v>1.03</v>
      </c>
      <c r="L480" s="77">
        <f t="shared" si="182"/>
        <v>1.0609</v>
      </c>
      <c r="M480" s="77">
        <f t="shared" si="182"/>
        <v>1.092727</v>
      </c>
      <c r="N480" s="77">
        <f t="shared" si="182"/>
        <v>1.1255088100000001</v>
      </c>
      <c r="O480" s="77">
        <f t="shared" si="182"/>
        <v>1.1592740743000001</v>
      </c>
      <c r="P480" s="77">
        <f t="shared" si="182"/>
        <v>1.1940522965290001</v>
      </c>
      <c r="Q480" s="77">
        <f t="shared" si="182"/>
        <v>1.2298738654248702</v>
      </c>
      <c r="R480" s="77">
        <f t="shared" si="182"/>
        <v>1.2667700813876164</v>
      </c>
      <c r="S480" s="77">
        <f t="shared" si="182"/>
        <v>1.3047731838292449</v>
      </c>
      <c r="T480" s="77">
        <f t="shared" si="182"/>
        <v>1.3439163793441222</v>
      </c>
      <c r="U480" s="77">
        <f t="shared" si="182"/>
        <v>1.3842338707244459</v>
      </c>
      <c r="V480" s="77">
        <f t="shared" si="182"/>
        <v>1.4257608868461793</v>
      </c>
    </row>
    <row r="481" spans="2:22">
      <c r="B481" s="407" t="s">
        <v>407</v>
      </c>
      <c r="F481" s="19">
        <v>2400000</v>
      </c>
      <c r="G481" s="17" t="s">
        <v>543</v>
      </c>
      <c r="J481">
        <f t="shared" ref="J481:V481" si="183">$F$445*J480*J477</f>
        <v>0</v>
      </c>
      <c r="K481">
        <f t="shared" si="183"/>
        <v>0</v>
      </c>
      <c r="L481">
        <f t="shared" si="183"/>
        <v>0</v>
      </c>
      <c r="M481">
        <f t="shared" si="183"/>
        <v>1857635.9</v>
      </c>
      <c r="N481">
        <f t="shared" si="183"/>
        <v>1913364.9770000002</v>
      </c>
      <c r="O481">
        <f t="shared" si="183"/>
        <v>1970765.92631</v>
      </c>
      <c r="P481">
        <f t="shared" si="183"/>
        <v>2029888.9040993003</v>
      </c>
      <c r="Q481">
        <f t="shared" si="183"/>
        <v>2090785.5712222795</v>
      </c>
      <c r="R481">
        <f t="shared" si="183"/>
        <v>2153509.1383589478</v>
      </c>
      <c r="S481">
        <f t="shared" si="183"/>
        <v>2218114.4125097161</v>
      </c>
      <c r="T481">
        <f t="shared" si="183"/>
        <v>2284657.8448850079</v>
      </c>
      <c r="U481">
        <f t="shared" si="183"/>
        <v>2353197.5802315581</v>
      </c>
      <c r="V481">
        <f t="shared" si="183"/>
        <v>2423793.5076385047</v>
      </c>
    </row>
    <row r="482" spans="2:22">
      <c r="B482" s="407" t="s">
        <v>797</v>
      </c>
      <c r="F482" s="19">
        <v>84000</v>
      </c>
      <c r="G482" s="17" t="s">
        <v>545</v>
      </c>
      <c r="J482" s="19">
        <f>$F$482</f>
        <v>84000</v>
      </c>
      <c r="K482" s="19">
        <f t="shared" ref="K482:V482" si="184">$F$482</f>
        <v>84000</v>
      </c>
      <c r="L482" s="19">
        <f t="shared" si="184"/>
        <v>84000</v>
      </c>
      <c r="M482" s="19">
        <f t="shared" si="184"/>
        <v>84000</v>
      </c>
      <c r="N482" s="19">
        <f t="shared" si="184"/>
        <v>84000</v>
      </c>
      <c r="O482" s="19">
        <f t="shared" si="184"/>
        <v>84000</v>
      </c>
      <c r="P482" s="19">
        <f t="shared" si="184"/>
        <v>84000</v>
      </c>
      <c r="Q482" s="19">
        <f t="shared" si="184"/>
        <v>84000</v>
      </c>
      <c r="R482" s="19">
        <f t="shared" si="184"/>
        <v>84000</v>
      </c>
      <c r="S482" s="19">
        <f t="shared" si="184"/>
        <v>84000</v>
      </c>
      <c r="T482" s="19">
        <f t="shared" si="184"/>
        <v>84000</v>
      </c>
      <c r="U482" s="19">
        <f t="shared" si="184"/>
        <v>84000</v>
      </c>
      <c r="V482" s="19">
        <f t="shared" si="184"/>
        <v>84000</v>
      </c>
    </row>
    <row r="483" spans="2:22">
      <c r="B483" s="407" t="s">
        <v>799</v>
      </c>
      <c r="F483" s="39">
        <v>0.02</v>
      </c>
      <c r="J483" s="19">
        <f>$F$483*J482</f>
        <v>1680</v>
      </c>
      <c r="K483" s="19">
        <f t="shared" ref="K483:V483" si="185">$F$483*K482</f>
        <v>1680</v>
      </c>
      <c r="L483" s="19">
        <f t="shared" si="185"/>
        <v>1680</v>
      </c>
      <c r="M483" s="19">
        <f t="shared" si="185"/>
        <v>1680</v>
      </c>
      <c r="N483" s="19">
        <f t="shared" si="185"/>
        <v>1680</v>
      </c>
      <c r="O483" s="19">
        <f t="shared" si="185"/>
        <v>1680</v>
      </c>
      <c r="P483" s="19">
        <f t="shared" si="185"/>
        <v>1680</v>
      </c>
      <c r="Q483" s="19">
        <f t="shared" si="185"/>
        <v>1680</v>
      </c>
      <c r="R483" s="19">
        <f t="shared" si="185"/>
        <v>1680</v>
      </c>
      <c r="S483" s="19">
        <f t="shared" si="185"/>
        <v>1680</v>
      </c>
      <c r="T483" s="19">
        <f t="shared" si="185"/>
        <v>1680</v>
      </c>
      <c r="U483" s="19">
        <f t="shared" si="185"/>
        <v>1680</v>
      </c>
      <c r="V483" s="19">
        <f t="shared" si="185"/>
        <v>1680</v>
      </c>
    </row>
    <row r="484" spans="2:22">
      <c r="B484" s="28" t="s">
        <v>9</v>
      </c>
      <c r="C484" s="28"/>
      <c r="D484" s="28"/>
      <c r="E484" s="28"/>
      <c r="F484" s="28"/>
      <c r="G484" s="28"/>
      <c r="H484" s="28"/>
      <c r="I484" s="48">
        <f>SUM(J484:V484)</f>
        <v>35.776799120588926</v>
      </c>
      <c r="J484" s="28">
        <f>J481*J483/Billion</f>
        <v>0</v>
      </c>
      <c r="K484" s="28">
        <f t="shared" ref="K484:V484" si="186">K481*K483/Billion</f>
        <v>0</v>
      </c>
      <c r="L484" s="28">
        <f t="shared" si="186"/>
        <v>0</v>
      </c>
      <c r="M484" s="28">
        <f t="shared" si="186"/>
        <v>3.120828312</v>
      </c>
      <c r="N484" s="28">
        <f t="shared" si="186"/>
        <v>3.2144531613600003</v>
      </c>
      <c r="O484" s="28">
        <f t="shared" si="186"/>
        <v>3.3108867562007998</v>
      </c>
      <c r="P484" s="28">
        <f t="shared" si="186"/>
        <v>3.4102133588868244</v>
      </c>
      <c r="Q484" s="28">
        <f t="shared" si="186"/>
        <v>3.5125197596534297</v>
      </c>
      <c r="R484" s="28">
        <f t="shared" si="186"/>
        <v>3.6178953524430324</v>
      </c>
      <c r="S484" s="28">
        <f t="shared" si="186"/>
        <v>3.7264322130163232</v>
      </c>
      <c r="T484" s="28">
        <f t="shared" si="186"/>
        <v>3.838225179406813</v>
      </c>
      <c r="U484" s="28">
        <f t="shared" si="186"/>
        <v>3.9533719347890175</v>
      </c>
      <c r="V484" s="28">
        <f t="shared" si="186"/>
        <v>4.071973092832688</v>
      </c>
    </row>
    <row r="485" spans="2:22">
      <c r="G485"/>
    </row>
    <row r="486" spans="2:22">
      <c r="B486" t="s">
        <v>809</v>
      </c>
      <c r="F486" s="39">
        <v>0.5</v>
      </c>
      <c r="G486"/>
      <c r="J486">
        <f>J$484*$F486</f>
        <v>0</v>
      </c>
      <c r="K486">
        <f t="shared" ref="K486:V487" si="187">K$484*$F486</f>
        <v>0</v>
      </c>
      <c r="L486">
        <f t="shared" si="187"/>
        <v>0</v>
      </c>
      <c r="M486">
        <f t="shared" si="187"/>
        <v>1.560414156</v>
      </c>
      <c r="N486">
        <f t="shared" si="187"/>
        <v>1.6072265806800001</v>
      </c>
      <c r="O486">
        <f t="shared" si="187"/>
        <v>1.6554433781003999</v>
      </c>
      <c r="P486">
        <f t="shared" si="187"/>
        <v>1.7051066794434122</v>
      </c>
      <c r="Q486">
        <f t="shared" si="187"/>
        <v>1.7562598798267148</v>
      </c>
      <c r="R486">
        <f t="shared" si="187"/>
        <v>1.8089476762215162</v>
      </c>
      <c r="S486">
        <f t="shared" si="187"/>
        <v>1.8632161065081616</v>
      </c>
      <c r="T486">
        <f t="shared" si="187"/>
        <v>1.9191125897034065</v>
      </c>
      <c r="U486">
        <f t="shared" si="187"/>
        <v>1.9766859673945087</v>
      </c>
      <c r="V486">
        <f t="shared" si="187"/>
        <v>2.035986546416344</v>
      </c>
    </row>
    <row r="487" spans="2:22">
      <c r="B487" s="407" t="s">
        <v>810</v>
      </c>
      <c r="F487" s="39">
        <f>1-F486</f>
        <v>0.5</v>
      </c>
      <c r="G487"/>
      <c r="J487">
        <f>J$484*$F487</f>
        <v>0</v>
      </c>
      <c r="K487">
        <f t="shared" si="187"/>
        <v>0</v>
      </c>
      <c r="L487">
        <f t="shared" si="187"/>
        <v>0</v>
      </c>
      <c r="M487">
        <f t="shared" si="187"/>
        <v>1.560414156</v>
      </c>
      <c r="N487">
        <f t="shared" si="187"/>
        <v>1.6072265806800001</v>
      </c>
      <c r="O487">
        <f t="shared" si="187"/>
        <v>1.6554433781003999</v>
      </c>
      <c r="P487">
        <f t="shared" si="187"/>
        <v>1.7051066794434122</v>
      </c>
      <c r="Q487">
        <f t="shared" si="187"/>
        <v>1.7562598798267148</v>
      </c>
      <c r="R487">
        <f t="shared" si="187"/>
        <v>1.8089476762215162</v>
      </c>
      <c r="S487">
        <f t="shared" si="187"/>
        <v>1.8632161065081616</v>
      </c>
      <c r="T487">
        <f t="shared" si="187"/>
        <v>1.9191125897034065</v>
      </c>
      <c r="U487">
        <f t="shared" si="187"/>
        <v>1.9766859673945087</v>
      </c>
      <c r="V487">
        <f t="shared" si="187"/>
        <v>2.035986546416344</v>
      </c>
    </row>
    <row r="488" spans="2:22">
      <c r="B488" s="28" t="s">
        <v>9</v>
      </c>
      <c r="C488" s="28"/>
      <c r="D488" s="28"/>
      <c r="E488" s="28"/>
      <c r="F488" s="28"/>
      <c r="G488" s="28"/>
      <c r="H488" s="28"/>
      <c r="I488" s="48">
        <f>SUM(J488:V488)</f>
        <v>17.888399560294463</v>
      </c>
      <c r="J488" s="28">
        <f>J487</f>
        <v>0</v>
      </c>
      <c r="K488" s="28">
        <f t="shared" ref="K488:V488" si="188">K487</f>
        <v>0</v>
      </c>
      <c r="L488" s="28">
        <f t="shared" si="188"/>
        <v>0</v>
      </c>
      <c r="M488" s="28">
        <f t="shared" si="188"/>
        <v>1.560414156</v>
      </c>
      <c r="N488" s="28">
        <f t="shared" si="188"/>
        <v>1.6072265806800001</v>
      </c>
      <c r="O488" s="28">
        <f t="shared" si="188"/>
        <v>1.6554433781003999</v>
      </c>
      <c r="P488" s="28">
        <f t="shared" si="188"/>
        <v>1.7051066794434122</v>
      </c>
      <c r="Q488" s="28">
        <f t="shared" si="188"/>
        <v>1.7562598798267148</v>
      </c>
      <c r="R488" s="28">
        <f t="shared" si="188"/>
        <v>1.8089476762215162</v>
      </c>
      <c r="S488" s="28">
        <f t="shared" si="188"/>
        <v>1.8632161065081616</v>
      </c>
      <c r="T488" s="28">
        <f t="shared" si="188"/>
        <v>1.9191125897034065</v>
      </c>
      <c r="U488" s="28">
        <f t="shared" si="188"/>
        <v>1.9766859673945087</v>
      </c>
      <c r="V488" s="28">
        <f t="shared" si="188"/>
        <v>2.035986546416344</v>
      </c>
    </row>
    <row r="489" spans="2:22">
      <c r="G489"/>
      <c r="I489" s="21"/>
      <c r="K489" s="21"/>
      <c r="L489" s="21"/>
      <c r="M489" s="21"/>
      <c r="N489" s="21"/>
    </row>
    <row r="490" spans="2:22">
      <c r="B490" t="s">
        <v>471</v>
      </c>
      <c r="G490"/>
      <c r="I490" s="21"/>
      <c r="J490">
        <f t="shared" ref="J490:V490" si="189">SUM(J481)</f>
        <v>0</v>
      </c>
      <c r="K490">
        <f t="shared" si="189"/>
        <v>0</v>
      </c>
      <c r="L490">
        <f t="shared" si="189"/>
        <v>0</v>
      </c>
      <c r="M490">
        <f t="shared" si="189"/>
        <v>1857635.9</v>
      </c>
      <c r="N490">
        <f t="shared" si="189"/>
        <v>1913364.9770000002</v>
      </c>
      <c r="O490">
        <f t="shared" si="189"/>
        <v>1970765.92631</v>
      </c>
      <c r="P490">
        <f t="shared" si="189"/>
        <v>2029888.9040993003</v>
      </c>
      <c r="Q490">
        <f t="shared" si="189"/>
        <v>2090785.5712222795</v>
      </c>
      <c r="R490">
        <f t="shared" si="189"/>
        <v>2153509.1383589478</v>
      </c>
      <c r="S490">
        <f t="shared" si="189"/>
        <v>2218114.4125097161</v>
      </c>
      <c r="T490">
        <f t="shared" si="189"/>
        <v>2284657.8448850079</v>
      </c>
      <c r="U490">
        <f t="shared" si="189"/>
        <v>2353197.5802315581</v>
      </c>
      <c r="V490">
        <f t="shared" si="189"/>
        <v>2423793.5076385047</v>
      </c>
    </row>
    <row r="491" spans="2:22">
      <c r="G491"/>
      <c r="I491" s="21"/>
      <c r="K491" s="21"/>
      <c r="L491" s="21"/>
      <c r="M491" s="21"/>
      <c r="N491" s="21"/>
    </row>
    <row r="492" spans="2:22" ht="15.75">
      <c r="B492" s="15" t="s">
        <v>473</v>
      </c>
      <c r="F492" s="39"/>
      <c r="G492"/>
      <c r="I492" s="21"/>
      <c r="J492" s="1">
        <f>$F492*J$453</f>
        <v>0</v>
      </c>
      <c r="K492" s="1">
        <f t="shared" ref="K492:V492" si="190">$F492*K$453</f>
        <v>0</v>
      </c>
      <c r="L492" s="1">
        <f t="shared" si="190"/>
        <v>0</v>
      </c>
      <c r="M492" s="1">
        <f t="shared" si="190"/>
        <v>0</v>
      </c>
      <c r="N492" s="1">
        <f t="shared" si="190"/>
        <v>0</v>
      </c>
      <c r="O492" s="1">
        <f t="shared" si="190"/>
        <v>0</v>
      </c>
      <c r="P492" s="1">
        <f t="shared" si="190"/>
        <v>0</v>
      </c>
      <c r="Q492" s="1">
        <f t="shared" si="190"/>
        <v>0</v>
      </c>
      <c r="R492" s="1">
        <f t="shared" si="190"/>
        <v>0</v>
      </c>
      <c r="S492" s="1">
        <f t="shared" si="190"/>
        <v>0</v>
      </c>
      <c r="T492" s="1">
        <f t="shared" si="190"/>
        <v>0</v>
      </c>
      <c r="U492" s="1">
        <f t="shared" si="190"/>
        <v>0</v>
      </c>
      <c r="V492" s="1">
        <f t="shared" si="190"/>
        <v>0</v>
      </c>
    </row>
    <row r="493" spans="2:22" ht="15.75">
      <c r="B493" s="15" t="s">
        <v>547</v>
      </c>
      <c r="F493" s="39">
        <v>0.2</v>
      </c>
      <c r="G493">
        <f>40000*USD_IDR</f>
        <v>650600000</v>
      </c>
      <c r="H493">
        <f>I493*Billion</f>
        <v>0</v>
      </c>
      <c r="I493" s="22">
        <f>L493/12</f>
        <v>0</v>
      </c>
      <c r="J493" s="1">
        <f>$F493*J$488</f>
        <v>0</v>
      </c>
      <c r="K493" s="1">
        <f t="shared" ref="K493:V493" si="191">$F493*K$488</f>
        <v>0</v>
      </c>
      <c r="L493" s="1">
        <f t="shared" si="191"/>
        <v>0</v>
      </c>
      <c r="M493" s="1">
        <f t="shared" si="191"/>
        <v>0.31208283120000002</v>
      </c>
      <c r="N493" s="1">
        <f t="shared" si="191"/>
        <v>0.32144531613600003</v>
      </c>
      <c r="O493" s="1">
        <f t="shared" si="191"/>
        <v>0.33108867562007999</v>
      </c>
      <c r="P493" s="1">
        <f t="shared" si="191"/>
        <v>0.34102133588868244</v>
      </c>
      <c r="Q493" s="1">
        <f t="shared" si="191"/>
        <v>0.35125197596534297</v>
      </c>
      <c r="R493" s="1">
        <f t="shared" si="191"/>
        <v>0.36178953524430324</v>
      </c>
      <c r="S493" s="1">
        <f t="shared" si="191"/>
        <v>0.37264322130163235</v>
      </c>
      <c r="T493" s="1">
        <f t="shared" si="191"/>
        <v>0.38382251794068134</v>
      </c>
      <c r="U493" s="1">
        <f t="shared" si="191"/>
        <v>0.39533719347890178</v>
      </c>
      <c r="V493" s="1">
        <f t="shared" si="191"/>
        <v>0.4071973092832688</v>
      </c>
    </row>
    <row r="494" spans="2:22" ht="15.75">
      <c r="B494" s="15"/>
      <c r="G494"/>
      <c r="I494" s="2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</row>
    <row r="495" spans="2:22">
      <c r="B495" s="2" t="s">
        <v>513</v>
      </c>
      <c r="E495" s="58" t="s">
        <v>514</v>
      </c>
      <c r="F495" s="58" t="s">
        <v>515</v>
      </c>
      <c r="G495"/>
      <c r="H495">
        <f>F496*Million</f>
        <v>40000</v>
      </c>
      <c r="I495" s="22"/>
      <c r="J495">
        <f>SUM(J498,J503)</f>
        <v>0</v>
      </c>
      <c r="K495">
        <f t="shared" ref="K495:V495" si="192">SUM(K498,K503)</f>
        <v>0</v>
      </c>
      <c r="L495">
        <f t="shared" si="192"/>
        <v>0</v>
      </c>
      <c r="M495">
        <f t="shared" si="192"/>
        <v>0.13012000000000001</v>
      </c>
      <c r="N495">
        <f t="shared" si="192"/>
        <v>0.13012000000000001</v>
      </c>
      <c r="O495">
        <f t="shared" si="192"/>
        <v>0.13012000000000001</v>
      </c>
      <c r="P495">
        <f t="shared" si="192"/>
        <v>0.13012000000000001</v>
      </c>
      <c r="Q495">
        <f t="shared" si="192"/>
        <v>0.13012000000000001</v>
      </c>
      <c r="R495">
        <f t="shared" si="192"/>
        <v>0.13012000000000001</v>
      </c>
      <c r="S495">
        <f t="shared" si="192"/>
        <v>0.13012000000000001</v>
      </c>
      <c r="T495">
        <f t="shared" si="192"/>
        <v>0.13012000000000001</v>
      </c>
      <c r="U495">
        <f t="shared" si="192"/>
        <v>0.13012000000000001</v>
      </c>
      <c r="V495">
        <f t="shared" si="192"/>
        <v>0.13012000000000001</v>
      </c>
    </row>
    <row r="496" spans="2:22">
      <c r="B496" s="407" t="s">
        <v>516</v>
      </c>
      <c r="E496" s="6">
        <v>5</v>
      </c>
      <c r="F496" s="30">
        <f>40000/Million</f>
        <v>0.04</v>
      </c>
      <c r="G496" s="17" t="s">
        <v>800</v>
      </c>
      <c r="H496">
        <f>H495*USD_IDR</f>
        <v>650600000</v>
      </c>
    </row>
    <row r="497" spans="1:22">
      <c r="B497" s="407" t="s">
        <v>517</v>
      </c>
      <c r="F497" s="74">
        <v>1</v>
      </c>
      <c r="G497" s="17" t="s">
        <v>800</v>
      </c>
    </row>
    <row r="498" spans="1:22">
      <c r="B498" s="28" t="s">
        <v>476</v>
      </c>
      <c r="C498" s="28"/>
      <c r="D498" s="28"/>
      <c r="E498" s="28"/>
      <c r="F498" s="28"/>
      <c r="G498" s="28"/>
      <c r="H498" s="28"/>
      <c r="I498" s="49">
        <f>SUM(J498:V498)</f>
        <v>1.3012000000000001</v>
      </c>
      <c r="J498" s="47">
        <f t="shared" ref="J498:V498" si="193">($F496*$F497*Million)/$E496*USD_IDR/Billion*J$441</f>
        <v>0</v>
      </c>
      <c r="K498" s="47">
        <f t="shared" si="193"/>
        <v>0</v>
      </c>
      <c r="L498" s="47">
        <f t="shared" si="193"/>
        <v>0</v>
      </c>
      <c r="M498" s="47">
        <f t="shared" si="193"/>
        <v>0.13012000000000001</v>
      </c>
      <c r="N498" s="47">
        <f t="shared" si="193"/>
        <v>0.13012000000000001</v>
      </c>
      <c r="O498" s="47">
        <f t="shared" si="193"/>
        <v>0.13012000000000001</v>
      </c>
      <c r="P498" s="47">
        <f t="shared" si="193"/>
        <v>0.13012000000000001</v>
      </c>
      <c r="Q498" s="47">
        <f t="shared" si="193"/>
        <v>0.13012000000000001</v>
      </c>
      <c r="R498" s="47">
        <f t="shared" si="193"/>
        <v>0.13012000000000001</v>
      </c>
      <c r="S498" s="47">
        <f t="shared" si="193"/>
        <v>0.13012000000000001</v>
      </c>
      <c r="T498" s="47">
        <f t="shared" si="193"/>
        <v>0.13012000000000001</v>
      </c>
      <c r="U498" s="47">
        <f t="shared" si="193"/>
        <v>0.13012000000000001</v>
      </c>
      <c r="V498" s="47">
        <f t="shared" si="193"/>
        <v>0.13012000000000001</v>
      </c>
    </row>
    <row r="499" spans="1:22">
      <c r="G499"/>
    </row>
    <row r="500" spans="1:22">
      <c r="B500" s="2" t="s">
        <v>518</v>
      </c>
      <c r="E500" s="58" t="s">
        <v>514</v>
      </c>
      <c r="F500" s="58" t="s">
        <v>515</v>
      </c>
      <c r="G500"/>
      <c r="I500" s="22"/>
    </row>
    <row r="501" spans="1:22">
      <c r="B501" s="407" t="s">
        <v>516</v>
      </c>
      <c r="E501" s="16">
        <v>10</v>
      </c>
      <c r="F501" s="30">
        <f>Input!$J$1264</f>
        <v>3.7622963418383031</v>
      </c>
      <c r="G501" s="17" t="s">
        <v>315</v>
      </c>
    </row>
    <row r="502" spans="1:22">
      <c r="B502" s="407" t="s">
        <v>517</v>
      </c>
      <c r="F502" s="21">
        <f>100%-F497</f>
        <v>0</v>
      </c>
      <c r="G502" s="17" t="s">
        <v>315</v>
      </c>
    </row>
    <row r="503" spans="1:22">
      <c r="B503" s="28" t="s">
        <v>476</v>
      </c>
      <c r="C503" s="28"/>
      <c r="D503" s="28"/>
      <c r="E503" s="28"/>
      <c r="F503" s="28"/>
      <c r="G503" s="28"/>
      <c r="H503" s="28"/>
      <c r="I503" s="49">
        <f>SUM(J503:V503)</f>
        <v>0</v>
      </c>
      <c r="J503" s="47">
        <f t="shared" ref="J503:V503" si="194">($F501*$F502*Million)/$E501*USD_IDR/Billion*J$441</f>
        <v>0</v>
      </c>
      <c r="K503" s="47">
        <f t="shared" si="194"/>
        <v>0</v>
      </c>
      <c r="L503" s="47">
        <f t="shared" si="194"/>
        <v>0</v>
      </c>
      <c r="M503" s="47">
        <f t="shared" si="194"/>
        <v>0</v>
      </c>
      <c r="N503" s="47">
        <f t="shared" si="194"/>
        <v>0</v>
      </c>
      <c r="O503" s="47">
        <f t="shared" si="194"/>
        <v>0</v>
      </c>
      <c r="P503" s="47">
        <f t="shared" si="194"/>
        <v>0</v>
      </c>
      <c r="Q503" s="47">
        <f t="shared" si="194"/>
        <v>0</v>
      </c>
      <c r="R503" s="47">
        <f t="shared" si="194"/>
        <v>0</v>
      </c>
      <c r="S503" s="47">
        <f t="shared" si="194"/>
        <v>0</v>
      </c>
      <c r="T503" s="47">
        <f t="shared" si="194"/>
        <v>0</v>
      </c>
      <c r="U503" s="47">
        <f t="shared" si="194"/>
        <v>0</v>
      </c>
      <c r="V503" s="47">
        <f t="shared" si="194"/>
        <v>0</v>
      </c>
    </row>
    <row r="504" spans="1:22">
      <c r="G504"/>
    </row>
    <row r="505" spans="1:22">
      <c r="G505"/>
    </row>
    <row r="506" spans="1:22">
      <c r="G506"/>
    </row>
    <row r="507" spans="1:22">
      <c r="G507"/>
    </row>
    <row r="508" spans="1:22" ht="24" thickBot="1">
      <c r="A508" s="257"/>
      <c r="B508" s="14" t="s">
        <v>548</v>
      </c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</row>
    <row r="509" spans="1:22">
      <c r="A509" s="257"/>
      <c r="G509"/>
    </row>
    <row r="510" spans="1:22">
      <c r="A510" s="257"/>
      <c r="B510" t="s">
        <v>37</v>
      </c>
      <c r="F510" s="19">
        <v>2028</v>
      </c>
      <c r="G510"/>
      <c r="J510" s="13">
        <f>IF(J$8&lt;$F510,0,1)*J$12</f>
        <v>0</v>
      </c>
      <c r="K510" s="13">
        <f t="shared" ref="K510:V510" si="195">IF(K$8&lt;$F510,0,1)*K$12</f>
        <v>0</v>
      </c>
      <c r="L510" s="13">
        <f t="shared" si="195"/>
        <v>0</v>
      </c>
      <c r="M510" s="13">
        <f t="shared" si="195"/>
        <v>0</v>
      </c>
      <c r="N510" s="13">
        <f t="shared" si="195"/>
        <v>1</v>
      </c>
      <c r="O510" s="13">
        <f t="shared" si="195"/>
        <v>1</v>
      </c>
      <c r="P510" s="13">
        <f t="shared" si="195"/>
        <v>1</v>
      </c>
      <c r="Q510" s="13">
        <f t="shared" si="195"/>
        <v>1</v>
      </c>
      <c r="R510" s="13">
        <f t="shared" si="195"/>
        <v>1</v>
      </c>
      <c r="S510" s="13">
        <f t="shared" si="195"/>
        <v>1</v>
      </c>
      <c r="T510" s="13">
        <f t="shared" si="195"/>
        <v>1</v>
      </c>
      <c r="U510" s="13">
        <f t="shared" si="195"/>
        <v>1</v>
      </c>
      <c r="V510" s="13">
        <f t="shared" si="195"/>
        <v>1</v>
      </c>
    </row>
    <row r="511" spans="1:22">
      <c r="A511" s="257"/>
      <c r="G511"/>
    </row>
    <row r="512" spans="1:22" ht="15.75">
      <c r="A512" s="257"/>
      <c r="B512" s="15" t="s">
        <v>549</v>
      </c>
      <c r="G512" s="74">
        <v>0.52015928203423634</v>
      </c>
      <c r="H512">
        <v>24612</v>
      </c>
      <c r="I512">
        <v>45612</v>
      </c>
      <c r="K512">
        <f>I512*(1+3%)^4</f>
        <v>51336.707841719995</v>
      </c>
      <c r="L512">
        <f>K512*(1+3%)</f>
        <v>52876.8090769716</v>
      </c>
      <c r="M512">
        <f>L512*(1+3%)</f>
        <v>54463.113349280749</v>
      </c>
      <c r="N512">
        <f>N515/$G$512</f>
        <v>70000</v>
      </c>
      <c r="O512">
        <f t="shared" ref="O512:V512" si="196">O515/$G$512</f>
        <v>84000</v>
      </c>
      <c r="P512">
        <f t="shared" si="196"/>
        <v>84000</v>
      </c>
      <c r="Q512">
        <f t="shared" si="196"/>
        <v>92399.999999999985</v>
      </c>
      <c r="R512">
        <f t="shared" si="196"/>
        <v>92399.999999999985</v>
      </c>
      <c r="S512">
        <f t="shared" si="196"/>
        <v>97944</v>
      </c>
      <c r="T512">
        <f t="shared" si="196"/>
        <v>97944</v>
      </c>
      <c r="U512">
        <f t="shared" si="196"/>
        <v>103820.64000000001</v>
      </c>
      <c r="V512">
        <f t="shared" si="196"/>
        <v>103820.64000000001</v>
      </c>
    </row>
    <row r="513" spans="1:22" ht="15.75">
      <c r="A513" s="257"/>
      <c r="B513" s="41" t="s">
        <v>511</v>
      </c>
      <c r="F513" s="19">
        <v>2028</v>
      </c>
      <c r="G513" s="74">
        <f>1-G512</f>
        <v>0.47984071796576366</v>
      </c>
      <c r="H513">
        <v>21000</v>
      </c>
      <c r="I513">
        <v>1</v>
      </c>
      <c r="J513" s="70">
        <f>IF(J$8&lt;$F513,0,IF(J$8=$F513,1,I513*(1+Input!K485)*J$12))</f>
        <v>0</v>
      </c>
      <c r="K513" s="70">
        <f>IF(K$8&lt;$F513,0,IF(K$8=$F513,1,J513*(1+Input!L485)*K$12))</f>
        <v>0</v>
      </c>
      <c r="L513" s="77">
        <f>IF(L$8&lt;$F513,0,IF(L$8=$F513,1,K513*(1+Input!M485)*L$12))</f>
        <v>0</v>
      </c>
      <c r="M513" s="77">
        <f>IF(M$8&lt;$F513,0,IF(M$8=$F513,1,L513*(1+Input!N485)*M$12))</f>
        <v>0</v>
      </c>
      <c r="N513" s="77">
        <f>IF(N$8&lt;$F513,0,IF(N$8=$F513,1,M513*(1+Input!O485)*N$12))</f>
        <v>1</v>
      </c>
      <c r="O513" s="77">
        <f>IF(O$8&lt;$F513,0,IF(O$8=$F513,1,N513*(1+Input!P485)*O$12))</f>
        <v>1.1000000000000001</v>
      </c>
      <c r="P513" s="70">
        <f>IF(P$8&lt;$F513,0,IF(P$8=$F513,1,O513*(1+Input!Q485)*P$12))</f>
        <v>1.2100000000000002</v>
      </c>
      <c r="Q513" s="70">
        <f>IF(Q$8&lt;$F513,0,IF(Q$8=$F513,1,P513*(1+Input!R485)*Q$12))</f>
        <v>1.3310000000000004</v>
      </c>
      <c r="R513" s="70">
        <f>IF(R$8&lt;$F513,0,IF(R$8=$F513,1,Q513*(1+Input!S485)*R$12))</f>
        <v>1.4108600000000004</v>
      </c>
      <c r="S513" s="70">
        <f>IF(S$8&lt;$F513,0,IF(S$8=$F513,1,R513*(1+Input!T485)*S$12))</f>
        <v>1.4955116000000006</v>
      </c>
      <c r="T513" s="70">
        <f>IF(T$8&lt;$F513,0,IF(T$8=$F513,1,S513*(1+Input!U485)*T$12))</f>
        <v>1.5852422960000008</v>
      </c>
      <c r="U513" s="70">
        <f>IF(U$8&lt;$F513,0,IF(U$8=$F513,1,T513*(1+Input!V485)*U$12))</f>
        <v>1.680356833760001</v>
      </c>
      <c r="V513" s="70">
        <f>IF(V$8&lt;$F513,0,IF(V$8=$F513,1,U513*(1+Input!W485)*V$12))</f>
        <v>1.7811782437856012</v>
      </c>
    </row>
    <row r="514" spans="1:22">
      <c r="A514" s="257"/>
      <c r="B514" s="407" t="s">
        <v>407</v>
      </c>
      <c r="F514" s="6">
        <f>Input!J490*0+1600000</f>
        <v>1600000</v>
      </c>
      <c r="G514" s="17" t="s">
        <v>315</v>
      </c>
      <c r="H514">
        <f>SUM(H512:H513)</f>
        <v>45612</v>
      </c>
      <c r="J514">
        <f>$F$514*J513</f>
        <v>0</v>
      </c>
      <c r="K514">
        <f t="shared" ref="K514:V514" si="197">$F$514*K513</f>
        <v>0</v>
      </c>
      <c r="L514">
        <f t="shared" si="197"/>
        <v>0</v>
      </c>
      <c r="M514">
        <f t="shared" si="197"/>
        <v>0</v>
      </c>
      <c r="N514">
        <f t="shared" si="197"/>
        <v>1600000</v>
      </c>
      <c r="O514">
        <f t="shared" si="197"/>
        <v>1760000.0000000002</v>
      </c>
      <c r="P514">
        <f t="shared" si="197"/>
        <v>1936000.0000000002</v>
      </c>
      <c r="Q514">
        <f t="shared" si="197"/>
        <v>2129600.0000000005</v>
      </c>
      <c r="R514">
        <f t="shared" si="197"/>
        <v>2257376.0000000009</v>
      </c>
      <c r="S514">
        <f t="shared" si="197"/>
        <v>2392818.560000001</v>
      </c>
      <c r="T514">
        <f t="shared" si="197"/>
        <v>2536387.6736000013</v>
      </c>
      <c r="U514">
        <f t="shared" si="197"/>
        <v>2688570.9340160014</v>
      </c>
      <c r="V514">
        <f t="shared" si="197"/>
        <v>2849885.190056962</v>
      </c>
    </row>
    <row r="515" spans="1:22">
      <c r="A515" s="257"/>
      <c r="B515" s="407" t="s">
        <v>465</v>
      </c>
      <c r="H515">
        <f>I512*F514/Billion</f>
        <v>72.979200000000006</v>
      </c>
      <c r="J515">
        <f>Input!K492</f>
        <v>0</v>
      </c>
      <c r="K515">
        <f>Input!L492</f>
        <v>0</v>
      </c>
      <c r="L515">
        <f>Input!M492</f>
        <v>0</v>
      </c>
      <c r="M515">
        <f>Input!N492</f>
        <v>0</v>
      </c>
      <c r="N515">
        <f>Input!O492</f>
        <v>36411.149742396541</v>
      </c>
      <c r="O515">
        <f>Input!P492</f>
        <v>43693.379690875852</v>
      </c>
      <c r="P515">
        <f>Input!Q492</f>
        <v>43693.379690875852</v>
      </c>
      <c r="Q515">
        <f>Input!R492</f>
        <v>48062.717659963433</v>
      </c>
      <c r="R515">
        <f>Input!S492</f>
        <v>48062.717659963433</v>
      </c>
      <c r="S515">
        <f>Input!T492</f>
        <v>50946.480719561245</v>
      </c>
      <c r="T515">
        <f>Input!U492</f>
        <v>50946.480719561245</v>
      </c>
      <c r="U515">
        <f>Input!V492</f>
        <v>54003.269562734924</v>
      </c>
      <c r="V515">
        <f>Input!W492</f>
        <v>54003.269562734924</v>
      </c>
    </row>
    <row r="516" spans="1:22">
      <c r="A516" s="257"/>
      <c r="B516" s="28" t="s">
        <v>9</v>
      </c>
      <c r="C516" s="28"/>
      <c r="D516" s="28"/>
      <c r="E516" s="28"/>
      <c r="F516" s="28"/>
      <c r="G516" s="28"/>
      <c r="H516" s="28"/>
      <c r="I516" s="48">
        <f>SUM(J516:V516)</f>
        <v>980.81900916688323</v>
      </c>
      <c r="J516" s="78">
        <f>J514*J515/Billion</f>
        <v>0</v>
      </c>
      <c r="K516" s="78">
        <f t="shared" ref="K516:V516" si="198">K514*K515/Billion</f>
        <v>0</v>
      </c>
      <c r="L516" s="76">
        <f t="shared" si="198"/>
        <v>0</v>
      </c>
      <c r="M516" s="76">
        <f t="shared" si="198"/>
        <v>0</v>
      </c>
      <c r="N516" s="78">
        <f t="shared" si="198"/>
        <v>58.257839587834468</v>
      </c>
      <c r="O516" s="76">
        <f t="shared" si="198"/>
        <v>76.900348255941509</v>
      </c>
      <c r="P516" s="76">
        <f t="shared" si="198"/>
        <v>84.590383081535663</v>
      </c>
      <c r="Q516" s="76">
        <f t="shared" si="198"/>
        <v>102.35436352865814</v>
      </c>
      <c r="R516" s="76">
        <f t="shared" si="198"/>
        <v>108.49562534037766</v>
      </c>
      <c r="S516" s="76">
        <f t="shared" si="198"/>
        <v>121.90568463244836</v>
      </c>
      <c r="T516" s="76">
        <f t="shared" si="198"/>
        <v>129.22002571039528</v>
      </c>
      <c r="U516" s="76">
        <f t="shared" si="198"/>
        <v>145.19162088820013</v>
      </c>
      <c r="V516" s="76">
        <f t="shared" si="198"/>
        <v>153.90311814149214</v>
      </c>
    </row>
    <row r="517" spans="1:22">
      <c r="G517"/>
      <c r="I517" s="21"/>
      <c r="K517" s="21"/>
      <c r="L517" s="22">
        <f>90000/50000</f>
        <v>1.8</v>
      </c>
      <c r="M517" s="22">
        <f>L517*USD_IDR</f>
        <v>29277</v>
      </c>
      <c r="N517" s="22">
        <f>USD_IDR</f>
        <v>16265</v>
      </c>
    </row>
    <row r="518" spans="1:22" s="2" customFormat="1">
      <c r="B518" s="2" t="s">
        <v>471</v>
      </c>
      <c r="I518" s="85"/>
      <c r="J518" s="2">
        <f>SUM(J514)</f>
        <v>0</v>
      </c>
      <c r="K518" s="2">
        <f t="shared" ref="K518:V518" si="199">SUM(K514)</f>
        <v>0</v>
      </c>
      <c r="L518" s="2">
        <f t="shared" si="199"/>
        <v>0</v>
      </c>
      <c r="M518" s="2">
        <f t="shared" si="199"/>
        <v>0</v>
      </c>
      <c r="N518" s="2">
        <f t="shared" si="199"/>
        <v>1600000</v>
      </c>
      <c r="O518" s="2">
        <f t="shared" si="199"/>
        <v>1760000.0000000002</v>
      </c>
      <c r="P518" s="2">
        <f t="shared" si="199"/>
        <v>1936000.0000000002</v>
      </c>
      <c r="Q518" s="2">
        <f t="shared" si="199"/>
        <v>2129600.0000000005</v>
      </c>
      <c r="R518" s="2">
        <f t="shared" si="199"/>
        <v>2257376.0000000009</v>
      </c>
      <c r="S518" s="2">
        <f t="shared" si="199"/>
        <v>2392818.560000001</v>
      </c>
      <c r="T518" s="2">
        <f t="shared" si="199"/>
        <v>2536387.6736000013</v>
      </c>
      <c r="U518" s="2">
        <f t="shared" si="199"/>
        <v>2688570.9340160014</v>
      </c>
      <c r="V518" s="2">
        <f t="shared" si="199"/>
        <v>2849885.190056962</v>
      </c>
    </row>
    <row r="519" spans="1:22">
      <c r="G519"/>
      <c r="I519" s="21"/>
      <c r="K519" s="21"/>
      <c r="L519" s="21"/>
      <c r="M519" s="21"/>
      <c r="N519" s="21"/>
    </row>
    <row r="520" spans="1:22" s="2" customFormat="1">
      <c r="B520" s="2" t="s">
        <v>492</v>
      </c>
      <c r="I520" s="85"/>
      <c r="J520" s="2">
        <f>SUM(J526,J531)</f>
        <v>0</v>
      </c>
      <c r="K520" s="2">
        <f t="shared" ref="K520:V520" si="200">SUM(K526,K531)</f>
        <v>0</v>
      </c>
      <c r="L520" s="2">
        <f t="shared" si="200"/>
        <v>0</v>
      </c>
      <c r="M520" s="2">
        <f t="shared" si="200"/>
        <v>0</v>
      </c>
      <c r="N520" s="2">
        <f t="shared" si="200"/>
        <v>7.1509374999999995</v>
      </c>
      <c r="O520" s="2">
        <f t="shared" si="200"/>
        <v>7.1509374999999995</v>
      </c>
      <c r="P520" s="2">
        <f t="shared" si="200"/>
        <v>7.1509374999999995</v>
      </c>
      <c r="Q520" s="2">
        <f t="shared" si="200"/>
        <v>7.1509374999999995</v>
      </c>
      <c r="R520" s="2">
        <f t="shared" si="200"/>
        <v>7.1509374999999995</v>
      </c>
      <c r="S520" s="2">
        <f t="shared" si="200"/>
        <v>7.1509374999999995</v>
      </c>
      <c r="T520" s="2">
        <f t="shared" si="200"/>
        <v>7.1509374999999995</v>
      </c>
      <c r="U520" s="2">
        <f t="shared" si="200"/>
        <v>7.1509374999999995</v>
      </c>
      <c r="V520" s="2">
        <f t="shared" si="200"/>
        <v>7.1509374999999995</v>
      </c>
    </row>
    <row r="521" spans="1:22">
      <c r="G521"/>
      <c r="I521" s="21"/>
      <c r="K521" s="21"/>
      <c r="L521" s="21"/>
      <c r="M521" s="21"/>
      <c r="N521" s="21"/>
    </row>
    <row r="522" spans="1:22" ht="15.75">
      <c r="B522" s="15" t="s">
        <v>473</v>
      </c>
      <c r="G522"/>
      <c r="I522" s="21"/>
      <c r="J522">
        <f>J536</f>
        <v>0</v>
      </c>
      <c r="K522">
        <f t="shared" ref="K522:V522" si="201">K536</f>
        <v>0</v>
      </c>
      <c r="L522" s="23">
        <f t="shared" si="201"/>
        <v>0</v>
      </c>
      <c r="M522" s="23">
        <f t="shared" si="201"/>
        <v>0</v>
      </c>
      <c r="N522" s="23">
        <f t="shared" si="201"/>
        <v>15.060366036570935</v>
      </c>
      <c r="O522" s="23">
        <f t="shared" si="201"/>
        <v>18.293330967567417</v>
      </c>
      <c r="P522" s="23">
        <f t="shared" si="201"/>
        <v>20.331384195423407</v>
      </c>
      <c r="Q522" s="23">
        <f t="shared" si="201"/>
        <v>23.455629098209847</v>
      </c>
      <c r="R522" s="23">
        <f t="shared" si="201"/>
        <v>25.179645829240805</v>
      </c>
      <c r="S522" s="23">
        <f t="shared" si="201"/>
        <v>26.987302524079247</v>
      </c>
      <c r="T522" s="23">
        <f t="shared" si="201"/>
        <v>28.932476872844564</v>
      </c>
      <c r="U522" s="23">
        <f t="shared" si="201"/>
        <v>32.887630952372412</v>
      </c>
      <c r="V522" s="23">
        <f t="shared" si="201"/>
        <v>35.276654045694151</v>
      </c>
    </row>
    <row r="523" spans="1:22">
      <c r="B523" s="2" t="s">
        <v>513</v>
      </c>
      <c r="E523" s="58" t="s">
        <v>514</v>
      </c>
      <c r="F523" s="58" t="s">
        <v>515</v>
      </c>
      <c r="G523"/>
      <c r="I523" s="22"/>
    </row>
    <row r="524" spans="1:22">
      <c r="B524" s="407" t="s">
        <v>516</v>
      </c>
      <c r="E524" s="16">
        <f>Input!J507</f>
        <v>20</v>
      </c>
      <c r="F524" s="30">
        <f>SUM(Calculation_FSL!I1479:V1479)</f>
        <v>5.0245926836766062</v>
      </c>
      <c r="G524" s="17" t="s">
        <v>315</v>
      </c>
    </row>
    <row r="525" spans="1:22">
      <c r="B525" s="407" t="s">
        <v>517</v>
      </c>
      <c r="F525" s="73">
        <f>Input!J504</f>
        <v>0.5</v>
      </c>
      <c r="G525" s="17" t="s">
        <v>315</v>
      </c>
    </row>
    <row r="526" spans="1:22">
      <c r="B526" s="28" t="s">
        <v>476</v>
      </c>
      <c r="C526" s="28"/>
      <c r="D526" s="28"/>
      <c r="E526" s="28"/>
      <c r="F526" s="28"/>
      <c r="G526" s="28"/>
      <c r="H526" s="28"/>
      <c r="I526" s="49">
        <f>SUM(J526:V526)</f>
        <v>18.388124999999999</v>
      </c>
      <c r="J526" s="47">
        <f t="shared" ref="J526:V526" si="202">($F524*$F525*Million)/$E524*USD_IDR/Billion*J510</f>
        <v>0</v>
      </c>
      <c r="K526" s="47">
        <f t="shared" si="202"/>
        <v>0</v>
      </c>
      <c r="L526" s="47">
        <f t="shared" si="202"/>
        <v>0</v>
      </c>
      <c r="M526" s="47">
        <f t="shared" si="202"/>
        <v>0</v>
      </c>
      <c r="N526" s="47">
        <f t="shared" si="202"/>
        <v>2.0431249999999999</v>
      </c>
      <c r="O526" s="47">
        <f t="shared" si="202"/>
        <v>2.0431249999999999</v>
      </c>
      <c r="P526" s="47">
        <f t="shared" si="202"/>
        <v>2.0431249999999999</v>
      </c>
      <c r="Q526" s="47">
        <f t="shared" si="202"/>
        <v>2.0431249999999999</v>
      </c>
      <c r="R526" s="47">
        <f t="shared" si="202"/>
        <v>2.0431249999999999</v>
      </c>
      <c r="S526" s="47">
        <f t="shared" si="202"/>
        <v>2.0431249999999999</v>
      </c>
      <c r="T526" s="47">
        <f t="shared" si="202"/>
        <v>2.0431249999999999</v>
      </c>
      <c r="U526" s="47">
        <f t="shared" si="202"/>
        <v>2.0431249999999999</v>
      </c>
      <c r="V526" s="47">
        <f t="shared" si="202"/>
        <v>2.0431249999999999</v>
      </c>
    </row>
    <row r="527" spans="1:22">
      <c r="G527"/>
    </row>
    <row r="528" spans="1:22">
      <c r="B528" s="2" t="s">
        <v>518</v>
      </c>
      <c r="E528" s="58" t="s">
        <v>514</v>
      </c>
      <c r="F528" s="58" t="s">
        <v>515</v>
      </c>
      <c r="G528"/>
      <c r="I528" s="22"/>
    </row>
    <row r="529" spans="1:22">
      <c r="B529" s="407" t="s">
        <v>516</v>
      </c>
      <c r="E529" s="16">
        <f>Input!J508</f>
        <v>8</v>
      </c>
      <c r="F529" s="30">
        <f>F524</f>
        <v>5.0245926836766062</v>
      </c>
      <c r="G529" s="17" t="s">
        <v>315</v>
      </c>
    </row>
    <row r="530" spans="1:22">
      <c r="B530" s="407" t="s">
        <v>517</v>
      </c>
      <c r="F530" s="73">
        <f>Input!J505</f>
        <v>0.5</v>
      </c>
      <c r="G530" s="17" t="s">
        <v>315</v>
      </c>
    </row>
    <row r="531" spans="1:22">
      <c r="B531" s="28" t="s">
        <v>476</v>
      </c>
      <c r="C531" s="28"/>
      <c r="D531" s="28"/>
      <c r="E531" s="28"/>
      <c r="F531" s="28"/>
      <c r="G531" s="28"/>
      <c r="H531" s="28"/>
      <c r="I531" s="49">
        <f>SUM(J531:V531)</f>
        <v>45.970312500000006</v>
      </c>
      <c r="J531" s="47">
        <f t="shared" ref="J531:V531" si="203">($F529*$F530*Million)/$E529*USD_IDR/Billion*J510</f>
        <v>0</v>
      </c>
      <c r="K531" s="47">
        <f t="shared" si="203"/>
        <v>0</v>
      </c>
      <c r="L531" s="47">
        <f t="shared" si="203"/>
        <v>0</v>
      </c>
      <c r="M531" s="47">
        <f t="shared" si="203"/>
        <v>0</v>
      </c>
      <c r="N531" s="47">
        <f t="shared" si="203"/>
        <v>5.1078124999999996</v>
      </c>
      <c r="O531" s="47">
        <f t="shared" si="203"/>
        <v>5.1078124999999996</v>
      </c>
      <c r="P531" s="47">
        <f t="shared" si="203"/>
        <v>5.1078124999999996</v>
      </c>
      <c r="Q531" s="47">
        <f t="shared" si="203"/>
        <v>5.1078124999999996</v>
      </c>
      <c r="R531" s="47">
        <f t="shared" si="203"/>
        <v>5.1078124999999996</v>
      </c>
      <c r="S531" s="47">
        <f t="shared" si="203"/>
        <v>5.1078124999999996</v>
      </c>
      <c r="T531" s="47">
        <f t="shared" si="203"/>
        <v>5.1078124999999996</v>
      </c>
      <c r="U531" s="47">
        <f t="shared" si="203"/>
        <v>5.1078124999999996</v>
      </c>
      <c r="V531" s="47">
        <f t="shared" si="203"/>
        <v>5.1078124999999996</v>
      </c>
    </row>
    <row r="532" spans="1:22">
      <c r="G532"/>
    </row>
    <row r="533" spans="1:22">
      <c r="A533" s="258"/>
      <c r="B533" s="2" t="s">
        <v>550</v>
      </c>
      <c r="G533"/>
    </row>
    <row r="534" spans="1:22">
      <c r="A534" s="258"/>
      <c r="B534" s="407" t="s">
        <v>519</v>
      </c>
      <c r="J534" s="74">
        <f t="shared" ref="J534:V534" si="204">IFERROR(J264/J260,0)</f>
        <v>0.3471912523898229</v>
      </c>
      <c r="K534" s="74">
        <f t="shared" si="204"/>
        <v>0.30072601554587003</v>
      </c>
      <c r="L534" s="86">
        <f t="shared" si="204"/>
        <v>0.30425150668690643</v>
      </c>
      <c r="M534" s="87">
        <f t="shared" si="204"/>
        <v>0.25597957065810295</v>
      </c>
      <c r="N534" s="86">
        <f t="shared" si="204"/>
        <v>0.25851226449728965</v>
      </c>
      <c r="O534" s="86">
        <f t="shared" si="204"/>
        <v>0.23788359067872009</v>
      </c>
      <c r="P534" s="86">
        <f t="shared" si="204"/>
        <v>0.24035101219279534</v>
      </c>
      <c r="Q534" s="86">
        <f t="shared" si="204"/>
        <v>0.22916100779272122</v>
      </c>
      <c r="R534" s="86">
        <f t="shared" si="204"/>
        <v>0.23207982580169492</v>
      </c>
      <c r="S534" s="86">
        <f t="shared" si="204"/>
        <v>0.22137854034819865</v>
      </c>
      <c r="T534" s="86">
        <f t="shared" si="204"/>
        <v>0.22390087537737621</v>
      </c>
      <c r="U534" s="86">
        <f t="shared" si="204"/>
        <v>0.22651190716919134</v>
      </c>
      <c r="V534" s="86">
        <f t="shared" si="204"/>
        <v>0.22921338093528593</v>
      </c>
    </row>
    <row r="535" spans="1:22">
      <c r="A535" s="258"/>
      <c r="B535" s="407" t="s">
        <v>472</v>
      </c>
      <c r="G535" s="17" t="s">
        <v>315</v>
      </c>
      <c r="J535">
        <f>J516</f>
        <v>0</v>
      </c>
      <c r="K535">
        <f t="shared" ref="K535:V535" si="205">K516</f>
        <v>0</v>
      </c>
      <c r="L535" s="1">
        <f t="shared" si="205"/>
        <v>0</v>
      </c>
      <c r="M535" s="1">
        <f t="shared" si="205"/>
        <v>0</v>
      </c>
      <c r="N535" s="1">
        <f t="shared" si="205"/>
        <v>58.257839587834468</v>
      </c>
      <c r="O535" s="1">
        <f t="shared" si="205"/>
        <v>76.900348255941509</v>
      </c>
      <c r="P535" s="1">
        <f t="shared" si="205"/>
        <v>84.590383081535663</v>
      </c>
      <c r="Q535" s="1">
        <f t="shared" si="205"/>
        <v>102.35436352865814</v>
      </c>
      <c r="R535" s="1">
        <f t="shared" si="205"/>
        <v>108.49562534037766</v>
      </c>
      <c r="S535" s="1">
        <f t="shared" si="205"/>
        <v>121.90568463244836</v>
      </c>
      <c r="T535" s="1">
        <f t="shared" si="205"/>
        <v>129.22002571039528</v>
      </c>
      <c r="U535" s="1">
        <f t="shared" si="205"/>
        <v>145.19162088820013</v>
      </c>
      <c r="V535" s="1">
        <f t="shared" si="205"/>
        <v>153.90311814149214</v>
      </c>
    </row>
    <row r="536" spans="1:22">
      <c r="A536" s="258"/>
      <c r="B536" s="28" t="s">
        <v>480</v>
      </c>
      <c r="C536" s="28"/>
      <c r="D536" s="28"/>
      <c r="E536" s="28"/>
      <c r="F536" s="28"/>
      <c r="G536" s="28"/>
      <c r="H536" s="28"/>
      <c r="I536" s="28"/>
      <c r="J536" s="47">
        <f>J534*J535</f>
        <v>0</v>
      </c>
      <c r="K536" s="47">
        <f t="shared" ref="K536:V536" si="206">K534*K535</f>
        <v>0</v>
      </c>
      <c r="L536" s="47">
        <f t="shared" si="206"/>
        <v>0</v>
      </c>
      <c r="M536" s="47">
        <f t="shared" si="206"/>
        <v>0</v>
      </c>
      <c r="N536" s="47">
        <f t="shared" si="206"/>
        <v>15.060366036570935</v>
      </c>
      <c r="O536" s="47">
        <f t="shared" si="206"/>
        <v>18.293330967567417</v>
      </c>
      <c r="P536" s="47">
        <f t="shared" si="206"/>
        <v>20.331384195423407</v>
      </c>
      <c r="Q536" s="47">
        <f t="shared" si="206"/>
        <v>23.455629098209847</v>
      </c>
      <c r="R536" s="47">
        <f t="shared" si="206"/>
        <v>25.179645829240805</v>
      </c>
      <c r="S536" s="47">
        <f t="shared" si="206"/>
        <v>26.987302524079247</v>
      </c>
      <c r="T536" s="47">
        <f t="shared" si="206"/>
        <v>28.932476872844564</v>
      </c>
      <c r="U536" s="47">
        <f t="shared" si="206"/>
        <v>32.887630952372412</v>
      </c>
      <c r="V536" s="47">
        <f t="shared" si="206"/>
        <v>35.276654045694151</v>
      </c>
    </row>
    <row r="537" spans="1:22">
      <c r="A537" s="258"/>
      <c r="G537"/>
    </row>
    <row r="538" spans="1:22" ht="15.75">
      <c r="A538" s="258"/>
      <c r="B538" s="15" t="s">
        <v>535</v>
      </c>
      <c r="G538"/>
    </row>
    <row r="539" spans="1:22">
      <c r="A539" s="258"/>
      <c r="B539" s="2"/>
      <c r="G539"/>
    </row>
    <row r="540" spans="1:22">
      <c r="A540" s="258"/>
      <c r="B540" s="407" t="s">
        <v>551</v>
      </c>
      <c r="J540" s="87">
        <f t="shared" ref="J540:V540" si="207">IFERROR((J340+J347)/J260,0)</f>
        <v>0.24011398762955888</v>
      </c>
      <c r="K540" s="87">
        <f t="shared" si="207"/>
        <v>0.2065354918874269</v>
      </c>
      <c r="L540" s="87">
        <f t="shared" si="207"/>
        <v>0.20697583803167524</v>
      </c>
      <c r="M540" s="87">
        <f t="shared" si="207"/>
        <v>0.17284907113778258</v>
      </c>
      <c r="N540" s="87">
        <f t="shared" si="207"/>
        <v>0.17322053460772699</v>
      </c>
      <c r="O540" s="87">
        <f t="shared" si="207"/>
        <v>0.1578129653443513</v>
      </c>
      <c r="P540" s="87">
        <f t="shared" si="207"/>
        <v>0.15815478133512037</v>
      </c>
      <c r="Q540" s="87">
        <f t="shared" si="207"/>
        <v>0.14952704457117491</v>
      </c>
      <c r="R540" s="87">
        <f t="shared" si="207"/>
        <v>0.14985342371404789</v>
      </c>
      <c r="S540" s="87">
        <f t="shared" si="207"/>
        <v>0.14168091237019487</v>
      </c>
      <c r="T540" s="87">
        <f t="shared" si="207"/>
        <v>0.14199252888038905</v>
      </c>
      <c r="U540" s="87">
        <f t="shared" si="207"/>
        <v>0.1423060095543569</v>
      </c>
      <c r="V540" s="87">
        <f t="shared" si="207"/>
        <v>0.14262136002918221</v>
      </c>
    </row>
    <row r="541" spans="1:22">
      <c r="A541" s="258"/>
      <c r="B541" s="407" t="s">
        <v>552</v>
      </c>
      <c r="G541" s="17" t="s">
        <v>315</v>
      </c>
      <c r="J541">
        <f>J535</f>
        <v>0</v>
      </c>
      <c r="K541">
        <f t="shared" ref="K541:V541" si="208">K535</f>
        <v>0</v>
      </c>
      <c r="L541">
        <f t="shared" si="208"/>
        <v>0</v>
      </c>
      <c r="M541">
        <f t="shared" si="208"/>
        <v>0</v>
      </c>
      <c r="N541">
        <f t="shared" si="208"/>
        <v>58.257839587834468</v>
      </c>
      <c r="O541">
        <f t="shared" si="208"/>
        <v>76.900348255941509</v>
      </c>
      <c r="P541">
        <f t="shared" si="208"/>
        <v>84.590383081535663</v>
      </c>
      <c r="Q541">
        <f t="shared" si="208"/>
        <v>102.35436352865814</v>
      </c>
      <c r="R541">
        <f t="shared" si="208"/>
        <v>108.49562534037766</v>
      </c>
      <c r="S541">
        <f t="shared" si="208"/>
        <v>121.90568463244836</v>
      </c>
      <c r="T541">
        <f t="shared" si="208"/>
        <v>129.22002571039528</v>
      </c>
      <c r="U541">
        <f t="shared" si="208"/>
        <v>145.19162088820013</v>
      </c>
      <c r="V541">
        <f t="shared" si="208"/>
        <v>153.90311814149214</v>
      </c>
    </row>
    <row r="542" spans="1:22">
      <c r="A542" s="258"/>
      <c r="B542" s="28" t="s">
        <v>480</v>
      </c>
      <c r="C542" s="28"/>
      <c r="D542" s="28"/>
      <c r="E542" s="28"/>
      <c r="F542" s="28"/>
      <c r="G542" s="28"/>
      <c r="H542" s="28"/>
      <c r="I542" s="28"/>
      <c r="J542" s="47">
        <f>J540*J541</f>
        <v>0</v>
      </c>
      <c r="K542" s="47">
        <f t="shared" ref="K542:V542" si="209">K540*K541</f>
        <v>0</v>
      </c>
      <c r="L542" s="47">
        <f t="shared" si="209"/>
        <v>0</v>
      </c>
      <c r="M542" s="47">
        <f t="shared" si="209"/>
        <v>0</v>
      </c>
      <c r="N542" s="460">
        <f t="shared" si="209"/>
        <v>10.091454118495887</v>
      </c>
      <c r="O542" s="47">
        <f t="shared" si="209"/>
        <v>12.135871994283443</v>
      </c>
      <c r="P542" s="47">
        <f t="shared" si="209"/>
        <v>13.378373539314339</v>
      </c>
      <c r="Q542" s="47">
        <f t="shared" si="209"/>
        <v>15.304745477403905</v>
      </c>
      <c r="R542" s="47">
        <f t="shared" si="209"/>
        <v>16.258440915252205</v>
      </c>
      <c r="S542" s="47">
        <f t="shared" si="209"/>
        <v>17.271708621838528</v>
      </c>
      <c r="T542" s="47">
        <f t="shared" si="209"/>
        <v>18.348278232607917</v>
      </c>
      <c r="U542" s="47">
        <f t="shared" si="209"/>
        <v>20.661640189328775</v>
      </c>
      <c r="V542" s="47">
        <f t="shared" si="209"/>
        <v>21.949872022071517</v>
      </c>
    </row>
    <row r="543" spans="1:22">
      <c r="G543"/>
    </row>
    <row r="544" spans="1:22">
      <c r="G544"/>
    </row>
    <row r="545" spans="2:22">
      <c r="G545"/>
    </row>
    <row r="546" spans="2:22">
      <c r="G546"/>
    </row>
    <row r="547" spans="2:22">
      <c r="G547"/>
    </row>
    <row r="548" spans="2:22" ht="24" thickBot="1">
      <c r="B548" s="14" t="s">
        <v>811</v>
      </c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</row>
    <row r="549" spans="2:22">
      <c r="G549"/>
    </row>
    <row r="550" spans="2:22">
      <c r="B550" t="s">
        <v>803</v>
      </c>
      <c r="G550"/>
      <c r="J550">
        <f>SUM(J459,J350:J352)</f>
        <v>3.058388808E-2</v>
      </c>
      <c r="K550">
        <f t="shared" ref="K550:V550" si="210">SUM(K459,K350:K352)</f>
        <v>3.11955658416E-2</v>
      </c>
      <c r="L550">
        <f t="shared" si="210"/>
        <v>3.1819477158431995E-2</v>
      </c>
      <c r="M550">
        <f t="shared" si="210"/>
        <v>3.2455866701600639E-2</v>
      </c>
      <c r="N550">
        <f t="shared" si="210"/>
        <v>3.3104984035632654E-2</v>
      </c>
      <c r="O550">
        <f t="shared" si="210"/>
        <v>3.3767083716345306E-2</v>
      </c>
      <c r="P550">
        <f t="shared" si="210"/>
        <v>3.4442425390672209E-2</v>
      </c>
      <c r="Q550">
        <f t="shared" si="210"/>
        <v>3.5131273898485658E-2</v>
      </c>
      <c r="R550">
        <f t="shared" si="210"/>
        <v>3.5833899376455369E-2</v>
      </c>
      <c r="S550">
        <f t="shared" si="210"/>
        <v>3.6550577363984482E-2</v>
      </c>
      <c r="T550">
        <f t="shared" si="210"/>
        <v>3.7281588911264166E-2</v>
      </c>
      <c r="U550">
        <f t="shared" si="210"/>
        <v>3.8027220689489452E-2</v>
      </c>
      <c r="V550">
        <f t="shared" si="210"/>
        <v>3.8787765103279234E-2</v>
      </c>
    </row>
    <row r="551" spans="2:22">
      <c r="B551" t="s">
        <v>37</v>
      </c>
      <c r="F551" s="19">
        <v>2028</v>
      </c>
      <c r="G551"/>
      <c r="J551" s="71">
        <f>IF(J$8&lt;$F551,0,1)*J$12</f>
        <v>0</v>
      </c>
      <c r="K551" s="13">
        <f t="shared" ref="K551:V551" si="211">IF(K$8&lt;$F551,0,1)*K$12</f>
        <v>0</v>
      </c>
      <c r="L551" s="13">
        <f t="shared" si="211"/>
        <v>0</v>
      </c>
      <c r="M551" s="13">
        <f t="shared" si="211"/>
        <v>0</v>
      </c>
      <c r="N551" s="13">
        <f t="shared" si="211"/>
        <v>1</v>
      </c>
      <c r="O551" s="13">
        <f t="shared" si="211"/>
        <v>1</v>
      </c>
      <c r="P551" s="13">
        <f t="shared" si="211"/>
        <v>1</v>
      </c>
      <c r="Q551" s="13">
        <f t="shared" si="211"/>
        <v>1</v>
      </c>
      <c r="R551" s="13">
        <f t="shared" si="211"/>
        <v>1</v>
      </c>
      <c r="S551" s="13">
        <f t="shared" si="211"/>
        <v>1</v>
      </c>
      <c r="T551" s="13">
        <f t="shared" si="211"/>
        <v>1</v>
      </c>
      <c r="U551" s="13">
        <f t="shared" si="211"/>
        <v>1</v>
      </c>
      <c r="V551" s="13">
        <f t="shared" si="211"/>
        <v>1</v>
      </c>
    </row>
    <row r="552" spans="2:22">
      <c r="G552"/>
    </row>
    <row r="553" spans="2:22" ht="15.75">
      <c r="B553" s="15" t="s">
        <v>540</v>
      </c>
      <c r="G553"/>
    </row>
    <row r="554" spans="2:22" ht="15.75">
      <c r="B554" s="41" t="s">
        <v>511</v>
      </c>
      <c r="F554" s="19">
        <v>2026</v>
      </c>
      <c r="G554"/>
      <c r="J554" s="77">
        <f>J321</f>
        <v>0</v>
      </c>
      <c r="K554" s="77">
        <f t="shared" ref="K554:V554" si="212">K321</f>
        <v>0</v>
      </c>
      <c r="L554" s="77">
        <f t="shared" si="212"/>
        <v>0</v>
      </c>
      <c r="M554" s="77">
        <f t="shared" si="212"/>
        <v>0</v>
      </c>
      <c r="N554" s="77">
        <f t="shared" si="212"/>
        <v>0</v>
      </c>
      <c r="O554" s="77">
        <f t="shared" si="212"/>
        <v>0</v>
      </c>
      <c r="P554" s="77">
        <f t="shared" si="212"/>
        <v>0</v>
      </c>
      <c r="Q554" s="77">
        <f t="shared" si="212"/>
        <v>0</v>
      </c>
      <c r="R554" s="77">
        <f t="shared" si="212"/>
        <v>0</v>
      </c>
      <c r="S554" s="77">
        <f t="shared" si="212"/>
        <v>0</v>
      </c>
      <c r="T554" s="77">
        <f t="shared" si="212"/>
        <v>0</v>
      </c>
      <c r="U554" s="77">
        <f t="shared" si="212"/>
        <v>0</v>
      </c>
      <c r="V554" s="77">
        <f t="shared" si="212"/>
        <v>0</v>
      </c>
    </row>
    <row r="555" spans="2:22">
      <c r="B555" s="407" t="s">
        <v>407</v>
      </c>
      <c r="F555" s="19"/>
      <c r="G555" s="17" t="s">
        <v>543</v>
      </c>
      <c r="J555">
        <f>J514</f>
        <v>0</v>
      </c>
      <c r="K555">
        <f t="shared" ref="K555:V555" si="213">K514</f>
        <v>0</v>
      </c>
      <c r="L555">
        <f t="shared" si="213"/>
        <v>0</v>
      </c>
      <c r="M555">
        <f t="shared" si="213"/>
        <v>0</v>
      </c>
      <c r="N555">
        <f t="shared" si="213"/>
        <v>1600000</v>
      </c>
      <c r="O555">
        <f t="shared" si="213"/>
        <v>1760000.0000000002</v>
      </c>
      <c r="P555">
        <f t="shared" si="213"/>
        <v>1936000.0000000002</v>
      </c>
      <c r="Q555">
        <f t="shared" si="213"/>
        <v>2129600.0000000005</v>
      </c>
      <c r="R555">
        <f t="shared" si="213"/>
        <v>2257376.0000000009</v>
      </c>
      <c r="S555">
        <f t="shared" si="213"/>
        <v>2392818.560000001</v>
      </c>
      <c r="T555">
        <f t="shared" si="213"/>
        <v>2536387.6736000013</v>
      </c>
      <c r="U555">
        <f t="shared" si="213"/>
        <v>2688570.9340160014</v>
      </c>
      <c r="V555">
        <f t="shared" si="213"/>
        <v>2849885.190056962</v>
      </c>
    </row>
    <row r="556" spans="2:22">
      <c r="B556" s="407" t="s">
        <v>797</v>
      </c>
      <c r="F556" s="19">
        <v>29000</v>
      </c>
      <c r="G556" s="17" t="s">
        <v>545</v>
      </c>
      <c r="J556" s="19">
        <f>$F$556</f>
        <v>29000</v>
      </c>
      <c r="K556" s="19">
        <f t="shared" ref="K556:V556" si="214">$F$556</f>
        <v>29000</v>
      </c>
      <c r="L556" s="19">
        <f t="shared" si="214"/>
        <v>29000</v>
      </c>
      <c r="M556" s="19">
        <f t="shared" si="214"/>
        <v>29000</v>
      </c>
      <c r="N556" s="19">
        <f t="shared" si="214"/>
        <v>29000</v>
      </c>
      <c r="O556" s="19">
        <f t="shared" si="214"/>
        <v>29000</v>
      </c>
      <c r="P556" s="19">
        <f t="shared" si="214"/>
        <v>29000</v>
      </c>
      <c r="Q556" s="19">
        <f t="shared" si="214"/>
        <v>29000</v>
      </c>
      <c r="R556" s="19">
        <f t="shared" si="214"/>
        <v>29000</v>
      </c>
      <c r="S556" s="19">
        <f t="shared" si="214"/>
        <v>29000</v>
      </c>
      <c r="T556" s="19">
        <f t="shared" si="214"/>
        <v>29000</v>
      </c>
      <c r="U556" s="19">
        <f t="shared" si="214"/>
        <v>29000</v>
      </c>
      <c r="V556" s="19">
        <f t="shared" si="214"/>
        <v>29000</v>
      </c>
    </row>
    <row r="557" spans="2:22">
      <c r="B557" s="407" t="s">
        <v>799</v>
      </c>
      <c r="F557" s="39">
        <v>0.02</v>
      </c>
      <c r="J557" s="19">
        <f t="shared" ref="J557:V557" si="215">$F$483*J556</f>
        <v>580</v>
      </c>
      <c r="K557" s="19">
        <f t="shared" si="215"/>
        <v>580</v>
      </c>
      <c r="L557" s="19">
        <f t="shared" si="215"/>
        <v>580</v>
      </c>
      <c r="M557" s="19">
        <f t="shared" si="215"/>
        <v>580</v>
      </c>
      <c r="N557" s="19">
        <f t="shared" si="215"/>
        <v>580</v>
      </c>
      <c r="O557" s="19">
        <f t="shared" si="215"/>
        <v>580</v>
      </c>
      <c r="P557" s="19">
        <f t="shared" si="215"/>
        <v>580</v>
      </c>
      <c r="Q557" s="19">
        <f t="shared" si="215"/>
        <v>580</v>
      </c>
      <c r="R557" s="19">
        <f t="shared" si="215"/>
        <v>580</v>
      </c>
      <c r="S557" s="19">
        <f t="shared" si="215"/>
        <v>580</v>
      </c>
      <c r="T557" s="19">
        <f t="shared" si="215"/>
        <v>580</v>
      </c>
      <c r="U557" s="19">
        <f t="shared" si="215"/>
        <v>580</v>
      </c>
      <c r="V557" s="19">
        <f t="shared" si="215"/>
        <v>580</v>
      </c>
    </row>
    <row r="558" spans="2:22">
      <c r="B558" s="28" t="s">
        <v>9</v>
      </c>
      <c r="C558" s="28"/>
      <c r="D558" s="28"/>
      <c r="E558" s="28"/>
      <c r="F558" s="28"/>
      <c r="G558" s="28"/>
      <c r="H558" s="28"/>
      <c r="I558" s="48">
        <f>SUM(J558:V558)</f>
        <v>11.687370247450321</v>
      </c>
      <c r="J558" s="28">
        <f>J555*J557/Billion</f>
        <v>0</v>
      </c>
      <c r="K558" s="28">
        <f t="shared" ref="K558:V558" si="216">K555*K557/Billion</f>
        <v>0</v>
      </c>
      <c r="L558" s="28">
        <f t="shared" si="216"/>
        <v>0</v>
      </c>
      <c r="M558" s="28">
        <f t="shared" si="216"/>
        <v>0</v>
      </c>
      <c r="N558" s="28">
        <f t="shared" si="216"/>
        <v>0.92800000000000005</v>
      </c>
      <c r="O558" s="28">
        <f t="shared" si="216"/>
        <v>1.0208000000000002</v>
      </c>
      <c r="P558" s="28">
        <f t="shared" si="216"/>
        <v>1.1228800000000003</v>
      </c>
      <c r="Q558" s="28">
        <f t="shared" si="216"/>
        <v>1.2351680000000003</v>
      </c>
      <c r="R558" s="28">
        <f t="shared" si="216"/>
        <v>1.3092780800000006</v>
      </c>
      <c r="S558" s="28">
        <f t="shared" si="216"/>
        <v>1.3878347648000007</v>
      </c>
      <c r="T558" s="28">
        <f t="shared" si="216"/>
        <v>1.4711048506880007</v>
      </c>
      <c r="U558" s="28">
        <f t="shared" si="216"/>
        <v>1.5593711417292808</v>
      </c>
      <c r="V558" s="28">
        <f t="shared" si="216"/>
        <v>1.652933410233038</v>
      </c>
    </row>
    <row r="559" spans="2:22">
      <c r="G559"/>
    </row>
    <row r="560" spans="2:22">
      <c r="B560" t="s">
        <v>392</v>
      </c>
      <c r="F560" s="39">
        <v>0.5</v>
      </c>
      <c r="G560"/>
      <c r="I560">
        <f>SUM(J560:V560)</f>
        <v>5.8436851237251606</v>
      </c>
      <c r="J560">
        <f>J$558*$F560</f>
        <v>0</v>
      </c>
      <c r="K560">
        <f t="shared" ref="K560:V561" si="217">K$558*$F560</f>
        <v>0</v>
      </c>
      <c r="L560">
        <f t="shared" si="217"/>
        <v>0</v>
      </c>
      <c r="M560">
        <f t="shared" si="217"/>
        <v>0</v>
      </c>
      <c r="N560">
        <f t="shared" si="217"/>
        <v>0.46400000000000002</v>
      </c>
      <c r="O560">
        <f t="shared" si="217"/>
        <v>0.51040000000000008</v>
      </c>
      <c r="P560">
        <f t="shared" si="217"/>
        <v>0.56144000000000016</v>
      </c>
      <c r="Q560">
        <f t="shared" si="217"/>
        <v>0.61758400000000013</v>
      </c>
      <c r="R560">
        <f t="shared" si="217"/>
        <v>0.65463904000000028</v>
      </c>
      <c r="S560">
        <f t="shared" si="217"/>
        <v>0.69391738240000034</v>
      </c>
      <c r="T560">
        <f t="shared" si="217"/>
        <v>0.73555242534400034</v>
      </c>
      <c r="U560">
        <f t="shared" si="217"/>
        <v>0.77968557086464041</v>
      </c>
      <c r="V560">
        <f t="shared" si="217"/>
        <v>0.82646670511651898</v>
      </c>
    </row>
    <row r="561" spans="2:22">
      <c r="B561" t="s">
        <v>393</v>
      </c>
      <c r="F561" s="39">
        <f>1-F560</f>
        <v>0.5</v>
      </c>
      <c r="G561"/>
      <c r="I561">
        <f>SUM(J561:V561)</f>
        <v>5.8436851237251606</v>
      </c>
      <c r="J561">
        <f>J$558*$F561</f>
        <v>0</v>
      </c>
      <c r="K561">
        <f t="shared" si="217"/>
        <v>0</v>
      </c>
      <c r="L561">
        <f t="shared" si="217"/>
        <v>0</v>
      </c>
      <c r="M561">
        <f t="shared" si="217"/>
        <v>0</v>
      </c>
      <c r="N561">
        <f t="shared" si="217"/>
        <v>0.46400000000000002</v>
      </c>
      <c r="O561">
        <f t="shared" si="217"/>
        <v>0.51040000000000008</v>
      </c>
      <c r="P561">
        <f t="shared" si="217"/>
        <v>0.56144000000000016</v>
      </c>
      <c r="Q561">
        <f t="shared" si="217"/>
        <v>0.61758400000000013</v>
      </c>
      <c r="R561">
        <f t="shared" si="217"/>
        <v>0.65463904000000028</v>
      </c>
      <c r="S561">
        <f t="shared" si="217"/>
        <v>0.69391738240000034</v>
      </c>
      <c r="T561">
        <f t="shared" si="217"/>
        <v>0.73555242534400034</v>
      </c>
      <c r="U561">
        <f t="shared" si="217"/>
        <v>0.77968557086464041</v>
      </c>
      <c r="V561">
        <f t="shared" si="217"/>
        <v>0.82646670511651898</v>
      </c>
    </row>
    <row r="562" spans="2:22">
      <c r="B562" s="28" t="s">
        <v>9</v>
      </c>
      <c r="C562" s="28"/>
      <c r="D562" s="28"/>
      <c r="E562" s="28"/>
      <c r="F562" s="28"/>
      <c r="G562" s="28"/>
      <c r="H562" s="28"/>
      <c r="I562" s="48">
        <f>SUM(J562:V562)</f>
        <v>5.8436851237251606</v>
      </c>
      <c r="J562" s="28">
        <f>J561</f>
        <v>0</v>
      </c>
      <c r="K562" s="28">
        <f t="shared" ref="K562:V562" si="218">K561</f>
        <v>0</v>
      </c>
      <c r="L562" s="28">
        <f t="shared" si="218"/>
        <v>0</v>
      </c>
      <c r="M562" s="28">
        <f t="shared" si="218"/>
        <v>0</v>
      </c>
      <c r="N562" s="28">
        <f t="shared" si="218"/>
        <v>0.46400000000000002</v>
      </c>
      <c r="O562" s="28">
        <f t="shared" si="218"/>
        <v>0.51040000000000008</v>
      </c>
      <c r="P562" s="28">
        <f t="shared" si="218"/>
        <v>0.56144000000000016</v>
      </c>
      <c r="Q562" s="28">
        <f t="shared" si="218"/>
        <v>0.61758400000000013</v>
      </c>
      <c r="R562" s="28">
        <f t="shared" si="218"/>
        <v>0.65463904000000028</v>
      </c>
      <c r="S562" s="28">
        <f t="shared" si="218"/>
        <v>0.69391738240000034</v>
      </c>
      <c r="T562" s="28">
        <f t="shared" si="218"/>
        <v>0.73555242534400034</v>
      </c>
      <c r="U562" s="28">
        <f t="shared" si="218"/>
        <v>0.77968557086464041</v>
      </c>
      <c r="V562" s="28">
        <f t="shared" si="218"/>
        <v>0.82646670511651898</v>
      </c>
    </row>
    <row r="563" spans="2:22">
      <c r="G563"/>
      <c r="I563" s="21"/>
      <c r="K563" s="21"/>
      <c r="L563" s="21"/>
      <c r="M563" s="21"/>
      <c r="N563" s="21"/>
    </row>
    <row r="564" spans="2:22">
      <c r="B564" t="s">
        <v>471</v>
      </c>
      <c r="G564"/>
      <c r="I564" s="21"/>
      <c r="J564">
        <f t="shared" ref="J564:V564" si="219">SUM(J555)</f>
        <v>0</v>
      </c>
      <c r="K564">
        <f t="shared" si="219"/>
        <v>0</v>
      </c>
      <c r="L564">
        <f t="shared" si="219"/>
        <v>0</v>
      </c>
      <c r="M564">
        <f t="shared" si="219"/>
        <v>0</v>
      </c>
      <c r="N564">
        <f t="shared" si="219"/>
        <v>1600000</v>
      </c>
      <c r="O564">
        <f t="shared" si="219"/>
        <v>1760000.0000000002</v>
      </c>
      <c r="P564">
        <f t="shared" si="219"/>
        <v>1936000.0000000002</v>
      </c>
      <c r="Q564">
        <f t="shared" si="219"/>
        <v>2129600.0000000005</v>
      </c>
      <c r="R564">
        <f t="shared" si="219"/>
        <v>2257376.0000000009</v>
      </c>
      <c r="S564">
        <f t="shared" si="219"/>
        <v>2392818.560000001</v>
      </c>
      <c r="T564">
        <f t="shared" si="219"/>
        <v>2536387.6736000013</v>
      </c>
      <c r="U564">
        <f t="shared" si="219"/>
        <v>2688570.9340160014</v>
      </c>
      <c r="V564">
        <f t="shared" si="219"/>
        <v>2849885.190056962</v>
      </c>
    </row>
    <row r="565" spans="2:22">
      <c r="G565"/>
      <c r="I565" s="21"/>
      <c r="K565" s="21"/>
      <c r="L565" s="21"/>
      <c r="M565" s="21"/>
      <c r="N565" s="21"/>
    </row>
    <row r="566" spans="2:22" ht="15.75">
      <c r="B566" s="15" t="s">
        <v>473</v>
      </c>
      <c r="F566" s="39"/>
      <c r="G566"/>
      <c r="I566" s="21"/>
      <c r="J566" s="1">
        <f>$F566*J$453</f>
        <v>0</v>
      </c>
      <c r="K566" s="1">
        <f t="shared" ref="K566:V566" si="220">$F566*K$453</f>
        <v>0</v>
      </c>
      <c r="L566" s="1">
        <f t="shared" si="220"/>
        <v>0</v>
      </c>
      <c r="M566" s="1">
        <f t="shared" si="220"/>
        <v>0</v>
      </c>
      <c r="N566" s="1">
        <f t="shared" si="220"/>
        <v>0</v>
      </c>
      <c r="O566" s="1">
        <f t="shared" si="220"/>
        <v>0</v>
      </c>
      <c r="P566" s="1">
        <f t="shared" si="220"/>
        <v>0</v>
      </c>
      <c r="Q566" s="1">
        <f t="shared" si="220"/>
        <v>0</v>
      </c>
      <c r="R566" s="1">
        <f t="shared" si="220"/>
        <v>0</v>
      </c>
      <c r="S566" s="1">
        <f t="shared" si="220"/>
        <v>0</v>
      </c>
      <c r="T566" s="1">
        <f t="shared" si="220"/>
        <v>0</v>
      </c>
      <c r="U566" s="1">
        <f t="shared" si="220"/>
        <v>0</v>
      </c>
      <c r="V566" s="1">
        <f t="shared" si="220"/>
        <v>0</v>
      </c>
    </row>
    <row r="567" spans="2:22" ht="15.75">
      <c r="B567" s="15" t="s">
        <v>547</v>
      </c>
      <c r="F567" s="39">
        <v>0.2</v>
      </c>
      <c r="G567">
        <f>40000*USD_IDR</f>
        <v>650600000</v>
      </c>
      <c r="I567" s="21"/>
      <c r="J567" s="1">
        <f>$F567*J$562</f>
        <v>0</v>
      </c>
      <c r="K567" s="1">
        <f t="shared" ref="K567:V567" si="221">$F567*K$562</f>
        <v>0</v>
      </c>
      <c r="L567" s="1">
        <f t="shared" si="221"/>
        <v>0</v>
      </c>
      <c r="M567" s="1">
        <f t="shared" si="221"/>
        <v>0</v>
      </c>
      <c r="N567" s="1">
        <f t="shared" si="221"/>
        <v>9.2800000000000007E-2</v>
      </c>
      <c r="O567" s="1">
        <f t="shared" si="221"/>
        <v>0.10208000000000002</v>
      </c>
      <c r="P567" s="1">
        <f t="shared" si="221"/>
        <v>0.11228800000000004</v>
      </c>
      <c r="Q567" s="1">
        <f t="shared" si="221"/>
        <v>0.12351680000000004</v>
      </c>
      <c r="R567" s="1">
        <f t="shared" si="221"/>
        <v>0.13092780800000006</v>
      </c>
      <c r="S567" s="1">
        <f t="shared" si="221"/>
        <v>0.13878347648000008</v>
      </c>
      <c r="T567" s="1">
        <f t="shared" si="221"/>
        <v>0.14711048506880006</v>
      </c>
      <c r="U567" s="1">
        <f t="shared" si="221"/>
        <v>0.1559371141729281</v>
      </c>
      <c r="V567" s="1">
        <f t="shared" si="221"/>
        <v>0.16529334102330381</v>
      </c>
    </row>
    <row r="568" spans="2:22" ht="15.75">
      <c r="B568" s="15"/>
      <c r="G568"/>
      <c r="I568" s="2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</row>
    <row r="569" spans="2:22">
      <c r="B569" s="2" t="s">
        <v>513</v>
      </c>
      <c r="E569" s="58" t="s">
        <v>514</v>
      </c>
      <c r="F569" s="58" t="s">
        <v>515</v>
      </c>
      <c r="G569"/>
      <c r="I569" s="22"/>
      <c r="J569" s="1">
        <f>SUM(J572,J577)</f>
        <v>0</v>
      </c>
      <c r="K569" s="1">
        <f t="shared" ref="K569:V569" si="222">SUM(K572,K577)</f>
        <v>0</v>
      </c>
      <c r="L569" s="1">
        <f t="shared" si="222"/>
        <v>0</v>
      </c>
      <c r="M569" s="1">
        <f t="shared" si="222"/>
        <v>0</v>
      </c>
      <c r="N569" s="1">
        <f t="shared" si="222"/>
        <v>9.7589999999999996E-2</v>
      </c>
      <c r="O569" s="1">
        <f t="shared" si="222"/>
        <v>9.7589999999999996E-2</v>
      </c>
      <c r="P569" s="1">
        <f t="shared" si="222"/>
        <v>9.7589999999999996E-2</v>
      </c>
      <c r="Q569" s="1">
        <f t="shared" si="222"/>
        <v>9.7589999999999996E-2</v>
      </c>
      <c r="R569" s="1">
        <f t="shared" si="222"/>
        <v>9.7589999999999996E-2</v>
      </c>
      <c r="S569" s="1">
        <f t="shared" si="222"/>
        <v>9.7589999999999996E-2</v>
      </c>
      <c r="T569" s="1">
        <f t="shared" si="222"/>
        <v>9.7589999999999996E-2</v>
      </c>
      <c r="U569" s="1">
        <f t="shared" si="222"/>
        <v>9.7589999999999996E-2</v>
      </c>
      <c r="V569" s="1">
        <f t="shared" si="222"/>
        <v>9.7589999999999996E-2</v>
      </c>
    </row>
    <row r="570" spans="2:22">
      <c r="B570" s="407" t="s">
        <v>516</v>
      </c>
      <c r="E570" s="6">
        <v>5</v>
      </c>
      <c r="F570" s="30">
        <f>30000/Million</f>
        <v>0.03</v>
      </c>
      <c r="G570" s="17" t="s">
        <v>800</v>
      </c>
    </row>
    <row r="571" spans="2:22">
      <c r="B571" s="407" t="s">
        <v>517</v>
      </c>
      <c r="F571" s="74">
        <v>1</v>
      </c>
      <c r="G571" s="17" t="s">
        <v>800</v>
      </c>
    </row>
    <row r="572" spans="2:22">
      <c r="B572" s="28" t="s">
        <v>476</v>
      </c>
      <c r="C572" s="28"/>
      <c r="D572" s="28"/>
      <c r="E572" s="28"/>
      <c r="F572" s="28"/>
      <c r="G572" s="28"/>
      <c r="H572" s="28"/>
      <c r="I572" s="49">
        <f>SUM(J572:V572)</f>
        <v>0.87830999999999981</v>
      </c>
      <c r="J572" s="47">
        <f t="shared" ref="J572:V572" si="223">($F570*$F571*Million)/$E570*USD_IDR/Billion*J$441*J551</f>
        <v>0</v>
      </c>
      <c r="K572" s="47">
        <f t="shared" si="223"/>
        <v>0</v>
      </c>
      <c r="L572" s="47">
        <f t="shared" si="223"/>
        <v>0</v>
      </c>
      <c r="M572" s="47">
        <f t="shared" si="223"/>
        <v>0</v>
      </c>
      <c r="N572" s="47">
        <f t="shared" si="223"/>
        <v>9.7589999999999996E-2</v>
      </c>
      <c r="O572" s="47">
        <f t="shared" si="223"/>
        <v>9.7589999999999996E-2</v>
      </c>
      <c r="P572" s="47">
        <f t="shared" si="223"/>
        <v>9.7589999999999996E-2</v>
      </c>
      <c r="Q572" s="47">
        <f t="shared" si="223"/>
        <v>9.7589999999999996E-2</v>
      </c>
      <c r="R572" s="47">
        <f t="shared" si="223"/>
        <v>9.7589999999999996E-2</v>
      </c>
      <c r="S572" s="47">
        <f t="shared" si="223"/>
        <v>9.7589999999999996E-2</v>
      </c>
      <c r="T572" s="47">
        <f t="shared" si="223"/>
        <v>9.7589999999999996E-2</v>
      </c>
      <c r="U572" s="47">
        <f t="shared" si="223"/>
        <v>9.7589999999999996E-2</v>
      </c>
      <c r="V572" s="47">
        <f t="shared" si="223"/>
        <v>9.7589999999999996E-2</v>
      </c>
    </row>
    <row r="573" spans="2:22">
      <c r="G573"/>
    </row>
    <row r="574" spans="2:22">
      <c r="B574" s="2" t="s">
        <v>518</v>
      </c>
      <c r="E574" s="58" t="s">
        <v>514</v>
      </c>
      <c r="F574" s="58" t="s">
        <v>515</v>
      </c>
      <c r="G574"/>
      <c r="I574" s="22"/>
    </row>
    <row r="575" spans="2:22">
      <c r="B575" s="407" t="s">
        <v>516</v>
      </c>
      <c r="E575" s="16">
        <v>10</v>
      </c>
      <c r="F575" s="30"/>
      <c r="G575" s="17" t="s">
        <v>315</v>
      </c>
    </row>
    <row r="576" spans="2:22">
      <c r="B576" s="407" t="s">
        <v>517</v>
      </c>
      <c r="F576" s="21">
        <f>100%-F571</f>
        <v>0</v>
      </c>
      <c r="G576" s="17" t="s">
        <v>315</v>
      </c>
    </row>
    <row r="577" spans="2:22">
      <c r="B577" s="28" t="s">
        <v>476</v>
      </c>
      <c r="C577" s="28"/>
      <c r="D577" s="28"/>
      <c r="E577" s="28"/>
      <c r="F577" s="28"/>
      <c r="G577" s="28"/>
      <c r="H577" s="28"/>
      <c r="I577" s="49">
        <f>SUM(J577:V577)</f>
        <v>0</v>
      </c>
      <c r="J577" s="47">
        <f t="shared" ref="J577:V577" si="224">($F575*$F576*Million)/$E575*USD_IDR/Billion*J$441</f>
        <v>0</v>
      </c>
      <c r="K577" s="47">
        <f t="shared" si="224"/>
        <v>0</v>
      </c>
      <c r="L577" s="47">
        <f t="shared" si="224"/>
        <v>0</v>
      </c>
      <c r="M577" s="47">
        <f t="shared" si="224"/>
        <v>0</v>
      </c>
      <c r="N577" s="47">
        <f t="shared" si="224"/>
        <v>0</v>
      </c>
      <c r="O577" s="47">
        <f t="shared" si="224"/>
        <v>0</v>
      </c>
      <c r="P577" s="47">
        <f t="shared" si="224"/>
        <v>0</v>
      </c>
      <c r="Q577" s="47">
        <f t="shared" si="224"/>
        <v>0</v>
      </c>
      <c r="R577" s="47">
        <f t="shared" si="224"/>
        <v>0</v>
      </c>
      <c r="S577" s="47">
        <f t="shared" si="224"/>
        <v>0</v>
      </c>
      <c r="T577" s="47">
        <f t="shared" si="224"/>
        <v>0</v>
      </c>
      <c r="U577" s="47">
        <f t="shared" si="224"/>
        <v>0</v>
      </c>
      <c r="V577" s="47">
        <f t="shared" si="224"/>
        <v>0</v>
      </c>
    </row>
    <row r="578" spans="2:22">
      <c r="G578"/>
    </row>
    <row r="579" spans="2:22">
      <c r="G579"/>
    </row>
    <row r="580" spans="2:22" ht="24" thickBot="1">
      <c r="B580" s="14" t="s">
        <v>553</v>
      </c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</row>
    <row r="581" spans="2:22">
      <c r="G581"/>
    </row>
    <row r="582" spans="2:22">
      <c r="B582" t="s">
        <v>37</v>
      </c>
      <c r="F582" s="19">
        <v>2026</v>
      </c>
      <c r="G582"/>
      <c r="J582" s="13">
        <f>IF(J$8&lt;$F582,0,1)*J$12</f>
        <v>0</v>
      </c>
      <c r="K582" s="13">
        <f t="shared" ref="K582:V582" si="225">IF(K$8&lt;$F582,0,1)*K$12</f>
        <v>0</v>
      </c>
      <c r="L582" s="13">
        <f t="shared" si="225"/>
        <v>1</v>
      </c>
      <c r="M582" s="13">
        <f t="shared" si="225"/>
        <v>1</v>
      </c>
      <c r="N582" s="13">
        <f t="shared" si="225"/>
        <v>1</v>
      </c>
      <c r="O582" s="13">
        <f t="shared" si="225"/>
        <v>1</v>
      </c>
      <c r="P582" s="13">
        <f t="shared" si="225"/>
        <v>1</v>
      </c>
      <c r="Q582" s="13">
        <f t="shared" si="225"/>
        <v>1</v>
      </c>
      <c r="R582" s="13">
        <f t="shared" si="225"/>
        <v>1</v>
      </c>
      <c r="S582" s="13">
        <f t="shared" si="225"/>
        <v>1</v>
      </c>
      <c r="T582" s="13">
        <f t="shared" si="225"/>
        <v>1</v>
      </c>
      <c r="U582" s="13">
        <f t="shared" si="225"/>
        <v>1</v>
      </c>
      <c r="V582" s="13">
        <f t="shared" si="225"/>
        <v>1</v>
      </c>
    </row>
    <row r="583" spans="2:22">
      <c r="G583"/>
    </row>
    <row r="584" spans="2:22" ht="15.75">
      <c r="B584" s="15" t="s">
        <v>554</v>
      </c>
      <c r="G584"/>
      <c r="K584" t="s">
        <v>812</v>
      </c>
    </row>
    <row r="585" spans="2:22" ht="15.75">
      <c r="B585" s="41" t="s">
        <v>511</v>
      </c>
      <c r="G585"/>
      <c r="I585">
        <v>1</v>
      </c>
      <c r="J585" s="77">
        <f>I585*(1+Input!K532)*J$12</f>
        <v>1</v>
      </c>
      <c r="K585" s="77">
        <f>J585*(1+Input!L532)*K$12</f>
        <v>1.03</v>
      </c>
      <c r="L585" s="77">
        <f>K585*(1+Input!M532)*L$12</f>
        <v>1.0609</v>
      </c>
      <c r="M585" s="70">
        <f>L585*(1+Input!N532)*M$12</f>
        <v>1.092727</v>
      </c>
      <c r="N585" s="70">
        <f>M585*(1+Input!O532)*N$12</f>
        <v>1.1255088100000001</v>
      </c>
      <c r="O585" s="70">
        <f>N585*(1+Input!P532)*O$12</f>
        <v>1.1592740743000001</v>
      </c>
      <c r="P585" s="70">
        <f>O585*(1+Input!Q532)*P$12</f>
        <v>1.1940522965290001</v>
      </c>
      <c r="Q585" s="70">
        <f>P585*(1+Input!R532)*Q$12</f>
        <v>1.2298738654248702</v>
      </c>
      <c r="R585" s="70">
        <f>Q585*(1+Input!S532)*R$12</f>
        <v>1.2667700813876164</v>
      </c>
      <c r="S585" s="70">
        <f>R585*(1+Input!T532)*S$12</f>
        <v>1.3047731838292449</v>
      </c>
      <c r="T585" s="70">
        <f>S585*(1+Input!U532)*T$12</f>
        <v>1.3439163793441222</v>
      </c>
      <c r="U585" s="70">
        <f>T585*(1+Input!V532)*U$12</f>
        <v>1.3842338707244459</v>
      </c>
      <c r="V585" s="70">
        <f>U585*(1+Input!W532)*V$12</f>
        <v>1.4257608868461793</v>
      </c>
    </row>
    <row r="586" spans="2:22">
      <c r="B586" s="407" t="s">
        <v>407</v>
      </c>
      <c r="F586" s="6">
        <f>Input!J537</f>
        <v>750000</v>
      </c>
      <c r="G586" s="17" t="s">
        <v>315</v>
      </c>
      <c r="J586">
        <f>J585*$F586*J$12</f>
        <v>750000</v>
      </c>
      <c r="K586">
        <f t="shared" ref="K586:V586" si="226">K585*$F586*K$12</f>
        <v>772500</v>
      </c>
      <c r="L586">
        <f t="shared" si="226"/>
        <v>795675</v>
      </c>
      <c r="M586">
        <f t="shared" si="226"/>
        <v>819545.25</v>
      </c>
      <c r="N586">
        <f t="shared" si="226"/>
        <v>844131.60750000016</v>
      </c>
      <c r="O586">
        <f t="shared" si="226"/>
        <v>869455.5557250001</v>
      </c>
      <c r="P586">
        <f t="shared" si="226"/>
        <v>895539.22239675012</v>
      </c>
      <c r="Q586">
        <f t="shared" si="226"/>
        <v>922405.39906865265</v>
      </c>
      <c r="R586">
        <f t="shared" si="226"/>
        <v>950077.56104071229</v>
      </c>
      <c r="S586">
        <f t="shared" si="226"/>
        <v>978579.88787193364</v>
      </c>
      <c r="T586">
        <f t="shared" si="226"/>
        <v>1007937.2845080916</v>
      </c>
      <c r="U586">
        <f t="shared" si="226"/>
        <v>1038175.4030433345</v>
      </c>
      <c r="V586">
        <f t="shared" si="226"/>
        <v>1069320.6651346346</v>
      </c>
    </row>
    <row r="587" spans="2:22">
      <c r="B587" s="407" t="s">
        <v>440</v>
      </c>
      <c r="F587" s="6"/>
      <c r="J587" s="461">
        <f>Calculation_SOEs!J450</f>
        <v>0</v>
      </c>
      <c r="K587" s="461">
        <f>Calculation_SOEs!K450</f>
        <v>0</v>
      </c>
      <c r="L587" s="461">
        <f>Calculation_SOEs!L450</f>
        <v>0</v>
      </c>
      <c r="M587" s="461">
        <f>Calculation_SOEs!M450</f>
        <v>200000</v>
      </c>
      <c r="N587" s="461">
        <f>Calculation_SOEs!N450</f>
        <v>250000</v>
      </c>
      <c r="O587" s="461">
        <f>Calculation_SOEs!O450</f>
        <v>300000</v>
      </c>
      <c r="P587" s="461">
        <f>Calculation_SOEs!P450</f>
        <v>350000</v>
      </c>
      <c r="Q587" s="461">
        <f>Calculation_SOEs!Q450</f>
        <v>400000</v>
      </c>
      <c r="R587" s="461">
        <f>Calculation_SOEs!R450</f>
        <v>450000</v>
      </c>
      <c r="S587" s="461">
        <f>Calculation_SOEs!S450</f>
        <v>500000</v>
      </c>
      <c r="T587" s="461">
        <f>Calculation_SOEs!T450</f>
        <v>550000</v>
      </c>
      <c r="U587" s="461">
        <f>Calculation_SOEs!U450</f>
        <v>0</v>
      </c>
      <c r="V587" s="461">
        <f>Calculation_SOEs!V450</f>
        <v>0</v>
      </c>
    </row>
    <row r="588" spans="2:22">
      <c r="B588" s="407" t="s">
        <v>465</v>
      </c>
      <c r="J588">
        <f>Input!K539</f>
        <v>29658</v>
      </c>
      <c r="K588">
        <f>Input!L539</f>
        <v>29658</v>
      </c>
      <c r="L588">
        <f>Input!M539</f>
        <v>43947.5</v>
      </c>
      <c r="M588">
        <f>Input!N539</f>
        <v>43947.5</v>
      </c>
      <c r="N588">
        <f>Input!O539</f>
        <v>45265.925000000003</v>
      </c>
      <c r="O588">
        <f>Input!P539</f>
        <v>46623.902750000001</v>
      </c>
      <c r="P588">
        <f>Input!Q539</f>
        <v>48022.6198325</v>
      </c>
      <c r="Q588">
        <f>Input!R539</f>
        <v>49463.298427475005</v>
      </c>
      <c r="R588">
        <f>Input!S539</f>
        <v>50947.197380299258</v>
      </c>
      <c r="S588">
        <f>Input!T539</f>
        <v>52475.613301708239</v>
      </c>
      <c r="T588">
        <f>Input!U539</f>
        <v>54049.881700759484</v>
      </c>
      <c r="U588">
        <f>Input!V539</f>
        <v>55671.378151782272</v>
      </c>
      <c r="V588">
        <f>Input!W539</f>
        <v>57341.519496335743</v>
      </c>
    </row>
    <row r="589" spans="2:22">
      <c r="B589" s="28" t="s">
        <v>9</v>
      </c>
      <c r="C589" s="28"/>
      <c r="D589" s="28"/>
      <c r="E589" s="28"/>
      <c r="F589" s="28"/>
      <c r="G589" s="28"/>
      <c r="H589" s="28"/>
      <c r="I589" s="48">
        <f>SUM(J589:V589)</f>
        <v>706.44361520747429</v>
      </c>
      <c r="J589" s="459">
        <f>SUM(J586:J587)*J588/Billion</f>
        <v>22.243500000000001</v>
      </c>
      <c r="K589" s="28">
        <f t="shared" ref="K589:V589" si="227">SUM(K586:K587)*K588/Billion</f>
        <v>22.910805</v>
      </c>
      <c r="L589" s="28">
        <f t="shared" si="227"/>
        <v>34.967927062500003</v>
      </c>
      <c r="M589" s="28">
        <f t="shared" si="227"/>
        <v>44.806464874375003</v>
      </c>
      <c r="N589" s="28">
        <f t="shared" si="227"/>
        <v>49.526879285224446</v>
      </c>
      <c r="O589" s="28">
        <f t="shared" si="227"/>
        <v>54.52458210056961</v>
      </c>
      <c r="P589" s="28">
        <f t="shared" si="227"/>
        <v>59.814056563626792</v>
      </c>
      <c r="Q589" s="28">
        <f t="shared" si="227"/>
        <v>65.410532896236944</v>
      </c>
      <c r="R589" s="28">
        <f t="shared" si="227"/>
        <v>71.330027850069158</v>
      </c>
      <c r="S589" s="28">
        <f t="shared" si="227"/>
        <v>77.589386431650709</v>
      </c>
      <c r="T589" s="28">
        <f t="shared" si="227"/>
        <v>84.206325924864828</v>
      </c>
      <c r="U589" s="28">
        <f t="shared" si="227"/>
        <v>57.796655450704442</v>
      </c>
      <c r="V589" s="28">
        <f t="shared" si="227"/>
        <v>61.316471767652352</v>
      </c>
    </row>
    <row r="590" spans="2:22">
      <c r="G590"/>
      <c r="I590" s="21"/>
      <c r="K590" s="21"/>
      <c r="L590" s="21"/>
      <c r="M590" s="21"/>
      <c r="N590" s="21"/>
    </row>
    <row r="591" spans="2:22">
      <c r="B591" t="s">
        <v>471</v>
      </c>
      <c r="G591"/>
      <c r="I591" s="21"/>
      <c r="J591">
        <f>SUM(J586:J587)</f>
        <v>750000</v>
      </c>
      <c r="K591">
        <f t="shared" ref="K591:V591" si="228">SUM(K586:K587)</f>
        <v>772500</v>
      </c>
      <c r="L591">
        <f t="shared" si="228"/>
        <v>795675</v>
      </c>
      <c r="M591">
        <f t="shared" si="228"/>
        <v>1019545.25</v>
      </c>
      <c r="N591">
        <f t="shared" si="228"/>
        <v>1094131.6075000002</v>
      </c>
      <c r="O591">
        <f t="shared" si="228"/>
        <v>1169455.5557250001</v>
      </c>
      <c r="P591">
        <f t="shared" si="228"/>
        <v>1245539.22239675</v>
      </c>
      <c r="Q591">
        <f t="shared" si="228"/>
        <v>1322405.3990686527</v>
      </c>
      <c r="R591">
        <f t="shared" si="228"/>
        <v>1400077.5610407123</v>
      </c>
      <c r="S591">
        <f t="shared" si="228"/>
        <v>1478579.8878719336</v>
      </c>
      <c r="T591">
        <f t="shared" si="228"/>
        <v>1557937.2845080916</v>
      </c>
      <c r="U591">
        <f t="shared" si="228"/>
        <v>1038175.4030433345</v>
      </c>
      <c r="V591">
        <f t="shared" si="228"/>
        <v>1069320.6651346346</v>
      </c>
    </row>
    <row r="592" spans="2:22">
      <c r="G592"/>
      <c r="I592" s="21"/>
      <c r="K592" s="21"/>
      <c r="L592" s="21"/>
      <c r="M592" s="21"/>
      <c r="N592" s="21"/>
    </row>
    <row r="593" spans="2:22" ht="15.75">
      <c r="B593" s="15" t="s">
        <v>526</v>
      </c>
      <c r="G593"/>
      <c r="I593" s="21"/>
      <c r="J593">
        <f>SUM(J614,J619,J625,J631,J637,J643,J649,J655,J660,J666,J672)</f>
        <v>8.0261410826860775</v>
      </c>
      <c r="K593">
        <f t="shared" ref="K593:V593" si="229">SUM(K614,K619,K625,K631,K637,K643,K649,K655,K660,K666,K672)</f>
        <v>8.3557264915943001</v>
      </c>
      <c r="L593">
        <f t="shared" si="229"/>
        <v>9.4119430636882591</v>
      </c>
      <c r="M593">
        <f t="shared" si="229"/>
        <v>10.561176925417943</v>
      </c>
      <c r="N593">
        <f t="shared" si="229"/>
        <v>11.206909748880113</v>
      </c>
      <c r="O593">
        <f t="shared" si="229"/>
        <v>11.88586605478376</v>
      </c>
      <c r="P593">
        <f t="shared" si="229"/>
        <v>12.599669717917289</v>
      </c>
      <c r="Q593">
        <f t="shared" si="229"/>
        <v>13.350024865096492</v>
      </c>
      <c r="R593">
        <f t="shared" si="229"/>
        <v>14.138720000852699</v>
      </c>
      <c r="S593">
        <f t="shared" si="229"/>
        <v>14.967632355585613</v>
      </c>
      <c r="T593">
        <f t="shared" si="229"/>
        <v>15.838732468706866</v>
      </c>
      <c r="U593">
        <f t="shared" si="229"/>
        <v>13.668153307503623</v>
      </c>
      <c r="V593">
        <f t="shared" si="229"/>
        <v>14.271116133757836</v>
      </c>
    </row>
    <row r="594" spans="2:22">
      <c r="B594" s="2" t="s">
        <v>555</v>
      </c>
      <c r="G594"/>
      <c r="I594" s="22"/>
    </row>
    <row r="595" spans="2:22">
      <c r="B595" s="407" t="s">
        <v>475</v>
      </c>
      <c r="F595" s="30">
        <f>Input!J442</f>
        <v>0</v>
      </c>
      <c r="G595" s="17" t="s">
        <v>315</v>
      </c>
      <c r="J595">
        <f>Input!K546</f>
        <v>5.2339742134300007</v>
      </c>
      <c r="K595">
        <f>Input!L546</f>
        <v>5.2339742134300007</v>
      </c>
      <c r="L595">
        <f>Input!M546</f>
        <v>2.6169871067150003</v>
      </c>
      <c r="M595">
        <f>Input!N546</f>
        <v>0</v>
      </c>
      <c r="N595">
        <f>Input!O546</f>
        <v>0</v>
      </c>
      <c r="O595">
        <f>Input!P546</f>
        <v>0</v>
      </c>
      <c r="P595">
        <f>Input!Q546</f>
        <v>0</v>
      </c>
      <c r="Q595">
        <f>Input!R546</f>
        <v>0</v>
      </c>
      <c r="R595">
        <f>Input!S546</f>
        <v>0</v>
      </c>
      <c r="S595">
        <f>Input!T546</f>
        <v>0</v>
      </c>
      <c r="T595">
        <f>Input!U546</f>
        <v>0</v>
      </c>
      <c r="U595">
        <f>Input!V546</f>
        <v>0</v>
      </c>
      <c r="V595">
        <f>Input!W546</f>
        <v>0</v>
      </c>
    </row>
    <row r="596" spans="2:22">
      <c r="B596" s="407" t="s">
        <v>58</v>
      </c>
      <c r="G596" s="17" t="s">
        <v>315</v>
      </c>
      <c r="J596">
        <f>Input!K437</f>
        <v>0</v>
      </c>
      <c r="K596">
        <f>Input!L437</f>
        <v>0</v>
      </c>
      <c r="L596">
        <f>Input!M437</f>
        <v>0</v>
      </c>
      <c r="M596">
        <f>Input!N437</f>
        <v>0</v>
      </c>
      <c r="N596">
        <f>Input!O437</f>
        <v>0</v>
      </c>
      <c r="O596">
        <f>Input!P437</f>
        <v>0</v>
      </c>
      <c r="P596">
        <f>Input!Q437</f>
        <v>0</v>
      </c>
      <c r="Q596">
        <f>Input!R437</f>
        <v>0</v>
      </c>
      <c r="R596">
        <f>Input!S437</f>
        <v>0</v>
      </c>
      <c r="S596">
        <f>Input!T437</f>
        <v>0</v>
      </c>
      <c r="T596">
        <f>Input!U437</f>
        <v>0</v>
      </c>
      <c r="U596">
        <f>Input!V437</f>
        <v>0</v>
      </c>
      <c r="V596">
        <f>Input!W437</f>
        <v>0</v>
      </c>
    </row>
    <row r="597" spans="2:22">
      <c r="B597" s="28" t="s">
        <v>476</v>
      </c>
      <c r="C597" s="28"/>
      <c r="D597" s="28"/>
      <c r="E597" s="28"/>
      <c r="F597" s="28"/>
      <c r="G597" s="28"/>
      <c r="H597" s="28"/>
      <c r="I597" s="49">
        <f>SUM(J597:V597)</f>
        <v>13.084935533575003</v>
      </c>
      <c r="J597" s="47">
        <f>SUM(J595:J596)</f>
        <v>5.2339742134300007</v>
      </c>
      <c r="K597" s="47">
        <f t="shared" ref="K597:V597" si="230">SUM(K595:K596)</f>
        <v>5.2339742134300007</v>
      </c>
      <c r="L597" s="47">
        <f t="shared" si="230"/>
        <v>2.6169871067150003</v>
      </c>
      <c r="M597" s="47">
        <f t="shared" si="230"/>
        <v>0</v>
      </c>
      <c r="N597" s="47">
        <f t="shared" si="230"/>
        <v>0</v>
      </c>
      <c r="O597" s="47">
        <f t="shared" si="230"/>
        <v>0</v>
      </c>
      <c r="P597" s="47">
        <f t="shared" si="230"/>
        <v>0</v>
      </c>
      <c r="Q597" s="47">
        <f t="shared" si="230"/>
        <v>0</v>
      </c>
      <c r="R597" s="47">
        <f t="shared" si="230"/>
        <v>0</v>
      </c>
      <c r="S597" s="47">
        <f t="shared" si="230"/>
        <v>0</v>
      </c>
      <c r="T597" s="47">
        <f t="shared" si="230"/>
        <v>0</v>
      </c>
      <c r="U597" s="47">
        <f t="shared" si="230"/>
        <v>0</v>
      </c>
      <c r="V597" s="47">
        <f t="shared" si="230"/>
        <v>0</v>
      </c>
    </row>
    <row r="598" spans="2:22">
      <c r="G598"/>
    </row>
    <row r="599" spans="2:22">
      <c r="B599" s="2" t="s">
        <v>556</v>
      </c>
      <c r="E599" s="58" t="s">
        <v>514</v>
      </c>
      <c r="F599" s="58" t="s">
        <v>515</v>
      </c>
      <c r="G599"/>
      <c r="I599" s="22"/>
    </row>
    <row r="600" spans="2:22">
      <c r="B600" s="407" t="s">
        <v>516</v>
      </c>
      <c r="E600" s="16">
        <f>Input!J559</f>
        <v>20</v>
      </c>
      <c r="F600" s="30">
        <f>SUM(Input!K551:O551)</f>
        <v>14.024592683676605</v>
      </c>
      <c r="G600" s="17" t="s">
        <v>176</v>
      </c>
    </row>
    <row r="601" spans="2:22">
      <c r="B601" s="407" t="s">
        <v>517</v>
      </c>
      <c r="F601" s="73">
        <f>Input!J556</f>
        <v>0.9</v>
      </c>
      <c r="G601" s="17" t="s">
        <v>315</v>
      </c>
    </row>
    <row r="602" spans="2:22">
      <c r="B602" s="28" t="s">
        <v>476</v>
      </c>
      <c r="C602" s="28"/>
      <c r="D602" s="28"/>
      <c r="E602" s="28"/>
      <c r="F602" s="28"/>
      <c r="G602" s="28"/>
      <c r="H602" s="28"/>
      <c r="I602" s="49">
        <f>SUM(J602:V602)</f>
        <v>112.91444999999999</v>
      </c>
      <c r="J602" s="47">
        <f t="shared" ref="J602:V602" si="231">($F600*$F601*Million)/$E600*USD_IDR/Billion*J$357*J582</f>
        <v>0</v>
      </c>
      <c r="K602" s="47">
        <f t="shared" si="231"/>
        <v>0</v>
      </c>
      <c r="L602" s="47">
        <f t="shared" si="231"/>
        <v>10.264949999999999</v>
      </c>
      <c r="M602" s="47">
        <f t="shared" si="231"/>
        <v>10.264949999999999</v>
      </c>
      <c r="N602" s="47">
        <f t="shared" si="231"/>
        <v>10.264949999999999</v>
      </c>
      <c r="O602" s="47">
        <f t="shared" si="231"/>
        <v>10.264949999999999</v>
      </c>
      <c r="P602" s="47">
        <f t="shared" si="231"/>
        <v>10.264949999999999</v>
      </c>
      <c r="Q602" s="47">
        <f t="shared" si="231"/>
        <v>10.264949999999999</v>
      </c>
      <c r="R602" s="47">
        <f t="shared" si="231"/>
        <v>10.264949999999999</v>
      </c>
      <c r="S602" s="47">
        <f t="shared" si="231"/>
        <v>10.264949999999999</v>
      </c>
      <c r="T602" s="47">
        <f t="shared" si="231"/>
        <v>10.264949999999999</v>
      </c>
      <c r="U602" s="47">
        <f t="shared" si="231"/>
        <v>10.264949999999999</v>
      </c>
      <c r="V602" s="47">
        <f t="shared" si="231"/>
        <v>10.264949999999999</v>
      </c>
    </row>
    <row r="603" spans="2:22">
      <c r="G603"/>
    </row>
    <row r="604" spans="2:22">
      <c r="B604" s="2" t="s">
        <v>557</v>
      </c>
      <c r="E604" s="58" t="s">
        <v>514</v>
      </c>
      <c r="F604" s="58" t="s">
        <v>515</v>
      </c>
      <c r="G604"/>
      <c r="I604" s="22"/>
    </row>
    <row r="605" spans="2:22">
      <c r="B605" s="407" t="s">
        <v>516</v>
      </c>
      <c r="E605" s="16">
        <f>Input!J560</f>
        <v>8</v>
      </c>
      <c r="F605" s="30">
        <f>F600</f>
        <v>14.024592683676605</v>
      </c>
      <c r="G605" s="17" t="s">
        <v>315</v>
      </c>
    </row>
    <row r="606" spans="2:22">
      <c r="B606" s="407" t="s">
        <v>517</v>
      </c>
      <c r="F606" s="73">
        <f>Input!J557</f>
        <v>9.9999999999999978E-2</v>
      </c>
      <c r="G606" s="17" t="s">
        <v>315</v>
      </c>
    </row>
    <row r="607" spans="2:22">
      <c r="B607" s="28" t="s">
        <v>476</v>
      </c>
      <c r="C607" s="28"/>
      <c r="D607" s="28"/>
      <c r="E607" s="28"/>
      <c r="F607" s="28"/>
      <c r="G607" s="28"/>
      <c r="H607" s="28"/>
      <c r="I607" s="49">
        <f>SUM(J607:V607)</f>
        <v>31.365124999999985</v>
      </c>
      <c r="J607" s="47">
        <f t="shared" ref="J607:V607" si="232">($F605*$F606*Million)/$E605*USD_IDR/Billion*J$357*J582</f>
        <v>0</v>
      </c>
      <c r="K607" s="47">
        <f t="shared" si="232"/>
        <v>0</v>
      </c>
      <c r="L607" s="47">
        <f t="shared" si="232"/>
        <v>2.8513749999999991</v>
      </c>
      <c r="M607" s="47">
        <f t="shared" si="232"/>
        <v>2.8513749999999991</v>
      </c>
      <c r="N607" s="47">
        <f t="shared" si="232"/>
        <v>2.8513749999999991</v>
      </c>
      <c r="O607" s="47">
        <f t="shared" si="232"/>
        <v>2.8513749999999991</v>
      </c>
      <c r="P607" s="47">
        <f t="shared" si="232"/>
        <v>2.8513749999999991</v>
      </c>
      <c r="Q607" s="47">
        <f t="shared" si="232"/>
        <v>2.8513749999999991</v>
      </c>
      <c r="R607" s="47">
        <f t="shared" si="232"/>
        <v>2.8513749999999991</v>
      </c>
      <c r="S607" s="47">
        <f t="shared" si="232"/>
        <v>2.8513749999999991</v>
      </c>
      <c r="T607" s="47">
        <f t="shared" si="232"/>
        <v>2.8513749999999991</v>
      </c>
      <c r="U607" s="47">
        <f t="shared" si="232"/>
        <v>2.8513749999999991</v>
      </c>
      <c r="V607" s="47">
        <f t="shared" si="232"/>
        <v>2.8513749999999991</v>
      </c>
    </row>
    <row r="608" spans="2:22">
      <c r="G608"/>
    </row>
    <row r="609" spans="2:22">
      <c r="B609" t="s">
        <v>558</v>
      </c>
      <c r="G609"/>
      <c r="J609">
        <f>SUM(J607,J602,J597)</f>
        <v>5.2339742134300007</v>
      </c>
      <c r="K609">
        <f t="shared" ref="K609:V609" si="233">SUM(K607,K602,K597)</f>
        <v>5.2339742134300007</v>
      </c>
      <c r="L609">
        <f t="shared" si="233"/>
        <v>15.733312106714997</v>
      </c>
      <c r="M609">
        <f t="shared" si="233"/>
        <v>13.116324999999998</v>
      </c>
      <c r="N609">
        <f t="shared" si="233"/>
        <v>13.116324999999998</v>
      </c>
      <c r="O609">
        <f t="shared" si="233"/>
        <v>13.116324999999998</v>
      </c>
      <c r="P609">
        <f t="shared" si="233"/>
        <v>13.116324999999998</v>
      </c>
      <c r="Q609">
        <f t="shared" si="233"/>
        <v>13.116324999999998</v>
      </c>
      <c r="R609">
        <f t="shared" si="233"/>
        <v>13.116324999999998</v>
      </c>
      <c r="S609">
        <f t="shared" si="233"/>
        <v>13.116324999999998</v>
      </c>
      <c r="T609">
        <f t="shared" si="233"/>
        <v>13.116324999999998</v>
      </c>
      <c r="U609">
        <f t="shared" si="233"/>
        <v>13.116324999999998</v>
      </c>
      <c r="V609">
        <f t="shared" si="233"/>
        <v>13.116324999999998</v>
      </c>
    </row>
    <row r="610" spans="2:22">
      <c r="G610"/>
    </row>
    <row r="611" spans="2:22">
      <c r="B611" s="2" t="s">
        <v>559</v>
      </c>
      <c r="G611"/>
    </row>
    <row r="612" spans="2:22">
      <c r="B612" s="407" t="s">
        <v>478</v>
      </c>
      <c r="G612"/>
      <c r="I612" s="13">
        <v>1</v>
      </c>
      <c r="J612" s="71">
        <f>I612*(1+Input!K563)*J$12</f>
        <v>1.0349999999999999</v>
      </c>
      <c r="K612" s="13">
        <f>J612*(1+Input!L563)*K$12</f>
        <v>1.0712249999999999</v>
      </c>
      <c r="L612" s="13">
        <f>K612*(1+Input!M563)*L$12</f>
        <v>1.1087178749999997</v>
      </c>
      <c r="M612" s="13">
        <f>L612*(1+Input!N563)*M$12</f>
        <v>1.1475230006249997</v>
      </c>
      <c r="N612" s="13">
        <f>M612*(1+Input!O563)*N$12</f>
        <v>1.1876863056468745</v>
      </c>
      <c r="O612" s="13">
        <f>N612*(1+Input!P563)*O$12</f>
        <v>1.229255326344515</v>
      </c>
      <c r="P612" s="13">
        <f>O612*(1+Input!Q563)*P$12</f>
        <v>1.2722792627665729</v>
      </c>
      <c r="Q612" s="13">
        <f>P612*(1+Input!R563)*Q$12</f>
        <v>1.3168090369634029</v>
      </c>
      <c r="R612" s="13">
        <f>Q612*(1+Input!S563)*R$12</f>
        <v>1.3628973532571218</v>
      </c>
      <c r="S612" s="13">
        <f>R612*(1+Input!T563)*S$12</f>
        <v>1.410598760621121</v>
      </c>
      <c r="T612" s="13">
        <f>S612*(1+Input!U563)*T$12</f>
        <v>1.4599697172428601</v>
      </c>
      <c r="U612" s="13">
        <f>T612*(1+Input!V563)*U$12</f>
        <v>1.5110686573463601</v>
      </c>
      <c r="V612" s="13">
        <f>U612*(1+Input!W563)*V$12</f>
        <v>1.5639560603534826</v>
      </c>
    </row>
    <row r="613" spans="2:22">
      <c r="B613" t="s">
        <v>479</v>
      </c>
      <c r="F613" s="19">
        <f>Input!J568</f>
        <v>3.2796205180000002</v>
      </c>
      <c r="G613" s="17" t="s">
        <v>315</v>
      </c>
    </row>
    <row r="614" spans="2:22">
      <c r="B614" s="28" t="s">
        <v>480</v>
      </c>
      <c r="C614" s="28"/>
      <c r="D614" s="28"/>
      <c r="E614" s="28"/>
      <c r="F614" s="28"/>
      <c r="G614" s="28"/>
      <c r="H614" s="28"/>
      <c r="I614" s="28"/>
      <c r="J614" s="47">
        <f>$F613*J612</f>
        <v>3.3944072361300002</v>
      </c>
      <c r="K614" s="47">
        <f t="shared" ref="K614:V614" si="234">$F613*K612</f>
        <v>3.5132114893945499</v>
      </c>
      <c r="L614" s="47">
        <f t="shared" si="234"/>
        <v>3.6361738915233586</v>
      </c>
      <c r="M614" s="47">
        <f t="shared" si="234"/>
        <v>3.763439977726676</v>
      </c>
      <c r="N614" s="47">
        <f t="shared" si="234"/>
        <v>3.8951603769471093</v>
      </c>
      <c r="O614" s="47">
        <f t="shared" si="234"/>
        <v>4.0314909901402576</v>
      </c>
      <c r="P614" s="47">
        <f t="shared" si="234"/>
        <v>4.1725931747951659</v>
      </c>
      <c r="Q614" s="47">
        <f t="shared" si="234"/>
        <v>4.318633935912997</v>
      </c>
      <c r="R614" s="47">
        <f t="shared" si="234"/>
        <v>4.4697861236699508</v>
      </c>
      <c r="S614" s="47">
        <f t="shared" si="234"/>
        <v>4.6262286379983992</v>
      </c>
      <c r="T614" s="47">
        <f t="shared" si="234"/>
        <v>4.7881466403283426</v>
      </c>
      <c r="U614" s="47">
        <f t="shared" si="234"/>
        <v>4.955731772739834</v>
      </c>
      <c r="V614" s="47">
        <f t="shared" si="234"/>
        <v>5.1291823847857279</v>
      </c>
    </row>
    <row r="615" spans="2:22">
      <c r="G615"/>
    </row>
    <row r="616" spans="2:22">
      <c r="B616" s="2" t="s">
        <v>527</v>
      </c>
      <c r="G616"/>
    </row>
    <row r="617" spans="2:22">
      <c r="B617" s="407" t="s">
        <v>478</v>
      </c>
      <c r="G617"/>
      <c r="I617" s="13">
        <v>1</v>
      </c>
      <c r="J617" s="13">
        <f>I617*(1+Input!K570)*J$12</f>
        <v>1.0349999999999999</v>
      </c>
      <c r="K617" s="13">
        <f>J617*(1+Input!L570)*K$12</f>
        <v>1.0712249999999999</v>
      </c>
      <c r="L617" s="13">
        <f>K617*(1+Input!M570)*L$12</f>
        <v>1.1087178749999997</v>
      </c>
      <c r="M617" s="13">
        <f>L617*(1+Input!N570)*M$12</f>
        <v>1.1475230006249997</v>
      </c>
      <c r="N617" s="13">
        <f>M617*(1+Input!O570)*N$12</f>
        <v>1.1876863056468745</v>
      </c>
      <c r="O617" s="13">
        <f>N617*(1+Input!P570)*O$12</f>
        <v>1.229255326344515</v>
      </c>
      <c r="P617" s="13">
        <f>O617*(1+Input!Q570)*P$12</f>
        <v>1.2722792627665729</v>
      </c>
      <c r="Q617" s="13">
        <f>P617*(1+Input!R570)*Q$12</f>
        <v>1.3168090369634029</v>
      </c>
      <c r="R617" s="13">
        <f>Q617*(1+Input!S570)*R$12</f>
        <v>1.3628973532571218</v>
      </c>
      <c r="S617" s="13">
        <f>R617*(1+Input!T570)*S$12</f>
        <v>1.410598760621121</v>
      </c>
      <c r="T617" s="13">
        <f>S617*(1+Input!U570)*T$12</f>
        <v>1.4599697172428601</v>
      </c>
      <c r="U617" s="13">
        <f>T617*(1+Input!V570)*U$12</f>
        <v>1.5110686573463601</v>
      </c>
      <c r="V617" s="13">
        <f>U617*(1+Input!W570)*V$12</f>
        <v>1.5639560603534826</v>
      </c>
    </row>
    <row r="618" spans="2:22">
      <c r="B618" t="s">
        <v>479</v>
      </c>
      <c r="F618" s="19">
        <f>Input!J575</f>
        <v>1.9301774279999999</v>
      </c>
      <c r="G618" s="17" t="s">
        <v>315</v>
      </c>
    </row>
    <row r="619" spans="2:22">
      <c r="B619" s="28" t="s">
        <v>480</v>
      </c>
      <c r="C619" s="28"/>
      <c r="D619" s="28"/>
      <c r="E619" s="28"/>
      <c r="F619" s="28"/>
      <c r="G619" s="28"/>
      <c r="H619" s="28"/>
      <c r="I619" s="28"/>
      <c r="J619" s="47">
        <f>$F618*J617</f>
        <v>1.9977336379799997</v>
      </c>
      <c r="K619" s="47">
        <f t="shared" ref="K619:V619" si="235">$F618*K617</f>
        <v>2.0676543153092997</v>
      </c>
      <c r="L619" s="47">
        <f t="shared" si="235"/>
        <v>2.140022216345125</v>
      </c>
      <c r="M619" s="47">
        <f t="shared" si="235"/>
        <v>2.2149229939172042</v>
      </c>
      <c r="N619" s="47">
        <f t="shared" si="235"/>
        <v>2.292445298704306</v>
      </c>
      <c r="O619" s="47">
        <f t="shared" si="235"/>
        <v>2.3726808841589566</v>
      </c>
      <c r="P619" s="47">
        <f t="shared" si="235"/>
        <v>2.4557247151045196</v>
      </c>
      <c r="Q619" s="47">
        <f t="shared" si="235"/>
        <v>2.541675080133178</v>
      </c>
      <c r="R619" s="47">
        <f t="shared" si="235"/>
        <v>2.6306337079378386</v>
      </c>
      <c r="S619" s="47">
        <f t="shared" si="235"/>
        <v>2.7227058877156627</v>
      </c>
      <c r="T619" s="47">
        <f t="shared" si="235"/>
        <v>2.8180005937857109</v>
      </c>
      <c r="U619" s="47">
        <f t="shared" si="235"/>
        <v>2.9166306145682106</v>
      </c>
      <c r="V619" s="47">
        <f t="shared" si="235"/>
        <v>3.0187126860780977</v>
      </c>
    </row>
    <row r="620" spans="2:22">
      <c r="G620"/>
    </row>
    <row r="621" spans="2:22">
      <c r="B621" s="2" t="s">
        <v>560</v>
      </c>
      <c r="G621"/>
    </row>
    <row r="622" spans="2:22">
      <c r="B622" s="407" t="s">
        <v>478</v>
      </c>
      <c r="E622" s="58" t="s">
        <v>482</v>
      </c>
      <c r="F622" s="58" t="s">
        <v>483</v>
      </c>
      <c r="G622"/>
      <c r="I622" s="13">
        <v>1</v>
      </c>
      <c r="J622" s="13">
        <f>I622*(1+Input!K577)*J$12</f>
        <v>1.03</v>
      </c>
      <c r="K622" s="13">
        <f>J622*(1+Input!L577)*K$12</f>
        <v>1.0609</v>
      </c>
      <c r="L622" s="13">
        <f>K622*(1+Input!M577)*L$12</f>
        <v>1.092727</v>
      </c>
      <c r="M622" s="13">
        <f>L622*(1+Input!N577)*M$12</f>
        <v>1.1255088100000001</v>
      </c>
      <c r="N622" s="13">
        <f>M622*(1+Input!O577)*N$12</f>
        <v>1.1592740743000001</v>
      </c>
      <c r="O622" s="13">
        <f>N622*(1+Input!P577)*O$12</f>
        <v>1.1940522965290001</v>
      </c>
      <c r="P622" s="13">
        <f>O622*(1+Input!Q577)*P$12</f>
        <v>1.2298738654248702</v>
      </c>
      <c r="Q622" s="13">
        <f>P622*(1+Input!R577)*Q$12</f>
        <v>1.2667700813876164</v>
      </c>
      <c r="R622" s="13">
        <f>Q622*(1+Input!S577)*R$12</f>
        <v>1.3047731838292449</v>
      </c>
      <c r="S622" s="13">
        <f>R622*(1+Input!T577)*S$12</f>
        <v>1.3439163793441222</v>
      </c>
      <c r="T622" s="13">
        <f>S622*(1+Input!U577)*T$12</f>
        <v>1.3842338707244459</v>
      </c>
      <c r="U622" s="13">
        <f>T622*(1+Input!V577)*U$12</f>
        <v>1.4257608868461793</v>
      </c>
      <c r="V622" s="13">
        <f>U622*(1+Input!W577)*V$12</f>
        <v>1.4685337134515648</v>
      </c>
    </row>
    <row r="623" spans="2:22">
      <c r="B623" s="407" t="s">
        <v>484</v>
      </c>
      <c r="E623" s="19">
        <v>922782</v>
      </c>
      <c r="F623" s="19">
        <f>F624/E623*Billion</f>
        <v>894.79011497840224</v>
      </c>
      <c r="G623" s="17" t="s">
        <v>485</v>
      </c>
      <c r="J623">
        <f>$F623*J622</f>
        <v>921.63381842775436</v>
      </c>
      <c r="K623">
        <f t="shared" ref="K623:V623" si="236">$F623*K622</f>
        <v>949.28283298058693</v>
      </c>
      <c r="L623">
        <f t="shared" si="236"/>
        <v>977.7613179700046</v>
      </c>
      <c r="M623">
        <f t="shared" si="236"/>
        <v>1007.0941575091048</v>
      </c>
      <c r="N623">
        <f t="shared" si="236"/>
        <v>1037.306982234378</v>
      </c>
      <c r="O623">
        <f t="shared" si="236"/>
        <v>1068.4261917014094</v>
      </c>
      <c r="P623">
        <f t="shared" si="236"/>
        <v>1100.4789774524515</v>
      </c>
      <c r="Q623">
        <f t="shared" si="236"/>
        <v>1133.4933467760252</v>
      </c>
      <c r="R623">
        <f t="shared" si="236"/>
        <v>1167.498147179306</v>
      </c>
      <c r="S623">
        <f t="shared" si="236"/>
        <v>1202.5230915946852</v>
      </c>
      <c r="T623">
        <f t="shared" si="236"/>
        <v>1238.5987843425257</v>
      </c>
      <c r="U623">
        <f t="shared" si="236"/>
        <v>1275.7567478728015</v>
      </c>
      <c r="V623">
        <f t="shared" si="236"/>
        <v>1314.0294503089856</v>
      </c>
    </row>
    <row r="624" spans="2:22">
      <c r="B624" s="407" t="s">
        <v>486</v>
      </c>
      <c r="F624" s="19">
        <f>Input!J582</f>
        <v>0.82569621187999998</v>
      </c>
      <c r="G624" s="17" t="s">
        <v>315</v>
      </c>
    </row>
    <row r="625" spans="2:22">
      <c r="B625" s="28" t="s">
        <v>480</v>
      </c>
      <c r="C625" s="28"/>
      <c r="D625" s="28"/>
      <c r="E625" s="28"/>
      <c r="F625" s="28"/>
      <c r="G625" s="28"/>
      <c r="H625" s="28"/>
      <c r="I625" s="28"/>
      <c r="J625" s="47">
        <f>J623*J$591/Billion</f>
        <v>0.69122536382081579</v>
      </c>
      <c r="K625" s="47">
        <f t="shared" ref="K625:V625" si="237">K623*K$591/Billion</f>
        <v>0.73332098847750338</v>
      </c>
      <c r="L625" s="47">
        <f t="shared" si="237"/>
        <v>0.77798023667578342</v>
      </c>
      <c r="M625" s="47">
        <f t="shared" si="237"/>
        <v>1.0267780645911595</v>
      </c>
      <c r="N625" s="47">
        <f t="shared" si="237"/>
        <v>1.134950355943074</v>
      </c>
      <c r="O625" s="47">
        <f t="shared" si="237"/>
        <v>1.2494769457673174</v>
      </c>
      <c r="P625" s="47">
        <f t="shared" si="237"/>
        <v>1.3706897298400973</v>
      </c>
      <c r="Q625" s="47">
        <f t="shared" si="237"/>
        <v>1.4989377215850122</v>
      </c>
      <c r="R625" s="47">
        <f t="shared" si="237"/>
        <v>1.6345879584223533</v>
      </c>
      <c r="S625" s="47">
        <f t="shared" si="237"/>
        <v>1.7780264579334806</v>
      </c>
      <c r="T625" s="47">
        <f t="shared" si="237"/>
        <v>1.9296592266736179</v>
      </c>
      <c r="U625" s="47">
        <f t="shared" si="237"/>
        <v>1.3244592759080993</v>
      </c>
      <c r="V625" s="47">
        <f t="shared" si="237"/>
        <v>1.4051188458109027</v>
      </c>
    </row>
    <row r="626" spans="2:22">
      <c r="G626"/>
    </row>
    <row r="627" spans="2:22">
      <c r="B627" s="2" t="s">
        <v>561</v>
      </c>
      <c r="G627"/>
    </row>
    <row r="628" spans="2:22">
      <c r="B628" s="407" t="s">
        <v>478</v>
      </c>
      <c r="E628" s="58" t="s">
        <v>482</v>
      </c>
      <c r="F628" s="58" t="s">
        <v>483</v>
      </c>
      <c r="G628"/>
      <c r="I628" s="13">
        <v>1</v>
      </c>
      <c r="J628" s="13">
        <f>I628*(1+Input!K584)*J$12</f>
        <v>1.03</v>
      </c>
      <c r="K628" s="13">
        <f>J628*(1+Input!L584)*K$12</f>
        <v>1.0609</v>
      </c>
      <c r="L628" s="13">
        <f>K628*(1+Input!M584)*L$12</f>
        <v>1.092727</v>
      </c>
      <c r="M628" s="13">
        <f>L628*(1+Input!N584)*M$12</f>
        <v>1.1255088100000001</v>
      </c>
      <c r="N628" s="13">
        <f>M628*(1+Input!O584)*N$12</f>
        <v>1.1592740743000001</v>
      </c>
      <c r="O628" s="13">
        <f>N628*(1+Input!P584)*O$12</f>
        <v>1.1940522965290001</v>
      </c>
      <c r="P628" s="13">
        <f>O628*(1+Input!Q584)*P$12</f>
        <v>1.2298738654248702</v>
      </c>
      <c r="Q628" s="13">
        <f>P628*(1+Input!R584)*Q$12</f>
        <v>1.2667700813876164</v>
      </c>
      <c r="R628" s="13">
        <f>Q628*(1+Input!S584)*R$12</f>
        <v>1.3047731838292449</v>
      </c>
      <c r="S628" s="13">
        <f>R628*(1+Input!T584)*S$12</f>
        <v>1.3439163793441222</v>
      </c>
      <c r="T628" s="13">
        <f>S628*(1+Input!U584)*T$12</f>
        <v>1.3842338707244459</v>
      </c>
      <c r="U628" s="13">
        <f>T628*(1+Input!V584)*U$12</f>
        <v>1.4257608868461793</v>
      </c>
      <c r="V628" s="13">
        <f>U628*(1+Input!W584)*V$12</f>
        <v>1.4685337134515648</v>
      </c>
    </row>
    <row r="629" spans="2:22">
      <c r="B629" s="407" t="s">
        <v>484</v>
      </c>
      <c r="E629" s="19">
        <v>922782</v>
      </c>
      <c r="F629" s="19">
        <f>F630/E629*Billion</f>
        <v>683.82504318463089</v>
      </c>
      <c r="G629" s="17" t="s">
        <v>485</v>
      </c>
      <c r="J629">
        <f>$F629*J628</f>
        <v>704.33979448016987</v>
      </c>
      <c r="K629">
        <f t="shared" ref="K629:V629" si="238">$F629*K628</f>
        <v>725.46998831457483</v>
      </c>
      <c r="L629">
        <f t="shared" si="238"/>
        <v>747.23408796401213</v>
      </c>
      <c r="M629">
        <f t="shared" si="238"/>
        <v>769.65111060293259</v>
      </c>
      <c r="N629">
        <f t="shared" si="238"/>
        <v>792.74064392102059</v>
      </c>
      <c r="O629">
        <f t="shared" si="238"/>
        <v>816.52286323865121</v>
      </c>
      <c r="P629">
        <f t="shared" si="238"/>
        <v>841.01854913581076</v>
      </c>
      <c r="Q629">
        <f t="shared" si="238"/>
        <v>866.24910560988519</v>
      </c>
      <c r="R629">
        <f t="shared" si="238"/>
        <v>892.23657877818175</v>
      </c>
      <c r="S629">
        <f t="shared" si="238"/>
        <v>919.00367614152719</v>
      </c>
      <c r="T629">
        <f t="shared" si="238"/>
        <v>946.57378642577305</v>
      </c>
      <c r="U629">
        <f t="shared" si="238"/>
        <v>974.97100001854619</v>
      </c>
      <c r="V629">
        <f t="shared" si="238"/>
        <v>1004.2201300191026</v>
      </c>
    </row>
    <row r="630" spans="2:22">
      <c r="B630" s="407" t="s">
        <v>486</v>
      </c>
      <c r="F630" s="19">
        <f>Input!J589</f>
        <v>0.63102144100000002</v>
      </c>
      <c r="G630" s="17" t="s">
        <v>315</v>
      </c>
    </row>
    <row r="631" spans="2:22">
      <c r="B631" s="28" t="s">
        <v>480</v>
      </c>
      <c r="C631" s="28"/>
      <c r="D631" s="28"/>
      <c r="E631" s="28"/>
      <c r="F631" s="28"/>
      <c r="G631" s="28"/>
      <c r="H631" s="28"/>
      <c r="I631" s="28"/>
      <c r="J631" s="47">
        <f>J629*J$591/Billion</f>
        <v>0.52825484586012739</v>
      </c>
      <c r="K631" s="47">
        <f t="shared" ref="K631:V631" si="239">K629*K$591/Billion</f>
        <v>0.56042556597300908</v>
      </c>
      <c r="L631" s="47">
        <f t="shared" si="239"/>
        <v>0.59455548294076543</v>
      </c>
      <c r="M631" s="47">
        <f t="shared" si="239"/>
        <v>0.78469413397244459</v>
      </c>
      <c r="N631" s="47">
        <f t="shared" si="239"/>
        <v>0.86736259506389157</v>
      </c>
      <c r="O631" s="47">
        <f t="shared" si="239"/>
        <v>0.9548871987909251</v>
      </c>
      <c r="P631" s="47">
        <f t="shared" si="239"/>
        <v>1.0475215897118606</v>
      </c>
      <c r="Q631" s="47">
        <f t="shared" si="239"/>
        <v>1.1455324941969036</v>
      </c>
      <c r="R631" s="47">
        <f t="shared" si="239"/>
        <v>1.2492004130870662</v>
      </c>
      <c r="S631" s="47">
        <f t="shared" si="239"/>
        <v>1.3588203524232341</v>
      </c>
      <c r="T631" s="47">
        <f t="shared" si="239"/>
        <v>1.4747025944107111</v>
      </c>
      <c r="U631" s="47">
        <f t="shared" si="239"/>
        <v>1.0121909108998171</v>
      </c>
      <c r="V631" s="47">
        <f t="shared" si="239"/>
        <v>1.073833337373616</v>
      </c>
    </row>
    <row r="632" spans="2:22">
      <c r="G632"/>
    </row>
    <row r="633" spans="2:22">
      <c r="B633" s="2" t="s">
        <v>562</v>
      </c>
      <c r="G633"/>
    </row>
    <row r="634" spans="2:22">
      <c r="B634" s="407" t="s">
        <v>478</v>
      </c>
      <c r="G634"/>
      <c r="I634" s="13">
        <v>1</v>
      </c>
      <c r="J634" s="13">
        <f>I634*(1+Input!K591)*J$12</f>
        <v>1.0249999999999999</v>
      </c>
      <c r="K634" s="13">
        <f>J634*(1+Input!L591)*K$12</f>
        <v>1.0506249999999999</v>
      </c>
      <c r="L634" s="13">
        <f>K634*(1+Input!M591)*L$12</f>
        <v>1.0768906249999999</v>
      </c>
      <c r="M634" s="13">
        <f>L634*(1+Input!N591)*M$12</f>
        <v>1.1038128906249998</v>
      </c>
      <c r="N634" s="13">
        <f>M634*(1+Input!O591)*N$12</f>
        <v>1.1314082128906247</v>
      </c>
      <c r="O634" s="13">
        <f>N634*(1+Input!P591)*O$12</f>
        <v>1.1596934182128902</v>
      </c>
      <c r="P634" s="13">
        <f>O634*(1+Input!Q591)*P$12</f>
        <v>1.1886857536682123</v>
      </c>
      <c r="Q634" s="13">
        <f>P634*(1+Input!R591)*Q$12</f>
        <v>1.2184028975099175</v>
      </c>
      <c r="R634" s="13">
        <f>Q634*(1+Input!S591)*R$12</f>
        <v>1.2488629699476652</v>
      </c>
      <c r="S634" s="13">
        <f>R634*(1+Input!T591)*S$12</f>
        <v>1.2800845441963566</v>
      </c>
      <c r="T634" s="13">
        <f>S634*(1+Input!U591)*T$12</f>
        <v>1.3120866578012655</v>
      </c>
      <c r="U634" s="13">
        <f>T634*(1+Input!V591)*U$12</f>
        <v>1.3448888242462971</v>
      </c>
      <c r="V634" s="13">
        <f>U634*(1+Input!W591)*V$12</f>
        <v>1.3785110448524545</v>
      </c>
    </row>
    <row r="635" spans="2:22">
      <c r="B635" s="407" t="s">
        <v>484</v>
      </c>
      <c r="G635" s="17" t="s">
        <v>485</v>
      </c>
      <c r="J635">
        <f>J589</f>
        <v>22.243500000000001</v>
      </c>
      <c r="K635">
        <f t="shared" ref="K635:V635" si="240">K589</f>
        <v>22.910805</v>
      </c>
      <c r="L635">
        <f t="shared" si="240"/>
        <v>34.967927062500003</v>
      </c>
      <c r="M635">
        <f t="shared" si="240"/>
        <v>44.806464874375003</v>
      </c>
      <c r="N635">
        <f t="shared" si="240"/>
        <v>49.526879285224446</v>
      </c>
      <c r="O635">
        <f t="shared" si="240"/>
        <v>54.52458210056961</v>
      </c>
      <c r="P635">
        <f t="shared" si="240"/>
        <v>59.814056563626792</v>
      </c>
      <c r="Q635">
        <f t="shared" si="240"/>
        <v>65.410532896236944</v>
      </c>
      <c r="R635">
        <f t="shared" si="240"/>
        <v>71.330027850069158</v>
      </c>
      <c r="S635">
        <f t="shared" si="240"/>
        <v>77.589386431650709</v>
      </c>
      <c r="T635">
        <f t="shared" si="240"/>
        <v>84.206325924864828</v>
      </c>
      <c r="U635">
        <f t="shared" si="240"/>
        <v>57.796655450704442</v>
      </c>
      <c r="V635">
        <f t="shared" si="240"/>
        <v>61.316471767652352</v>
      </c>
    </row>
    <row r="636" spans="2:22">
      <c r="B636" s="407" t="s">
        <v>563</v>
      </c>
      <c r="F636" s="19">
        <f>Input!J596</f>
        <v>0.55135566199999997</v>
      </c>
      <c r="G636" s="17" t="s">
        <v>315</v>
      </c>
      <c r="J636" s="21">
        <f>Input!K591</f>
        <v>2.5000000000000001E-2</v>
      </c>
      <c r="K636" s="21">
        <f>Input!L591</f>
        <v>2.5000000000000001E-2</v>
      </c>
      <c r="L636" s="21">
        <f>Input!M591</f>
        <v>2.5000000000000001E-2</v>
      </c>
      <c r="M636" s="21">
        <f>Input!N591</f>
        <v>2.5000000000000001E-2</v>
      </c>
      <c r="N636" s="21">
        <f>Input!O591</f>
        <v>2.5000000000000001E-2</v>
      </c>
      <c r="O636" s="21">
        <f>Input!P591</f>
        <v>2.5000000000000001E-2</v>
      </c>
      <c r="P636" s="21">
        <f>Input!Q591</f>
        <v>2.5000000000000001E-2</v>
      </c>
      <c r="Q636" s="21">
        <f>Input!R591</f>
        <v>2.5000000000000001E-2</v>
      </c>
      <c r="R636" s="21">
        <f>Input!S591</f>
        <v>2.5000000000000001E-2</v>
      </c>
      <c r="S636" s="21">
        <f>Input!T591</f>
        <v>2.5000000000000001E-2</v>
      </c>
      <c r="T636" s="21">
        <f>Input!U591</f>
        <v>2.5000000000000001E-2</v>
      </c>
      <c r="U636" s="21">
        <f>Input!V591</f>
        <v>2.5000000000000001E-2</v>
      </c>
      <c r="V636" s="21">
        <f>Input!W591</f>
        <v>2.5000000000000001E-2</v>
      </c>
    </row>
    <row r="637" spans="2:22">
      <c r="B637" s="28" t="s">
        <v>480</v>
      </c>
      <c r="C637" s="28"/>
      <c r="D637" s="28"/>
      <c r="E637" s="28"/>
      <c r="F637" s="28"/>
      <c r="G637" s="28"/>
      <c r="H637" s="28"/>
      <c r="I637" s="28"/>
      <c r="J637" s="47">
        <f>J635*J636</f>
        <v>0.55608750000000007</v>
      </c>
      <c r="K637" s="47">
        <f t="shared" ref="K637:V637" si="241">K635*K636</f>
        <v>0.57277012500000002</v>
      </c>
      <c r="L637" s="47">
        <f t="shared" si="241"/>
        <v>0.8741981765625001</v>
      </c>
      <c r="M637" s="47">
        <f t="shared" si="241"/>
        <v>1.1201616218593751</v>
      </c>
      <c r="N637" s="47">
        <f t="shared" si="241"/>
        <v>1.2381719821306112</v>
      </c>
      <c r="O637" s="47">
        <f t="shared" si="241"/>
        <v>1.3631145525142403</v>
      </c>
      <c r="P637" s="47">
        <f t="shared" si="241"/>
        <v>1.4953514140906699</v>
      </c>
      <c r="Q637" s="47">
        <f t="shared" si="241"/>
        <v>1.6352633224059236</v>
      </c>
      <c r="R637" s="47">
        <f t="shared" si="241"/>
        <v>1.7832506962517289</v>
      </c>
      <c r="S637" s="47">
        <f t="shared" si="241"/>
        <v>1.9397346607912678</v>
      </c>
      <c r="T637" s="47">
        <f t="shared" si="241"/>
        <v>2.1051581481216206</v>
      </c>
      <c r="U637" s="47">
        <f t="shared" si="241"/>
        <v>1.4449163862676111</v>
      </c>
      <c r="V637" s="47">
        <f t="shared" si="241"/>
        <v>1.5329117941913089</v>
      </c>
    </row>
    <row r="638" spans="2:22">
      <c r="G638"/>
    </row>
    <row r="639" spans="2:22">
      <c r="B639" s="2" t="s">
        <v>531</v>
      </c>
      <c r="G639"/>
    </row>
    <row r="640" spans="2:22">
      <c r="B640" s="407" t="s">
        <v>478</v>
      </c>
      <c r="E640" s="58" t="s">
        <v>482</v>
      </c>
      <c r="F640" s="58" t="s">
        <v>483</v>
      </c>
      <c r="G640"/>
      <c r="I640" s="13">
        <v>1</v>
      </c>
      <c r="J640" s="13">
        <f>I640*(1+Input!K598)*J$12</f>
        <v>1.03</v>
      </c>
      <c r="K640" s="13">
        <f>J640*(1+Input!L598)*K$12</f>
        <v>1.0609</v>
      </c>
      <c r="L640" s="13">
        <f>K640*(1+Input!M598)*L$12</f>
        <v>1.092727</v>
      </c>
      <c r="M640" s="13">
        <f>L640*(1+Input!N598)*M$12</f>
        <v>1.1255088100000001</v>
      </c>
      <c r="N640" s="13">
        <f>M640*(1+Input!O598)*N$12</f>
        <v>1.1592740743000001</v>
      </c>
      <c r="O640" s="13">
        <f>N640*(1+Input!P598)*O$12</f>
        <v>1.1940522965290001</v>
      </c>
      <c r="P640" s="13">
        <f>O640*(1+Input!Q598)*P$12</f>
        <v>1.2298738654248702</v>
      </c>
      <c r="Q640" s="13">
        <f>P640*(1+Input!R598)*Q$12</f>
        <v>1.2667700813876164</v>
      </c>
      <c r="R640" s="13">
        <f>Q640*(1+Input!S598)*R$12</f>
        <v>1.3047731838292449</v>
      </c>
      <c r="S640" s="13">
        <f>R640*(1+Input!T598)*S$12</f>
        <v>1.3439163793441222</v>
      </c>
      <c r="T640" s="13">
        <f>S640*(1+Input!U598)*T$12</f>
        <v>1.3842338707244459</v>
      </c>
      <c r="U640" s="13">
        <f>T640*(1+Input!V598)*U$12</f>
        <v>1.4257608868461793</v>
      </c>
      <c r="V640" s="13">
        <f>U640*(1+Input!W598)*V$12</f>
        <v>1.4685337134515648</v>
      </c>
    </row>
    <row r="641" spans="2:22">
      <c r="B641" s="407" t="s">
        <v>484</v>
      </c>
      <c r="E641" s="19">
        <v>922782</v>
      </c>
      <c r="F641" s="19">
        <f>F642/E641*Billion</f>
        <v>446.8115443951009</v>
      </c>
      <c r="G641" s="17" t="s">
        <v>485</v>
      </c>
      <c r="J641">
        <f>$F641*J640</f>
        <v>460.21589072695394</v>
      </c>
      <c r="K641">
        <f t="shared" ref="K641:V641" si="242">$F641*K640</f>
        <v>474.02236744876251</v>
      </c>
      <c r="L641">
        <f t="shared" si="242"/>
        <v>488.24303847222541</v>
      </c>
      <c r="M641">
        <f t="shared" si="242"/>
        <v>502.89032962639226</v>
      </c>
      <c r="N641">
        <f t="shared" si="242"/>
        <v>517.97703951518395</v>
      </c>
      <c r="O641">
        <f t="shared" si="242"/>
        <v>533.51635070063958</v>
      </c>
      <c r="P641">
        <f t="shared" si="242"/>
        <v>549.52184122165875</v>
      </c>
      <c r="Q641">
        <f t="shared" si="242"/>
        <v>566.00749645830854</v>
      </c>
      <c r="R641">
        <f t="shared" si="242"/>
        <v>582.98772135205775</v>
      </c>
      <c r="S641">
        <f t="shared" si="242"/>
        <v>600.47735299261956</v>
      </c>
      <c r="T641">
        <f t="shared" si="242"/>
        <v>618.49167358239811</v>
      </c>
      <c r="U641">
        <f t="shared" si="242"/>
        <v>637.04642378987012</v>
      </c>
      <c r="V641">
        <f t="shared" si="242"/>
        <v>656.15781650356621</v>
      </c>
    </row>
    <row r="642" spans="2:22">
      <c r="B642" s="407" t="s">
        <v>486</v>
      </c>
      <c r="F642" s="19">
        <f>Input!J603</f>
        <v>0.41230965056000002</v>
      </c>
      <c r="G642" s="17" t="s">
        <v>315</v>
      </c>
    </row>
    <row r="643" spans="2:22">
      <c r="B643" s="28" t="s">
        <v>480</v>
      </c>
      <c r="C643" s="28"/>
      <c r="D643" s="28"/>
      <c r="E643" s="28"/>
      <c r="F643" s="28"/>
      <c r="G643" s="28"/>
      <c r="H643" s="28"/>
      <c r="I643" s="28"/>
      <c r="J643" s="47">
        <f>J641*J$591/Billion</f>
        <v>0.34516191804521551</v>
      </c>
      <c r="K643" s="47">
        <f t="shared" ref="K643:V643" si="243">K641*K$591/Billion</f>
        <v>0.36618227885416899</v>
      </c>
      <c r="L643" s="47">
        <f t="shared" si="243"/>
        <v>0.38848277963638794</v>
      </c>
      <c r="M643" s="47">
        <f t="shared" si="243"/>
        <v>0.51271944684152249</v>
      </c>
      <c r="N643" s="47">
        <f t="shared" si="243"/>
        <v>0.56673505089283926</v>
      </c>
      <c r="O643" s="47">
        <f t="shared" si="243"/>
        <v>0.62392366039699054</v>
      </c>
      <c r="P643" s="47">
        <f t="shared" si="243"/>
        <v>0.68445100680525517</v>
      </c>
      <c r="Q643" s="47">
        <f t="shared" si="243"/>
        <v>0.74849136922979853</v>
      </c>
      <c r="R643" s="47">
        <f t="shared" si="243"/>
        <v>0.81622802702727137</v>
      </c>
      <c r="S643" s="47">
        <f t="shared" si="243"/>
        <v>0.88785373725746297</v>
      </c>
      <c r="T643" s="47">
        <f t="shared" si="243"/>
        <v>0.96357123843182635</v>
      </c>
      <c r="U643" s="47">
        <f t="shared" si="243"/>
        <v>0.66136592777536329</v>
      </c>
      <c r="V643" s="47">
        <f t="shared" si="243"/>
        <v>0.70164311277688285</v>
      </c>
    </row>
    <row r="644" spans="2:22">
      <c r="G644"/>
    </row>
    <row r="645" spans="2:22">
      <c r="B645" s="2" t="s">
        <v>564</v>
      </c>
      <c r="G645"/>
    </row>
    <row r="646" spans="2:22">
      <c r="B646" s="407" t="s">
        <v>478</v>
      </c>
      <c r="E646" s="58" t="s">
        <v>482</v>
      </c>
      <c r="F646" s="58" t="s">
        <v>483</v>
      </c>
      <c r="G646"/>
      <c r="I646" s="13">
        <v>1</v>
      </c>
      <c r="J646" s="13">
        <f>I646*(1+Input!K605)*J$12</f>
        <v>1.03</v>
      </c>
      <c r="K646" s="13">
        <f>J646*(1+Input!L605)*K$12</f>
        <v>1.0609</v>
      </c>
      <c r="L646" s="13">
        <f>K646*(1+Input!M605)*L$12</f>
        <v>1.092727</v>
      </c>
      <c r="M646" s="13">
        <f>L646*(1+Input!N605)*M$12</f>
        <v>1.1255088100000001</v>
      </c>
      <c r="N646" s="13">
        <f>M646*(1+Input!O605)*N$12</f>
        <v>1.1592740743000001</v>
      </c>
      <c r="O646" s="13">
        <f>N646*(1+Input!P605)*O$12</f>
        <v>1.1940522965290001</v>
      </c>
      <c r="P646" s="13">
        <f>O646*(1+Input!Q605)*P$12</f>
        <v>1.2298738654248702</v>
      </c>
      <c r="Q646" s="13">
        <f>P646*(1+Input!R605)*Q$12</f>
        <v>1.2667700813876164</v>
      </c>
      <c r="R646" s="13">
        <f>Q646*(1+Input!S605)*R$12</f>
        <v>1.3047731838292449</v>
      </c>
      <c r="S646" s="13">
        <f>R646*(1+Input!T605)*S$12</f>
        <v>1.3439163793441222</v>
      </c>
      <c r="T646" s="13">
        <f>S646*(1+Input!U605)*T$12</f>
        <v>1.3842338707244459</v>
      </c>
      <c r="U646" s="13">
        <f>T646*(1+Input!V605)*U$12</f>
        <v>1.4257608868461793</v>
      </c>
      <c r="V646" s="13">
        <f>U646*(1+Input!W605)*V$12</f>
        <v>1.4685337134515648</v>
      </c>
    </row>
    <row r="647" spans="2:22">
      <c r="B647" s="407" t="s">
        <v>484</v>
      </c>
      <c r="E647" s="19">
        <v>922782</v>
      </c>
      <c r="F647" s="19">
        <f>F648/E647*Billion</f>
        <v>310.56291024315601</v>
      </c>
      <c r="G647" s="17" t="s">
        <v>485</v>
      </c>
      <c r="J647">
        <f>$F647*J646</f>
        <v>319.87979755045069</v>
      </c>
      <c r="K647">
        <f t="shared" ref="K647:V647" si="244">$F647*K646</f>
        <v>329.47619147696417</v>
      </c>
      <c r="L647">
        <f t="shared" si="244"/>
        <v>339.36047722127313</v>
      </c>
      <c r="M647">
        <f t="shared" si="244"/>
        <v>349.54129153791138</v>
      </c>
      <c r="N647">
        <f t="shared" si="244"/>
        <v>360.02753028404868</v>
      </c>
      <c r="O647">
        <f t="shared" si="244"/>
        <v>370.8283561925702</v>
      </c>
      <c r="P647">
        <f t="shared" si="244"/>
        <v>381.95320687834732</v>
      </c>
      <c r="Q647">
        <f t="shared" si="244"/>
        <v>393.41180308469774</v>
      </c>
      <c r="R647">
        <f t="shared" si="244"/>
        <v>405.21415717723869</v>
      </c>
      <c r="S647">
        <f t="shared" si="244"/>
        <v>417.37058189255583</v>
      </c>
      <c r="T647">
        <f t="shared" si="244"/>
        <v>429.8916993493325</v>
      </c>
      <c r="U647">
        <f t="shared" si="244"/>
        <v>442.78845032981252</v>
      </c>
      <c r="V647">
        <f t="shared" si="244"/>
        <v>456.07210383970693</v>
      </c>
    </row>
    <row r="648" spans="2:22">
      <c r="B648" s="407" t="s">
        <v>486</v>
      </c>
      <c r="F648" s="19">
        <f>Input!J610</f>
        <v>0.28658186343999997</v>
      </c>
      <c r="G648" s="17" t="s">
        <v>315</v>
      </c>
    </row>
    <row r="649" spans="2:22">
      <c r="B649" s="28" t="s">
        <v>480</v>
      </c>
      <c r="C649" s="28"/>
      <c r="D649" s="28"/>
      <c r="E649" s="28"/>
      <c r="F649" s="28"/>
      <c r="G649" s="28"/>
      <c r="H649" s="28"/>
      <c r="I649" s="28"/>
      <c r="J649" s="47">
        <f>J647*J$591/Billion</f>
        <v>0.239909848162838</v>
      </c>
      <c r="K649" s="47">
        <f t="shared" ref="K649:V649" si="245">K647*K$591/Billion</f>
        <v>0.25452035791595484</v>
      </c>
      <c r="L649" s="47">
        <f t="shared" si="245"/>
        <v>0.27002064771303647</v>
      </c>
      <c r="M649" s="47">
        <f t="shared" si="245"/>
        <v>0.35637316346634274</v>
      </c>
      <c r="N649" s="47">
        <f t="shared" si="245"/>
        <v>0.39391750045394119</v>
      </c>
      <c r="O649" s="47">
        <f t="shared" si="245"/>
        <v>0.43366728136977045</v>
      </c>
      <c r="P649" s="47">
        <f t="shared" si="245"/>
        <v>0.47573770028720169</v>
      </c>
      <c r="Q649" s="47">
        <f t="shared" si="245"/>
        <v>0.52024989245653785</v>
      </c>
      <c r="R649" s="47">
        <f t="shared" si="245"/>
        <v>0.56733124887987618</v>
      </c>
      <c r="S649" s="47">
        <f t="shared" si="245"/>
        <v>0.61711574817573889</v>
      </c>
      <c r="T649" s="47">
        <f t="shared" si="245"/>
        <v>0.66974430671686802</v>
      </c>
      <c r="U649" s="47">
        <f t="shared" si="245"/>
        <v>0.45969207788408661</v>
      </c>
      <c r="V649" s="47">
        <f t="shared" si="245"/>
        <v>0.48768732542722754</v>
      </c>
    </row>
    <row r="650" spans="2:22">
      <c r="G650"/>
    </row>
    <row r="651" spans="2:22">
      <c r="B651" s="2" t="s">
        <v>565</v>
      </c>
      <c r="G651"/>
    </row>
    <row r="652" spans="2:22">
      <c r="B652" s="407" t="s">
        <v>478</v>
      </c>
      <c r="E652" s="58" t="s">
        <v>482</v>
      </c>
      <c r="F652" s="58" t="s">
        <v>483</v>
      </c>
      <c r="G652"/>
      <c r="I652" s="13">
        <v>1</v>
      </c>
      <c r="J652" s="13">
        <f>I652*(1+Input!K612)*J$12</f>
        <v>1.0349999999999999</v>
      </c>
      <c r="K652" s="13">
        <f>J652*(1+Input!L612)*K$12</f>
        <v>1.0712249999999999</v>
      </c>
      <c r="L652" s="13">
        <f>K652*(1+Input!M612)*L$12</f>
        <v>1.1087178749999997</v>
      </c>
      <c r="M652" s="13">
        <f>L652*(1+Input!N612)*M$12</f>
        <v>1.1475230006249997</v>
      </c>
      <c r="N652" s="13">
        <f>M652*(1+Input!O612)*N$12</f>
        <v>1.1876863056468745</v>
      </c>
      <c r="O652" s="13">
        <f>N652*(1+Input!P612)*O$12</f>
        <v>1.229255326344515</v>
      </c>
      <c r="P652" s="13">
        <f>O652*(1+Input!Q612)*P$12</f>
        <v>1.2722792627665729</v>
      </c>
      <c r="Q652" s="13">
        <f>P652*(1+Input!R612)*Q$12</f>
        <v>1.3168090369634029</v>
      </c>
      <c r="R652" s="13">
        <f>Q652*(1+Input!S612)*R$12</f>
        <v>1.3628973532571218</v>
      </c>
      <c r="S652" s="13">
        <f>R652*(1+Input!T612)*S$12</f>
        <v>1.410598760621121</v>
      </c>
      <c r="T652" s="13">
        <f>S652*(1+Input!U612)*T$12</f>
        <v>1.4599697172428601</v>
      </c>
      <c r="U652" s="13">
        <f>T652*(1+Input!V612)*U$12</f>
        <v>1.5110686573463601</v>
      </c>
      <c r="V652" s="13">
        <f>U652*(1+Input!W612)*V$12</f>
        <v>1.5639560603534826</v>
      </c>
    </row>
    <row r="653" spans="2:22">
      <c r="B653" s="407" t="s">
        <v>484</v>
      </c>
      <c r="E653" s="19">
        <v>922782</v>
      </c>
      <c r="F653" s="19">
        <f>F654/E653*Billion</f>
        <v>265.96008374675705</v>
      </c>
      <c r="G653" s="17" t="s">
        <v>485</v>
      </c>
      <c r="J653">
        <f>$F653*J652</f>
        <v>275.26868667789353</v>
      </c>
      <c r="K653">
        <f t="shared" ref="K653:V653" si="246">$F653*K652</f>
        <v>284.90309071161977</v>
      </c>
      <c r="L653">
        <f t="shared" si="246"/>
        <v>294.87469888652646</v>
      </c>
      <c r="M653">
        <f t="shared" si="246"/>
        <v>305.19531334755487</v>
      </c>
      <c r="N653">
        <f t="shared" si="246"/>
        <v>315.87714931471925</v>
      </c>
      <c r="O653">
        <f t="shared" si="246"/>
        <v>326.93284954073437</v>
      </c>
      <c r="P653">
        <f t="shared" si="246"/>
        <v>338.37549927466006</v>
      </c>
      <c r="Q653">
        <f t="shared" si="246"/>
        <v>350.21864174927316</v>
      </c>
      <c r="R653">
        <f t="shared" si="246"/>
        <v>362.47629421049766</v>
      </c>
      <c r="S653">
        <f t="shared" si="246"/>
        <v>375.16296450786501</v>
      </c>
      <c r="T653">
        <f t="shared" si="246"/>
        <v>388.29366826564029</v>
      </c>
      <c r="U653">
        <f t="shared" si="246"/>
        <v>401.88394665493769</v>
      </c>
      <c r="V653">
        <f t="shared" si="246"/>
        <v>415.94988478786047</v>
      </c>
    </row>
    <row r="654" spans="2:22">
      <c r="B654" s="407" t="s">
        <v>486</v>
      </c>
      <c r="F654" s="19">
        <f>Input!J617</f>
        <v>0.24542317799999999</v>
      </c>
      <c r="G654" s="17" t="s">
        <v>315</v>
      </c>
    </row>
    <row r="655" spans="2:22">
      <c r="B655" s="28" t="s">
        <v>480</v>
      </c>
      <c r="C655" s="28"/>
      <c r="D655" s="28"/>
      <c r="E655" s="28"/>
      <c r="F655" s="28"/>
      <c r="G655" s="28"/>
      <c r="H655" s="28"/>
      <c r="I655" s="28"/>
      <c r="J655" s="47">
        <f>J653*J$591/Billion</f>
        <v>0.20645151500842013</v>
      </c>
      <c r="K655" s="47">
        <f t="shared" ref="K655:V655" si="247">K653*K$591/Billion</f>
        <v>0.2200876375747263</v>
      </c>
      <c r="L655" s="47">
        <f t="shared" si="247"/>
        <v>0.23462442603653694</v>
      </c>
      <c r="M655" s="47">
        <f t="shared" si="247"/>
        <v>0.31116043204576116</v>
      </c>
      <c r="N655" s="47">
        <f t="shared" si="247"/>
        <v>0.34561117315223133</v>
      </c>
      <c r="O655" s="47">
        <f t="shared" si="247"/>
        <v>0.38233343724441737</v>
      </c>
      <c r="P655" s="47">
        <f t="shared" si="247"/>
        <v>0.42145995624467214</v>
      </c>
      <c r="Q655" s="47">
        <f t="shared" si="247"/>
        <v>0.46313102270372908</v>
      </c>
      <c r="R655" s="47">
        <f t="shared" si="247"/>
        <v>0.50749492593330925</v>
      </c>
      <c r="S655" s="47">
        <f t="shared" si="247"/>
        <v>0.55470841399574122</v>
      </c>
      <c r="T655" s="47">
        <f t="shared" si="247"/>
        <v>0.60493718312945732</v>
      </c>
      <c r="U655" s="47">
        <f t="shared" si="247"/>
        <v>0.41722602829513583</v>
      </c>
      <c r="V655" s="47">
        <f t="shared" si="247"/>
        <v>0.44478380746402962</v>
      </c>
    </row>
    <row r="656" spans="2:22">
      <c r="G656"/>
    </row>
    <row r="657" spans="2:22">
      <c r="B657" s="2" t="s">
        <v>566</v>
      </c>
      <c r="G657"/>
    </row>
    <row r="658" spans="2:22">
      <c r="B658" s="407" t="s">
        <v>478</v>
      </c>
      <c r="G658"/>
      <c r="J658" s="39">
        <v>1.0919279054404601E-2</v>
      </c>
      <c r="K658" s="39">
        <v>1.0919279054404601E-2</v>
      </c>
      <c r="L658" s="39">
        <v>1.0919279054404601E-2</v>
      </c>
      <c r="M658" s="43">
        <f>Input!N619</f>
        <v>2E-3</v>
      </c>
      <c r="N658" s="43">
        <f>Input!O619</f>
        <v>2E-3</v>
      </c>
      <c r="O658" s="43">
        <f>Input!P619</f>
        <v>2E-3</v>
      </c>
      <c r="P658" s="43">
        <f>Input!Q619</f>
        <v>2E-3</v>
      </c>
      <c r="Q658" s="43">
        <f>Input!R619</f>
        <v>2E-3</v>
      </c>
      <c r="R658" s="43">
        <f>Input!S619</f>
        <v>2E-3</v>
      </c>
      <c r="S658" s="43">
        <f>Input!T619</f>
        <v>2E-3</v>
      </c>
      <c r="T658" s="43">
        <f>Input!U619</f>
        <v>2E-3</v>
      </c>
      <c r="U658" s="43">
        <f>Input!V619</f>
        <v>2E-3</v>
      </c>
      <c r="V658" s="43">
        <f>Input!W619</f>
        <v>2E-3</v>
      </c>
    </row>
    <row r="659" spans="2:22">
      <c r="B659" s="407" t="s">
        <v>492</v>
      </c>
      <c r="G659" s="17" t="s">
        <v>315</v>
      </c>
      <c r="J659">
        <f>J597</f>
        <v>5.2339742134300007</v>
      </c>
      <c r="K659">
        <f t="shared" ref="K659:V659" si="248">K597</f>
        <v>5.2339742134300007</v>
      </c>
      <c r="L659">
        <f t="shared" si="248"/>
        <v>2.6169871067150003</v>
      </c>
      <c r="M659">
        <f t="shared" si="248"/>
        <v>0</v>
      </c>
      <c r="N659">
        <f t="shared" si="248"/>
        <v>0</v>
      </c>
      <c r="O659">
        <f t="shared" si="248"/>
        <v>0</v>
      </c>
      <c r="P659">
        <f t="shared" si="248"/>
        <v>0</v>
      </c>
      <c r="Q659">
        <f t="shared" si="248"/>
        <v>0</v>
      </c>
      <c r="R659">
        <f t="shared" si="248"/>
        <v>0</v>
      </c>
      <c r="S659">
        <f t="shared" si="248"/>
        <v>0</v>
      </c>
      <c r="T659">
        <f t="shared" si="248"/>
        <v>0</v>
      </c>
      <c r="U659">
        <f t="shared" si="248"/>
        <v>0</v>
      </c>
      <c r="V659">
        <f t="shared" si="248"/>
        <v>0</v>
      </c>
    </row>
    <row r="660" spans="2:22">
      <c r="B660" s="28" t="s">
        <v>480</v>
      </c>
      <c r="C660" s="28"/>
      <c r="D660" s="28"/>
      <c r="E660" s="28"/>
      <c r="F660" s="28"/>
      <c r="G660" s="28"/>
      <c r="H660" s="28"/>
      <c r="I660" s="28"/>
      <c r="J660" s="47">
        <f>J658*J659</f>
        <v>5.7151225000000007E-2</v>
      </c>
      <c r="K660" s="47">
        <f t="shared" ref="K660:V660" si="249">K658*K659</f>
        <v>5.7151225000000007E-2</v>
      </c>
      <c r="L660" s="47">
        <f t="shared" si="249"/>
        <v>2.8575612500000003E-2</v>
      </c>
      <c r="M660" s="47">
        <f t="shared" si="249"/>
        <v>0</v>
      </c>
      <c r="N660" s="47">
        <f t="shared" si="249"/>
        <v>0</v>
      </c>
      <c r="O660" s="47">
        <f t="shared" si="249"/>
        <v>0</v>
      </c>
      <c r="P660" s="47">
        <f t="shared" si="249"/>
        <v>0</v>
      </c>
      <c r="Q660" s="47">
        <f t="shared" si="249"/>
        <v>0</v>
      </c>
      <c r="R660" s="47">
        <f t="shared" si="249"/>
        <v>0</v>
      </c>
      <c r="S660" s="47">
        <f t="shared" si="249"/>
        <v>0</v>
      </c>
      <c r="T660" s="47">
        <f t="shared" si="249"/>
        <v>0</v>
      </c>
      <c r="U660" s="47">
        <f t="shared" si="249"/>
        <v>0</v>
      </c>
      <c r="V660" s="47">
        <f t="shared" si="249"/>
        <v>0</v>
      </c>
    </row>
    <row r="661" spans="2:22">
      <c r="G661"/>
    </row>
    <row r="662" spans="2:22">
      <c r="B662" s="2" t="s">
        <v>567</v>
      </c>
      <c r="G662"/>
    </row>
    <row r="663" spans="2:22">
      <c r="B663" s="407" t="s">
        <v>478</v>
      </c>
      <c r="F663" s="58" t="s">
        <v>324</v>
      </c>
      <c r="G663"/>
    </row>
    <row r="664" spans="2:22">
      <c r="B664" s="407" t="s">
        <v>324</v>
      </c>
      <c r="F664" s="19">
        <f>F605</f>
        <v>14.024592683676605</v>
      </c>
      <c r="G664" s="17" t="s">
        <v>176</v>
      </c>
      <c r="J664">
        <f>$F$664</f>
        <v>14.024592683676605</v>
      </c>
      <c r="K664">
        <f t="shared" ref="K664:V664" si="250">$F$664</f>
        <v>14.024592683676605</v>
      </c>
      <c r="L664">
        <f t="shared" si="250"/>
        <v>14.024592683676605</v>
      </c>
      <c r="M664">
        <f t="shared" si="250"/>
        <v>14.024592683676605</v>
      </c>
      <c r="N664">
        <f t="shared" si="250"/>
        <v>14.024592683676605</v>
      </c>
      <c r="O664">
        <f t="shared" si="250"/>
        <v>14.024592683676605</v>
      </c>
      <c r="P664">
        <f t="shared" si="250"/>
        <v>14.024592683676605</v>
      </c>
      <c r="Q664">
        <f t="shared" si="250"/>
        <v>14.024592683676605</v>
      </c>
      <c r="R664">
        <f t="shared" si="250"/>
        <v>14.024592683676605</v>
      </c>
      <c r="S664">
        <f t="shared" si="250"/>
        <v>14.024592683676605</v>
      </c>
      <c r="T664">
        <f t="shared" si="250"/>
        <v>14.024592683676605</v>
      </c>
      <c r="U664">
        <f t="shared" si="250"/>
        <v>14.024592683676605</v>
      </c>
      <c r="V664">
        <f t="shared" si="250"/>
        <v>14.024592683676605</v>
      </c>
    </row>
    <row r="665" spans="2:22">
      <c r="B665" s="407" t="s">
        <v>486</v>
      </c>
      <c r="F665" s="19">
        <f>Input!J628</f>
        <v>0</v>
      </c>
      <c r="G665" s="17" t="s">
        <v>315</v>
      </c>
      <c r="J665" s="21">
        <f>Input!K619</f>
        <v>0</v>
      </c>
      <c r="K665" s="21">
        <f>Input!L619</f>
        <v>0</v>
      </c>
      <c r="L665" s="74">
        <f>Input!M619</f>
        <v>2E-3</v>
      </c>
      <c r="M665" s="21">
        <f>Input!N619</f>
        <v>2E-3</v>
      </c>
      <c r="N665" s="21">
        <f>Input!O619</f>
        <v>2E-3</v>
      </c>
      <c r="O665" s="21">
        <f>Input!P619</f>
        <v>2E-3</v>
      </c>
      <c r="P665" s="21">
        <f>Input!Q619</f>
        <v>2E-3</v>
      </c>
      <c r="Q665" s="21">
        <f>Input!R619</f>
        <v>2E-3</v>
      </c>
      <c r="R665" s="21">
        <f>Input!S619</f>
        <v>2E-3</v>
      </c>
      <c r="S665" s="21">
        <f>Input!T619</f>
        <v>2E-3</v>
      </c>
      <c r="T665" s="21">
        <f>Input!U619</f>
        <v>2E-3</v>
      </c>
      <c r="U665" s="21">
        <f>Input!V619</f>
        <v>2E-3</v>
      </c>
      <c r="V665" s="21">
        <f>Input!W619</f>
        <v>2E-3</v>
      </c>
    </row>
    <row r="666" spans="2:22">
      <c r="B666" s="28" t="s">
        <v>480</v>
      </c>
      <c r="C666" s="28"/>
      <c r="D666" s="28"/>
      <c r="E666" s="28"/>
      <c r="F666" s="28"/>
      <c r="G666" s="28"/>
      <c r="H666" s="28"/>
      <c r="I666" s="28"/>
      <c r="J666" s="47">
        <f t="shared" ref="J666:V666" si="251">J664*Million*USD_IDR*J665/Billion</f>
        <v>0</v>
      </c>
      <c r="K666" s="47">
        <f t="shared" si="251"/>
        <v>0</v>
      </c>
      <c r="L666" s="47">
        <f t="shared" si="251"/>
        <v>0.45622000000000001</v>
      </c>
      <c r="M666" s="47">
        <f t="shared" si="251"/>
        <v>0.45622000000000001</v>
      </c>
      <c r="N666" s="47">
        <f t="shared" si="251"/>
        <v>0.45622000000000001</v>
      </c>
      <c r="O666" s="47">
        <f t="shared" si="251"/>
        <v>0.45622000000000001</v>
      </c>
      <c r="P666" s="47">
        <f t="shared" si="251"/>
        <v>0.45622000000000001</v>
      </c>
      <c r="Q666" s="47">
        <f t="shared" si="251"/>
        <v>0.45622000000000001</v>
      </c>
      <c r="R666" s="47">
        <f t="shared" si="251"/>
        <v>0.45622000000000001</v>
      </c>
      <c r="S666" s="47">
        <f t="shared" si="251"/>
        <v>0.45622000000000001</v>
      </c>
      <c r="T666" s="47">
        <f t="shared" si="251"/>
        <v>0.45622000000000001</v>
      </c>
      <c r="U666" s="47">
        <f t="shared" si="251"/>
        <v>0.45622000000000001</v>
      </c>
      <c r="V666" s="47">
        <f t="shared" si="251"/>
        <v>0.45622000000000001</v>
      </c>
    </row>
    <row r="667" spans="2:22">
      <c r="G667"/>
    </row>
    <row r="668" spans="2:22">
      <c r="B668" s="2" t="s">
        <v>568</v>
      </c>
      <c r="G668"/>
    </row>
    <row r="669" spans="2:22">
      <c r="B669" s="407" t="s">
        <v>478</v>
      </c>
      <c r="E669" s="58" t="s">
        <v>482</v>
      </c>
      <c r="F669" s="58" t="s">
        <v>483</v>
      </c>
      <c r="G669"/>
      <c r="I669" s="13">
        <v>1</v>
      </c>
      <c r="J669" s="13">
        <f>I669*(1+Input!K626)*J$12</f>
        <v>1.0349999999999999</v>
      </c>
      <c r="K669" s="13">
        <f>J669*(1+Input!L626)*K$12</f>
        <v>1.0712249999999999</v>
      </c>
      <c r="L669" s="13">
        <f>K669*(1+Input!M626)*L$12</f>
        <v>1.1087178749999997</v>
      </c>
      <c r="M669" s="13">
        <f>L669*(1+Input!N626)*M$12</f>
        <v>1.1475230006249997</v>
      </c>
      <c r="N669" s="13">
        <f>M669*(1+Input!O626)*N$12</f>
        <v>1.1876863056468745</v>
      </c>
      <c r="O669" s="13">
        <f>N669*(1+Input!P626)*O$12</f>
        <v>1.229255326344515</v>
      </c>
      <c r="P669" s="13">
        <f>O669*(1+Input!Q626)*P$12</f>
        <v>1.2722792627665729</v>
      </c>
      <c r="Q669" s="13">
        <f>P669*(1+Input!R626)*Q$12</f>
        <v>1.3168090369634029</v>
      </c>
      <c r="R669" s="13">
        <f>Q669*(1+Input!S626)*R$12</f>
        <v>1.3628973532571218</v>
      </c>
      <c r="S669" s="13">
        <f>R669*(1+Input!T626)*S$12</f>
        <v>1.410598760621121</v>
      </c>
      <c r="T669" s="13">
        <f>S669*(1+Input!U626)*T$12</f>
        <v>1.4599697172428601</v>
      </c>
      <c r="U669" s="13">
        <f>T669*(1+Input!V626)*U$12</f>
        <v>1.5110686573463601</v>
      </c>
      <c r="V669" s="13">
        <f>U669*(1+Input!W626)*V$12</f>
        <v>1.5639560603534826</v>
      </c>
    </row>
    <row r="670" spans="2:22">
      <c r="B670" s="407" t="s">
        <v>484</v>
      </c>
      <c r="E670" s="19">
        <v>922782</v>
      </c>
      <c r="F670" s="19">
        <f>F671/E670*Billion</f>
        <v>12.570682999885129</v>
      </c>
      <c r="G670" s="17" t="s">
        <v>485</v>
      </c>
      <c r="J670">
        <f>$F670*J669</f>
        <v>13.010656904881108</v>
      </c>
      <c r="K670">
        <f t="shared" ref="K670:V670" si="252">$F670*K669</f>
        <v>13.466029896551946</v>
      </c>
      <c r="L670">
        <f t="shared" si="252"/>
        <v>13.937340942931263</v>
      </c>
      <c r="M670">
        <f t="shared" si="252"/>
        <v>14.425147875933856</v>
      </c>
      <c r="N670">
        <f t="shared" si="252"/>
        <v>14.930028051591538</v>
      </c>
      <c r="O670">
        <f t="shared" si="252"/>
        <v>15.452579033397241</v>
      </c>
      <c r="P670">
        <f t="shared" si="252"/>
        <v>15.993419299566142</v>
      </c>
      <c r="Q670">
        <f t="shared" si="252"/>
        <v>16.553188975050958</v>
      </c>
      <c r="R670">
        <f t="shared" si="252"/>
        <v>17.13255058917774</v>
      </c>
      <c r="S670">
        <f t="shared" si="252"/>
        <v>17.732189859798957</v>
      </c>
      <c r="T670">
        <f t="shared" si="252"/>
        <v>18.352816504891919</v>
      </c>
      <c r="U670">
        <f t="shared" si="252"/>
        <v>18.995165082563137</v>
      </c>
      <c r="V670">
        <f t="shared" si="252"/>
        <v>19.659995860452845</v>
      </c>
    </row>
    <row r="671" spans="2:22">
      <c r="B671" s="407" t="s">
        <v>486</v>
      </c>
      <c r="F671" s="19">
        <f>Input!J631</f>
        <v>1.1599999999999999E-2</v>
      </c>
      <c r="G671" s="17" t="s">
        <v>315</v>
      </c>
    </row>
    <row r="672" spans="2:22">
      <c r="B672" s="28" t="s">
        <v>480</v>
      </c>
      <c r="C672" s="28"/>
      <c r="D672" s="28"/>
      <c r="E672" s="28"/>
      <c r="F672" s="28"/>
      <c r="G672" s="28"/>
      <c r="H672" s="28"/>
      <c r="I672" s="28"/>
      <c r="J672" s="47">
        <f>J670*J$591/Billion</f>
        <v>9.7579926786608307E-3</v>
      </c>
      <c r="K672" s="47">
        <f t="shared" ref="K672:V672" si="253">K670*K$591/Billion</f>
        <v>1.0402508095086379E-2</v>
      </c>
      <c r="L672" s="47">
        <f t="shared" si="253"/>
        <v>1.1089593754766832E-2</v>
      </c>
      <c r="M672" s="47">
        <f t="shared" si="253"/>
        <v>1.4707090997455952E-2</v>
      </c>
      <c r="N672" s="47">
        <f t="shared" si="253"/>
        <v>1.6335415592107945E-2</v>
      </c>
      <c r="O672" s="47">
        <f t="shared" si="253"/>
        <v>1.8071104400886055E-2</v>
      </c>
      <c r="P672" s="47">
        <f t="shared" si="253"/>
        <v>1.9920431037846784E-2</v>
      </c>
      <c r="Q672" s="47">
        <f t="shared" si="253"/>
        <v>2.1890026472411086E-2</v>
      </c>
      <c r="R672" s="47">
        <f t="shared" si="253"/>
        <v>2.3986899643302591E-2</v>
      </c>
      <c r="S672" s="47">
        <f t="shared" si="253"/>
        <v>2.6218459294625379E-2</v>
      </c>
      <c r="T672" s="47">
        <f t="shared" si="253"/>
        <v>2.85925371087066E-2</v>
      </c>
      <c r="U672" s="47">
        <f t="shared" si="253"/>
        <v>1.9720313165464659E-2</v>
      </c>
      <c r="V672" s="47">
        <f t="shared" si="253"/>
        <v>2.10228398500436E-2</v>
      </c>
    </row>
    <row r="673" spans="2:22">
      <c r="G673"/>
    </row>
    <row r="674" spans="2:22" ht="15.75">
      <c r="B674" s="15" t="s">
        <v>535</v>
      </c>
      <c r="G674"/>
    </row>
    <row r="675" spans="2:22">
      <c r="B675" s="2" t="s">
        <v>465</v>
      </c>
      <c r="G675"/>
    </row>
    <row r="676" spans="2:22">
      <c r="B676" t="s">
        <v>496</v>
      </c>
      <c r="G676"/>
      <c r="I676">
        <v>1</v>
      </c>
      <c r="J676">
        <f>I676*(1+Input!K649)*J$12</f>
        <v>1.03</v>
      </c>
      <c r="K676">
        <f>J676*(1+Input!L649)*K$12</f>
        <v>1.0609</v>
      </c>
      <c r="L676">
        <f>K676*(1+Input!M649)*L$12</f>
        <v>1.092727</v>
      </c>
      <c r="M676">
        <f>L676*(1+Input!N649)*M$12</f>
        <v>1.1255088100000001</v>
      </c>
      <c r="N676">
        <f>M676*(1+Input!O649)*N$12</f>
        <v>1.1592740743000001</v>
      </c>
      <c r="O676">
        <f>N676*(1+Input!P649)*O$12</f>
        <v>1.1940522965290001</v>
      </c>
      <c r="P676">
        <f>O676*(1+Input!Q649)*P$12</f>
        <v>1.2298738654248702</v>
      </c>
      <c r="Q676">
        <f>P676*(1+Input!R649)*Q$12</f>
        <v>1.2667700813876164</v>
      </c>
      <c r="R676">
        <f>Q676*(1+Input!S649)*R$12</f>
        <v>1.3047731838292449</v>
      </c>
      <c r="S676">
        <f>R676*(1+Input!T649)*S$12</f>
        <v>1.3439163793441222</v>
      </c>
      <c r="T676">
        <f>S676*(1+Input!U649)*T$12</f>
        <v>1.3842338707244459</v>
      </c>
      <c r="U676">
        <f>T676*(1+Input!V649)*U$12</f>
        <v>1.4257608868461793</v>
      </c>
      <c r="V676">
        <f>U676*(1+Input!W649)*V$12</f>
        <v>1.4685337134515648</v>
      </c>
    </row>
    <row r="677" spans="2:22">
      <c r="B677" t="s">
        <v>500</v>
      </c>
      <c r="G677"/>
      <c r="I677">
        <v>1</v>
      </c>
      <c r="J677">
        <f>I677*(1+Input!K654)*J$12</f>
        <v>1.02</v>
      </c>
      <c r="K677">
        <f>J677*(1+Input!L654)*K$12</f>
        <v>1.0404</v>
      </c>
      <c r="L677">
        <f>K677*(1+Input!M654)*L$12</f>
        <v>1.0612079999999999</v>
      </c>
      <c r="M677">
        <f>L677*(1+Input!N654)*M$12</f>
        <v>1.08243216</v>
      </c>
      <c r="N677">
        <f>M677*(1+Input!O654)*N$12</f>
        <v>1.1040808032</v>
      </c>
      <c r="O677">
        <f>N677*(1+Input!P654)*O$12</f>
        <v>1.1261624192640001</v>
      </c>
      <c r="P677">
        <f>O677*(1+Input!Q654)*P$12</f>
        <v>1.14868566764928</v>
      </c>
      <c r="Q677">
        <f>P677*(1+Input!R654)*Q$12</f>
        <v>1.1716593810022657</v>
      </c>
      <c r="R677">
        <f>Q677*(1+Input!S654)*R$12</f>
        <v>1.1950925686223111</v>
      </c>
      <c r="S677">
        <f>R677*(1+Input!T654)*S$12</f>
        <v>1.2189944199947573</v>
      </c>
      <c r="T677">
        <f>S677*(1+Input!U654)*T$12</f>
        <v>1.2433743083946525</v>
      </c>
      <c r="U677">
        <f>T677*(1+Input!V654)*U$12</f>
        <v>1.2682417945625455</v>
      </c>
      <c r="V677">
        <f>U677*(1+Input!W654)*V$12</f>
        <v>1.2936066304537963</v>
      </c>
    </row>
    <row r="678" spans="2:22">
      <c r="B678" t="s">
        <v>499</v>
      </c>
      <c r="G678"/>
      <c r="I678">
        <v>1</v>
      </c>
      <c r="J678">
        <f>I678*(1+Input!K659)*J$12</f>
        <v>1.03</v>
      </c>
      <c r="K678">
        <f>J678*(1+Input!L659)*K$12</f>
        <v>1.0609</v>
      </c>
      <c r="L678">
        <f>K678*(1+Input!M659)*L$12</f>
        <v>1.092727</v>
      </c>
      <c r="M678">
        <f>L678*(1+Input!N659)*M$12</f>
        <v>1.1255088100000001</v>
      </c>
      <c r="N678">
        <f>M678*(1+Input!O659)*N$12</f>
        <v>1.1592740743000001</v>
      </c>
      <c r="O678">
        <f>N678*(1+Input!P659)*O$12</f>
        <v>1.1940522965290001</v>
      </c>
      <c r="P678">
        <f>O678*(1+Input!Q659)*P$12</f>
        <v>1.2298738654248702</v>
      </c>
      <c r="Q678">
        <f>P678*(1+Input!R659)*Q$12</f>
        <v>1.2667700813876164</v>
      </c>
      <c r="R678">
        <f>Q678*(1+Input!S659)*R$12</f>
        <v>1.3047731838292449</v>
      </c>
      <c r="S678">
        <f>R678*(1+Input!T659)*S$12</f>
        <v>1.3439163793441222</v>
      </c>
      <c r="T678">
        <f>S678*(1+Input!U659)*T$12</f>
        <v>1.3842338707244459</v>
      </c>
      <c r="U678">
        <f>T678*(1+Input!V659)*U$12</f>
        <v>1.4257608868461793</v>
      </c>
      <c r="V678">
        <f>U678*(1+Input!W659)*V$12</f>
        <v>1.4685337134515648</v>
      </c>
    </row>
    <row r="679" spans="2:22">
      <c r="B679" t="s">
        <v>506</v>
      </c>
      <c r="G679"/>
      <c r="I679">
        <v>1</v>
      </c>
      <c r="J679">
        <f>I679*(1+Input!K665)*J$12</f>
        <v>1.03</v>
      </c>
      <c r="K679">
        <f>J679*(1+Input!L665)*K$12</f>
        <v>1.0609</v>
      </c>
      <c r="L679">
        <f>K679*(1+Input!M665)*L$12</f>
        <v>1.092727</v>
      </c>
      <c r="M679">
        <f>L679*(1+Input!N665)*M$12</f>
        <v>1.1255088100000001</v>
      </c>
      <c r="N679">
        <f>M679*(1+Input!O665)*N$12</f>
        <v>1.1592740743000001</v>
      </c>
      <c r="O679">
        <f>N679*(1+Input!P665)*O$12</f>
        <v>1.1940522965290001</v>
      </c>
      <c r="P679">
        <f>O679*(1+Input!Q665)*P$12</f>
        <v>1.2298738654248702</v>
      </c>
      <c r="Q679">
        <f>P679*(1+Input!R665)*Q$12</f>
        <v>1.2667700813876164</v>
      </c>
      <c r="R679">
        <f>Q679*(1+Input!S665)*R$12</f>
        <v>1.3047731838292449</v>
      </c>
      <c r="S679">
        <f>R679*(1+Input!T665)*S$12</f>
        <v>1.3439163793441222</v>
      </c>
      <c r="T679">
        <f>S679*(1+Input!U665)*T$12</f>
        <v>1.3842338707244459</v>
      </c>
      <c r="U679">
        <f>T679*(1+Input!V665)*U$12</f>
        <v>1.4257608868461793</v>
      </c>
      <c r="V679">
        <f>U679*(1+Input!W665)*V$12</f>
        <v>1.4685337134515648</v>
      </c>
    </row>
    <row r="680" spans="2:22">
      <c r="B680" t="s">
        <v>502</v>
      </c>
      <c r="G680"/>
      <c r="I680">
        <v>1</v>
      </c>
      <c r="J680">
        <f>I680*(1+Input!K670)*J$12</f>
        <v>1.02</v>
      </c>
      <c r="K680">
        <f>J680*(1+Input!L670)*K$12</f>
        <v>1.0404</v>
      </c>
      <c r="L680">
        <f>K680*(1+Input!M670)*L$12</f>
        <v>1.0612079999999999</v>
      </c>
      <c r="M680">
        <f>L680*(1+Input!N670)*M$12</f>
        <v>1.08243216</v>
      </c>
      <c r="N680">
        <f>M680*(1+Input!O670)*N$12</f>
        <v>1.1040808032</v>
      </c>
      <c r="O680">
        <f>N680*(1+Input!P670)*O$12</f>
        <v>1.1261624192640001</v>
      </c>
      <c r="P680">
        <f>O680*(1+Input!Q670)*P$12</f>
        <v>1.14868566764928</v>
      </c>
      <c r="Q680">
        <f>P680*(1+Input!R670)*Q$12</f>
        <v>1.1716593810022657</v>
      </c>
      <c r="R680">
        <f>Q680*(1+Input!S670)*R$12</f>
        <v>1.1950925686223111</v>
      </c>
      <c r="S680">
        <f>R680*(1+Input!T670)*S$12</f>
        <v>1.2189944199947573</v>
      </c>
      <c r="T680">
        <f>S680*(1+Input!U670)*T$12</f>
        <v>1.2433743083946525</v>
      </c>
      <c r="U680">
        <f>T680*(1+Input!V670)*U$12</f>
        <v>1.2682417945625455</v>
      </c>
      <c r="V680">
        <f>U680*(1+Input!W670)*V$12</f>
        <v>1.2936066304537963</v>
      </c>
    </row>
    <row r="681" spans="2:22">
      <c r="B681" t="s">
        <v>504</v>
      </c>
      <c r="G681"/>
      <c r="I681">
        <v>1</v>
      </c>
      <c r="J681">
        <f>I681*(1+Input!K675)*J$12</f>
        <v>1.02</v>
      </c>
      <c r="K681">
        <f>J681*(1+Input!L675)*K$12</f>
        <v>1.0404</v>
      </c>
      <c r="L681">
        <f>K681*(1+Input!M675)*L$12</f>
        <v>1.0612079999999999</v>
      </c>
      <c r="M681">
        <f>L681*(1+Input!N675)*M$12</f>
        <v>1.08243216</v>
      </c>
      <c r="N681">
        <f>M681*(1+Input!O675)*N$12</f>
        <v>1.1040808032</v>
      </c>
      <c r="O681">
        <f>N681*(1+Input!P675)*O$12</f>
        <v>1.1261624192640001</v>
      </c>
      <c r="P681">
        <f>O681*(1+Input!Q675)*P$12</f>
        <v>1.14868566764928</v>
      </c>
      <c r="Q681">
        <f>P681*(1+Input!R675)*Q$12</f>
        <v>1.1716593810022657</v>
      </c>
      <c r="R681">
        <f>Q681*(1+Input!S675)*R$12</f>
        <v>1.1950925686223111</v>
      </c>
      <c r="S681">
        <f>R681*(1+Input!T675)*S$12</f>
        <v>1.2189944199947573</v>
      </c>
      <c r="T681">
        <f>S681*(1+Input!U675)*T$12</f>
        <v>1.2433743083946525</v>
      </c>
      <c r="U681">
        <f>T681*(1+Input!V675)*U$12</f>
        <v>1.2682417945625455</v>
      </c>
      <c r="V681">
        <f>U681*(1+Input!W675)*V$12</f>
        <v>1.2936066304537963</v>
      </c>
    </row>
    <row r="682" spans="2:22">
      <c r="B682" t="s">
        <v>497</v>
      </c>
      <c r="G682"/>
      <c r="I682">
        <v>1</v>
      </c>
      <c r="J682">
        <f>I682*(1+Input!K680)*J$12</f>
        <v>1.0349999999999999</v>
      </c>
      <c r="K682">
        <f>J682*(1+Input!L680)*K$12</f>
        <v>1.0712249999999999</v>
      </c>
      <c r="L682">
        <f>K682*(1+Input!M680)*L$12</f>
        <v>1.1087178749999997</v>
      </c>
      <c r="M682">
        <f>L682*(1+Input!N680)*M$12</f>
        <v>1.1475230006249997</v>
      </c>
      <c r="N682">
        <f>M682*(1+Input!O680)*N$12</f>
        <v>1.1876863056468745</v>
      </c>
      <c r="O682">
        <f>N682*(1+Input!P680)*O$12</f>
        <v>1.229255326344515</v>
      </c>
      <c r="P682">
        <f>O682*(1+Input!Q680)*P$12</f>
        <v>1.2722792627665729</v>
      </c>
      <c r="Q682">
        <f>P682*(1+Input!R680)*Q$12</f>
        <v>1.3168090369634029</v>
      </c>
      <c r="R682">
        <f>Q682*(1+Input!S680)*R$12</f>
        <v>1.3628973532571218</v>
      </c>
      <c r="S682">
        <f>R682*(1+Input!T680)*S$12</f>
        <v>1.410598760621121</v>
      </c>
      <c r="T682">
        <f>S682*(1+Input!U680)*T$12</f>
        <v>1.4599697172428601</v>
      </c>
      <c r="U682">
        <f>T682*(1+Input!V680)*U$12</f>
        <v>1.5110686573463601</v>
      </c>
      <c r="V682">
        <f>U682*(1+Input!W680)*V$12</f>
        <v>1.5639560603534826</v>
      </c>
    </row>
    <row r="683" spans="2:22">
      <c r="B683" t="s">
        <v>505</v>
      </c>
      <c r="G683"/>
      <c r="I683">
        <v>1</v>
      </c>
      <c r="J683">
        <f>I683*(1+Input!K685)*J$12</f>
        <v>1.03</v>
      </c>
      <c r="K683">
        <f>J683*(1+Input!L685)*K$12</f>
        <v>1.0609</v>
      </c>
      <c r="L683">
        <f>K683*(1+Input!M685)*L$12</f>
        <v>1.092727</v>
      </c>
      <c r="M683">
        <f>L683*(1+Input!N685)*M$12</f>
        <v>1.1255088100000001</v>
      </c>
      <c r="N683">
        <f>M683*(1+Input!O685)*N$12</f>
        <v>1.1592740743000001</v>
      </c>
      <c r="O683">
        <f>N683*(1+Input!P685)*O$12</f>
        <v>1.1940522965290001</v>
      </c>
      <c r="P683">
        <f>O683*(1+Input!Q685)*P$12</f>
        <v>1.2298738654248702</v>
      </c>
      <c r="Q683">
        <f>P683*(1+Input!R685)*Q$12</f>
        <v>1.2667700813876164</v>
      </c>
      <c r="R683">
        <f>Q683*(1+Input!S685)*R$12</f>
        <v>1.3047731838292449</v>
      </c>
      <c r="S683">
        <f>R683*(1+Input!T685)*S$12</f>
        <v>1.3439163793441222</v>
      </c>
      <c r="T683">
        <f>S683*(1+Input!U685)*T$12</f>
        <v>1.3842338707244459</v>
      </c>
      <c r="U683">
        <f>T683*(1+Input!V685)*U$12</f>
        <v>1.4257608868461793</v>
      </c>
      <c r="V683">
        <f>U683*(1+Input!W685)*V$12</f>
        <v>1.4685337134515648</v>
      </c>
    </row>
    <row r="684" spans="2:22">
      <c r="B684" t="s">
        <v>569</v>
      </c>
      <c r="G684"/>
      <c r="I684">
        <v>1</v>
      </c>
      <c r="J684">
        <f>I684*(1+Input!K690)*J$12</f>
        <v>1.03</v>
      </c>
      <c r="K684">
        <f>J684*(1+Input!L690)*K$12</f>
        <v>1.0609</v>
      </c>
      <c r="L684">
        <f>K684*(1+Input!M690)*L$12</f>
        <v>1.092727</v>
      </c>
      <c r="M684">
        <f>L684*(1+Input!N690)*M$12</f>
        <v>1.1255088100000001</v>
      </c>
      <c r="N684">
        <f>M684*(1+Input!O690)*N$12</f>
        <v>1.1592740743000001</v>
      </c>
      <c r="O684">
        <f>N684*(1+Input!P690)*O$12</f>
        <v>1.1940522965290001</v>
      </c>
      <c r="P684">
        <f>O684*(1+Input!Q690)*P$12</f>
        <v>1.2298738654248702</v>
      </c>
      <c r="Q684">
        <f>P684*(1+Input!R690)*Q$12</f>
        <v>1.2667700813876164</v>
      </c>
      <c r="R684">
        <f>Q684*(1+Input!S690)*R$12</f>
        <v>1.3047731838292449</v>
      </c>
      <c r="S684">
        <f>R684*(1+Input!T690)*S$12</f>
        <v>1.3439163793441222</v>
      </c>
      <c r="T684">
        <f>S684*(1+Input!U690)*T$12</f>
        <v>1.3842338707244459</v>
      </c>
      <c r="U684">
        <f>T684*(1+Input!V690)*U$12</f>
        <v>1.4257608868461793</v>
      </c>
      <c r="V684">
        <f>U684*(1+Input!W690)*V$12</f>
        <v>1.4685337134515648</v>
      </c>
    </row>
    <row r="685" spans="2:22">
      <c r="G685"/>
    </row>
    <row r="686" spans="2:22">
      <c r="B686" s="2" t="s">
        <v>570</v>
      </c>
      <c r="G686"/>
      <c r="J686" s="88">
        <f t="shared" ref="J686:V686" si="254">SUM(J687:J695)</f>
        <v>3.0717537533632</v>
      </c>
      <c r="K686" s="22">
        <f t="shared" si="254"/>
        <v>3.1589970459708727</v>
      </c>
      <c r="L686" s="22">
        <f t="shared" si="254"/>
        <v>3.2487703955550709</v>
      </c>
      <c r="M686" s="22">
        <f t="shared" si="254"/>
        <v>3.341148342049991</v>
      </c>
      <c r="N686" s="22">
        <f t="shared" si="254"/>
        <v>3.4362076477594869</v>
      </c>
      <c r="O686" s="22">
        <f t="shared" si="254"/>
        <v>3.5340273642208411</v>
      </c>
      <c r="P686" s="22">
        <f t="shared" si="254"/>
        <v>3.6346889010947288</v>
      </c>
      <c r="Q686" s="22">
        <f t="shared" si="254"/>
        <v>3.7382760971431308</v>
      </c>
      <c r="R686" s="22">
        <f t="shared" si="254"/>
        <v>3.844875293358879</v>
      </c>
      <c r="S686" s="22">
        <f t="shared" si="254"/>
        <v>3.9545754083124058</v>
      </c>
      <c r="T686" s="22">
        <f t="shared" si="254"/>
        <v>4.0674680157833558</v>
      </c>
      <c r="U686" s="22">
        <f t="shared" si="254"/>
        <v>4.1836474247467281</v>
      </c>
      <c r="V686" s="22">
        <f t="shared" si="254"/>
        <v>4.3032107617853992</v>
      </c>
    </row>
    <row r="687" spans="2:22">
      <c r="B687" t="s">
        <v>496</v>
      </c>
      <c r="F687" s="72">
        <f>Input!J637</f>
        <v>1.7023670040000001</v>
      </c>
      <c r="G687"/>
      <c r="J687" s="22">
        <f t="shared" ref="J687:V687" si="255">$F687*J676</f>
        <v>1.7534380141200001</v>
      </c>
      <c r="K687" s="22">
        <f t="shared" si="255"/>
        <v>1.8060411545435999</v>
      </c>
      <c r="L687" s="22">
        <f t="shared" si="255"/>
        <v>1.8602223891799081</v>
      </c>
      <c r="M687" s="22">
        <f t="shared" si="255"/>
        <v>1.9160290608553057</v>
      </c>
      <c r="N687" s="22">
        <f t="shared" si="255"/>
        <v>1.9735099326809646</v>
      </c>
      <c r="O687" s="22">
        <f t="shared" si="255"/>
        <v>2.0327152306613936</v>
      </c>
      <c r="P687" s="22">
        <f t="shared" si="255"/>
        <v>2.0936966875812355</v>
      </c>
      <c r="Q687" s="22">
        <f t="shared" si="255"/>
        <v>2.1565075882086728</v>
      </c>
      <c r="R687" s="22">
        <f t="shared" si="255"/>
        <v>2.2212028158549328</v>
      </c>
      <c r="S687" s="22">
        <f t="shared" si="255"/>
        <v>2.287838900330581</v>
      </c>
      <c r="T687" s="22">
        <f t="shared" si="255"/>
        <v>2.3564740673404985</v>
      </c>
      <c r="U687" s="22">
        <f t="shared" si="255"/>
        <v>2.4271682893607132</v>
      </c>
      <c r="V687" s="22">
        <f t="shared" si="255"/>
        <v>2.4999833380415351</v>
      </c>
    </row>
    <row r="688" spans="2:22">
      <c r="B688" t="s">
        <v>500</v>
      </c>
      <c r="F688" s="72">
        <f>Input!J638</f>
        <v>0.25867063399000001</v>
      </c>
      <c r="G688"/>
      <c r="J688" s="22">
        <f t="shared" ref="J688:V688" si="256">$F688*J677</f>
        <v>0.26384404666979999</v>
      </c>
      <c r="K688" s="22">
        <f t="shared" si="256"/>
        <v>0.269120927603196</v>
      </c>
      <c r="L688" s="22">
        <f t="shared" si="256"/>
        <v>0.2745033461552599</v>
      </c>
      <c r="M688" s="22">
        <f t="shared" si="256"/>
        <v>0.27999341307836512</v>
      </c>
      <c r="N688" s="22">
        <f t="shared" si="256"/>
        <v>0.28559328133993245</v>
      </c>
      <c r="O688" s="22">
        <f t="shared" si="256"/>
        <v>0.2913051469667311</v>
      </c>
      <c r="P688" s="22">
        <f t="shared" si="256"/>
        <v>0.29713124990606571</v>
      </c>
      <c r="Q688" s="22">
        <f t="shared" si="256"/>
        <v>0.30307387490418708</v>
      </c>
      <c r="R688" s="22">
        <f t="shared" si="256"/>
        <v>0.3091353524022708</v>
      </c>
      <c r="S688" s="22">
        <f t="shared" si="256"/>
        <v>0.31531805945031621</v>
      </c>
      <c r="T688" s="22">
        <f t="shared" si="256"/>
        <v>0.32162442063932256</v>
      </c>
      <c r="U688" s="22">
        <f t="shared" si="256"/>
        <v>0.32805690905210899</v>
      </c>
      <c r="V688" s="22">
        <f t="shared" si="256"/>
        <v>0.33461804723315114</v>
      </c>
    </row>
    <row r="689" spans="2:22">
      <c r="B689" t="s">
        <v>499</v>
      </c>
      <c r="F689" s="72">
        <f>Input!J639</f>
        <v>0.23960182307999997</v>
      </c>
      <c r="G689"/>
      <c r="J689" s="22">
        <f t="shared" ref="J689:V689" si="257">$F689*J678</f>
        <v>0.24678987777239997</v>
      </c>
      <c r="K689" s="22">
        <f t="shared" si="257"/>
        <v>0.25419357410557197</v>
      </c>
      <c r="L689" s="22">
        <f t="shared" si="257"/>
        <v>0.26181938132873911</v>
      </c>
      <c r="M689" s="22">
        <f t="shared" si="257"/>
        <v>0.26967396276860134</v>
      </c>
      <c r="N689" s="22">
        <f t="shared" si="257"/>
        <v>0.27776418165165934</v>
      </c>
      <c r="O689" s="22">
        <f t="shared" si="257"/>
        <v>0.28609710710120917</v>
      </c>
      <c r="P689" s="22">
        <f t="shared" si="257"/>
        <v>0.29468002031424545</v>
      </c>
      <c r="Q689" s="22">
        <f t="shared" si="257"/>
        <v>0.30352042092367282</v>
      </c>
      <c r="R689" s="22">
        <f t="shared" si="257"/>
        <v>0.31262603355138302</v>
      </c>
      <c r="S689" s="22">
        <f t="shared" si="257"/>
        <v>0.32200481455792451</v>
      </c>
      <c r="T689" s="22">
        <f t="shared" si="257"/>
        <v>0.33166495899466225</v>
      </c>
      <c r="U689" s="22">
        <f t="shared" si="257"/>
        <v>0.3416149077645021</v>
      </c>
      <c r="V689" s="22">
        <f t="shared" si="257"/>
        <v>0.35186335499743721</v>
      </c>
    </row>
    <row r="690" spans="2:22">
      <c r="B690" t="s">
        <v>506</v>
      </c>
      <c r="F690" s="72">
        <f>Input!J640</f>
        <v>0.17580518881999999</v>
      </c>
      <c r="G690"/>
      <c r="J690" s="22">
        <f t="shared" ref="J690:V690" si="258">$F690*J679</f>
        <v>0.1810793444846</v>
      </c>
      <c r="K690" s="22">
        <f t="shared" si="258"/>
        <v>0.18651172481913797</v>
      </c>
      <c r="L690" s="22">
        <f t="shared" si="258"/>
        <v>0.19210707656371212</v>
      </c>
      <c r="M690" s="22">
        <f t="shared" si="258"/>
        <v>0.19787028886062352</v>
      </c>
      <c r="N690" s="22">
        <f t="shared" si="258"/>
        <v>0.2038063975264422</v>
      </c>
      <c r="O690" s="22">
        <f t="shared" si="258"/>
        <v>0.20992058945223549</v>
      </c>
      <c r="P690" s="22">
        <f t="shared" si="258"/>
        <v>0.21621820713580256</v>
      </c>
      <c r="Q690" s="22">
        <f t="shared" si="258"/>
        <v>0.22270475334987663</v>
      </c>
      <c r="R690" s="22">
        <f t="shared" si="258"/>
        <v>0.22938589595037295</v>
      </c>
      <c r="S690" s="22">
        <f t="shared" si="258"/>
        <v>0.23626747282888413</v>
      </c>
      <c r="T690" s="22">
        <f t="shared" si="258"/>
        <v>0.24335549701375067</v>
      </c>
      <c r="U690" s="22">
        <f t="shared" si="258"/>
        <v>0.25065616192416318</v>
      </c>
      <c r="V690" s="22">
        <f t="shared" si="258"/>
        <v>0.2581758467818881</v>
      </c>
    </row>
    <row r="691" spans="2:22">
      <c r="B691" t="s">
        <v>502</v>
      </c>
      <c r="F691" s="72">
        <f>Input!J641</f>
        <v>0.14777611399999999</v>
      </c>
      <c r="G691"/>
      <c r="J691" s="22">
        <f t="shared" ref="J691:V691" si="259">$F691*J680</f>
        <v>0.15073163628</v>
      </c>
      <c r="K691" s="22">
        <f t="shared" si="259"/>
        <v>0.15374626900559998</v>
      </c>
      <c r="L691" s="22">
        <f t="shared" si="259"/>
        <v>0.15682119438571199</v>
      </c>
      <c r="M691" s="22">
        <f t="shared" si="259"/>
        <v>0.15995761827342622</v>
      </c>
      <c r="N691" s="22">
        <f t="shared" si="259"/>
        <v>0.16315677063889475</v>
      </c>
      <c r="O691" s="22">
        <f t="shared" si="259"/>
        <v>0.16641990605167264</v>
      </c>
      <c r="P691" s="22">
        <f t="shared" si="259"/>
        <v>0.16974830417270612</v>
      </c>
      <c r="Q691" s="22">
        <f t="shared" si="259"/>
        <v>0.17314327025616025</v>
      </c>
      <c r="R691" s="22">
        <f t="shared" si="259"/>
        <v>0.17660613566128344</v>
      </c>
      <c r="S691" s="22">
        <f t="shared" si="259"/>
        <v>0.18013825837450911</v>
      </c>
      <c r="T691" s="22">
        <f t="shared" si="259"/>
        <v>0.18374102354199931</v>
      </c>
      <c r="U691" s="22">
        <f t="shared" si="259"/>
        <v>0.18741584401283928</v>
      </c>
      <c r="V691" s="22">
        <f t="shared" si="259"/>
        <v>0.19116416089309607</v>
      </c>
    </row>
    <row r="692" spans="2:22">
      <c r="B692" t="s">
        <v>504</v>
      </c>
      <c r="F692" s="72">
        <f>Input!J642</f>
        <v>0.146392455</v>
      </c>
      <c r="G692"/>
      <c r="J692" s="22">
        <f t="shared" ref="J692:V692" si="260">$F692*J681</f>
        <v>0.1493203041</v>
      </c>
      <c r="K692" s="22">
        <f t="shared" si="260"/>
        <v>0.15230671018200001</v>
      </c>
      <c r="L692" s="22">
        <f t="shared" si="260"/>
        <v>0.15535284438563998</v>
      </c>
      <c r="M692" s="22">
        <f t="shared" si="260"/>
        <v>0.1584599012733528</v>
      </c>
      <c r="N692" s="22">
        <f t="shared" si="260"/>
        <v>0.16162909929881986</v>
      </c>
      <c r="O692" s="22">
        <f t="shared" si="260"/>
        <v>0.16486168128479628</v>
      </c>
      <c r="P692" s="22">
        <f t="shared" si="260"/>
        <v>0.1681589149104922</v>
      </c>
      <c r="Q692" s="22">
        <f t="shared" si="260"/>
        <v>0.17152209320870204</v>
      </c>
      <c r="R692" s="22">
        <f t="shared" si="260"/>
        <v>0.17495253507287609</v>
      </c>
      <c r="S692" s="22">
        <f t="shared" si="260"/>
        <v>0.17845158577433362</v>
      </c>
      <c r="T692" s="22">
        <f t="shared" si="260"/>
        <v>0.18202061748982029</v>
      </c>
      <c r="U692" s="22">
        <f t="shared" si="260"/>
        <v>0.18566102983961669</v>
      </c>
      <c r="V692" s="22">
        <f t="shared" si="260"/>
        <v>0.18937425043640901</v>
      </c>
    </row>
    <row r="693" spans="2:22">
      <c r="B693" t="s">
        <v>497</v>
      </c>
      <c r="F693" s="72">
        <f>Input!J643</f>
        <v>0.14099321300000001</v>
      </c>
      <c r="G693"/>
      <c r="J693" s="22">
        <f t="shared" ref="J693:V693" si="261">$F693*J682</f>
        <v>0.145927975455</v>
      </c>
      <c r="K693" s="22">
        <f t="shared" si="261"/>
        <v>0.15103545459592499</v>
      </c>
      <c r="L693" s="22">
        <f t="shared" si="261"/>
        <v>0.15632169550678235</v>
      </c>
      <c r="M693" s="22">
        <f t="shared" si="261"/>
        <v>0.16179295484951972</v>
      </c>
      <c r="N693" s="22">
        <f t="shared" si="261"/>
        <v>0.16745570826925288</v>
      </c>
      <c r="O693" s="22">
        <f t="shared" si="261"/>
        <v>0.17331665805867671</v>
      </c>
      <c r="P693" s="22">
        <f t="shared" si="261"/>
        <v>0.17938274109073038</v>
      </c>
      <c r="Q693" s="22">
        <f t="shared" si="261"/>
        <v>0.18566113702890594</v>
      </c>
      <c r="R693" s="22">
        <f t="shared" si="261"/>
        <v>0.19215927682491762</v>
      </c>
      <c r="S693" s="22">
        <f t="shared" si="261"/>
        <v>0.19888485151378973</v>
      </c>
      <c r="T693" s="22">
        <f t="shared" si="261"/>
        <v>0.20584582131677234</v>
      </c>
      <c r="U693" s="22">
        <f t="shared" si="261"/>
        <v>0.21305042506285937</v>
      </c>
      <c r="V693" s="22">
        <f t="shared" si="261"/>
        <v>0.22050718994005944</v>
      </c>
    </row>
    <row r="694" spans="2:22">
      <c r="B694" t="s">
        <v>505</v>
      </c>
      <c r="F694" s="72">
        <f>Input!J644</f>
        <v>0.13922671138000001</v>
      </c>
      <c r="G694"/>
      <c r="J694" s="22">
        <f t="shared" ref="J694:V694" si="262">$F694*J683</f>
        <v>0.14340351272140001</v>
      </c>
      <c r="K694" s="22">
        <f t="shared" si="262"/>
        <v>0.147705618103042</v>
      </c>
      <c r="L694" s="22">
        <f t="shared" si="262"/>
        <v>0.15213678664613325</v>
      </c>
      <c r="M694" s="22">
        <f t="shared" si="262"/>
        <v>0.15670089024551728</v>
      </c>
      <c r="N694" s="22">
        <f t="shared" si="262"/>
        <v>0.16140191695288278</v>
      </c>
      <c r="O694" s="22">
        <f t="shared" si="262"/>
        <v>0.1662439744614693</v>
      </c>
      <c r="P694" s="22">
        <f t="shared" si="262"/>
        <v>0.17123129369531337</v>
      </c>
      <c r="Q694" s="22">
        <f t="shared" si="262"/>
        <v>0.17636823250617278</v>
      </c>
      <c r="R694" s="22">
        <f t="shared" si="262"/>
        <v>0.18165927948135796</v>
      </c>
      <c r="S694" s="22">
        <f t="shared" si="262"/>
        <v>0.18710905786579871</v>
      </c>
      <c r="T694" s="22">
        <f t="shared" si="262"/>
        <v>0.19272232960177269</v>
      </c>
      <c r="U694" s="22">
        <f t="shared" si="262"/>
        <v>0.19850399948982586</v>
      </c>
      <c r="V694" s="22">
        <f t="shared" si="262"/>
        <v>0.20445911947452064</v>
      </c>
    </row>
    <row r="695" spans="2:22">
      <c r="B695" t="s">
        <v>569</v>
      </c>
      <c r="F695" s="72">
        <f>Input!J645</f>
        <v>3.6134991999999998E-2</v>
      </c>
      <c r="G695"/>
      <c r="J695" s="22">
        <f t="shared" ref="J695:V695" si="263">$F695*J684</f>
        <v>3.7219041760000002E-2</v>
      </c>
      <c r="K695" s="22">
        <f t="shared" si="263"/>
        <v>3.8335613012799995E-2</v>
      </c>
      <c r="L695" s="22">
        <f t="shared" si="263"/>
        <v>3.9485681403183995E-2</v>
      </c>
      <c r="M695" s="22">
        <f t="shared" si="263"/>
        <v>4.0670251845279524E-2</v>
      </c>
      <c r="N695" s="22">
        <f t="shared" si="263"/>
        <v>4.1890359400637907E-2</v>
      </c>
      <c r="O695" s="22">
        <f t="shared" si="263"/>
        <v>4.3147070182657045E-2</v>
      </c>
      <c r="P695" s="22">
        <f t="shared" si="263"/>
        <v>4.4441482288136762E-2</v>
      </c>
      <c r="Q695" s="22">
        <f t="shared" si="263"/>
        <v>4.5774726756780862E-2</v>
      </c>
      <c r="R695" s="22">
        <f t="shared" si="263"/>
        <v>4.7147968559484291E-2</v>
      </c>
      <c r="S695" s="22">
        <f t="shared" si="263"/>
        <v>4.8562407616268816E-2</v>
      </c>
      <c r="T695" s="22">
        <f t="shared" si="263"/>
        <v>5.0019279844756882E-2</v>
      </c>
      <c r="U695" s="22">
        <f t="shared" si="263"/>
        <v>5.1519858240099588E-2</v>
      </c>
      <c r="V695" s="22">
        <f t="shared" si="263"/>
        <v>5.3065453987302585E-2</v>
      </c>
    </row>
    <row r="696" spans="2:22">
      <c r="G696"/>
    </row>
    <row r="697" spans="2:22" ht="24" thickBot="1">
      <c r="B697" s="14" t="s">
        <v>813</v>
      </c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</row>
    <row r="698" spans="2:22">
      <c r="G698"/>
    </row>
    <row r="699" spans="2:22">
      <c r="B699" t="s">
        <v>803</v>
      </c>
      <c r="G699"/>
      <c r="J699">
        <f>SUM(J620,J474:J476)</f>
        <v>2.2239042215849998</v>
      </c>
      <c r="K699">
        <f t="shared" ref="K699:V699" si="264">SUM(K620,K474:K476)</f>
        <v>2.3017408693404744</v>
      </c>
      <c r="L699">
        <f t="shared" si="264"/>
        <v>2.382301799767391</v>
      </c>
      <c r="M699">
        <f t="shared" si="264"/>
        <v>2.4656823627592495</v>
      </c>
      <c r="N699">
        <f t="shared" si="264"/>
        <v>2.5519812454558228</v>
      </c>
      <c r="O699">
        <f t="shared" si="264"/>
        <v>2.641300589046776</v>
      </c>
      <c r="P699">
        <f t="shared" si="264"/>
        <v>2.733746109663413</v>
      </c>
      <c r="Q699">
        <f t="shared" si="264"/>
        <v>2.8294272235016327</v>
      </c>
      <c r="R699">
        <f t="shared" si="264"/>
        <v>2.9284571763241893</v>
      </c>
      <c r="S699">
        <f t="shared" si="264"/>
        <v>3.0309531774955358</v>
      </c>
      <c r="T699">
        <f t="shared" si="264"/>
        <v>3.1370365387078794</v>
      </c>
      <c r="U699">
        <f t="shared" si="264"/>
        <v>3.2468328175626548</v>
      </c>
      <c r="V699">
        <f t="shared" si="264"/>
        <v>3.3604719661773474</v>
      </c>
    </row>
    <row r="700" spans="2:22">
      <c r="B700" t="s">
        <v>37</v>
      </c>
      <c r="F700" s="19">
        <v>2027</v>
      </c>
      <c r="G700"/>
      <c r="J700" s="71">
        <f>IF(J$8&lt;$F700,0,1)*J$12</f>
        <v>0</v>
      </c>
      <c r="K700" s="13">
        <f t="shared" ref="K700:V700" si="265">IF(K$8&lt;$F700,0,1)*K$12</f>
        <v>0</v>
      </c>
      <c r="L700" s="13">
        <f t="shared" si="265"/>
        <v>0</v>
      </c>
      <c r="M700" s="13">
        <f t="shared" si="265"/>
        <v>1</v>
      </c>
      <c r="N700" s="13">
        <f t="shared" si="265"/>
        <v>1</v>
      </c>
      <c r="O700" s="13">
        <f t="shared" si="265"/>
        <v>1</v>
      </c>
      <c r="P700" s="13">
        <f t="shared" si="265"/>
        <v>1</v>
      </c>
      <c r="Q700" s="13">
        <f t="shared" si="265"/>
        <v>1</v>
      </c>
      <c r="R700" s="13">
        <f t="shared" si="265"/>
        <v>1</v>
      </c>
      <c r="S700" s="13">
        <f t="shared" si="265"/>
        <v>1</v>
      </c>
      <c r="T700" s="13">
        <f t="shared" si="265"/>
        <v>1</v>
      </c>
      <c r="U700" s="13">
        <f t="shared" si="265"/>
        <v>1</v>
      </c>
      <c r="V700" s="13">
        <f t="shared" si="265"/>
        <v>1</v>
      </c>
    </row>
    <row r="701" spans="2:22">
      <c r="G701"/>
    </row>
    <row r="702" spans="2:22" ht="15.75">
      <c r="B702" s="15" t="s">
        <v>796</v>
      </c>
      <c r="G702"/>
    </row>
    <row r="703" spans="2:22" ht="15.75">
      <c r="B703" s="41" t="s">
        <v>511</v>
      </c>
      <c r="F703" s="19">
        <v>2027</v>
      </c>
      <c r="G703"/>
      <c r="J703" s="77">
        <f>J437</f>
        <v>0</v>
      </c>
      <c r="K703" s="77">
        <f t="shared" ref="K703:V703" si="266">K437</f>
        <v>0</v>
      </c>
      <c r="L703" s="77">
        <f t="shared" si="266"/>
        <v>0</v>
      </c>
      <c r="M703" s="77">
        <f t="shared" si="266"/>
        <v>0</v>
      </c>
      <c r="N703" s="77">
        <f t="shared" si="266"/>
        <v>0</v>
      </c>
      <c r="O703" s="77">
        <f t="shared" si="266"/>
        <v>0</v>
      </c>
      <c r="P703" s="77">
        <f t="shared" si="266"/>
        <v>0</v>
      </c>
      <c r="Q703" s="77">
        <f t="shared" si="266"/>
        <v>0</v>
      </c>
      <c r="R703" s="77">
        <f t="shared" si="266"/>
        <v>0</v>
      </c>
      <c r="S703" s="77">
        <f t="shared" si="266"/>
        <v>0</v>
      </c>
      <c r="T703" s="77">
        <f t="shared" si="266"/>
        <v>0</v>
      </c>
      <c r="U703" s="77">
        <f t="shared" si="266"/>
        <v>0</v>
      </c>
      <c r="V703" s="77">
        <f t="shared" si="266"/>
        <v>0</v>
      </c>
    </row>
    <row r="704" spans="2:22">
      <c r="B704" s="407" t="s">
        <v>407</v>
      </c>
      <c r="F704" s="19"/>
      <c r="G704" s="17" t="s">
        <v>543</v>
      </c>
      <c r="J704">
        <f>J586</f>
        <v>750000</v>
      </c>
      <c r="K704">
        <f t="shared" ref="K704:V704" si="267">K586</f>
        <v>772500</v>
      </c>
      <c r="L704">
        <f t="shared" si="267"/>
        <v>795675</v>
      </c>
      <c r="M704">
        <f t="shared" si="267"/>
        <v>819545.25</v>
      </c>
      <c r="N704">
        <f t="shared" si="267"/>
        <v>844131.60750000016</v>
      </c>
      <c r="O704">
        <f t="shared" si="267"/>
        <v>869455.5557250001</v>
      </c>
      <c r="P704">
        <f t="shared" si="267"/>
        <v>895539.22239675012</v>
      </c>
      <c r="Q704">
        <f t="shared" si="267"/>
        <v>922405.39906865265</v>
      </c>
      <c r="R704">
        <f t="shared" si="267"/>
        <v>950077.56104071229</v>
      </c>
      <c r="S704">
        <f t="shared" si="267"/>
        <v>978579.88787193364</v>
      </c>
      <c r="T704">
        <f t="shared" si="267"/>
        <v>1007937.2845080916</v>
      </c>
      <c r="U704">
        <f t="shared" si="267"/>
        <v>1038175.4030433345</v>
      </c>
      <c r="V704">
        <f t="shared" si="267"/>
        <v>1069320.6651346346</v>
      </c>
    </row>
    <row r="705" spans="2:22">
      <c r="B705" s="407" t="s">
        <v>797</v>
      </c>
      <c r="F705" s="19">
        <v>55000</v>
      </c>
      <c r="G705" s="17" t="s">
        <v>545</v>
      </c>
      <c r="J705" s="19">
        <f>$F705</f>
        <v>55000</v>
      </c>
      <c r="K705" s="19">
        <f t="shared" ref="K705:V705" si="268">$F705</f>
        <v>55000</v>
      </c>
      <c r="L705" s="19">
        <f t="shared" si="268"/>
        <v>55000</v>
      </c>
      <c r="M705" s="19">
        <f t="shared" si="268"/>
        <v>55000</v>
      </c>
      <c r="N705" s="19">
        <f t="shared" si="268"/>
        <v>55000</v>
      </c>
      <c r="O705" s="19">
        <f t="shared" si="268"/>
        <v>55000</v>
      </c>
      <c r="P705" s="19">
        <f t="shared" si="268"/>
        <v>55000</v>
      </c>
      <c r="Q705" s="19">
        <f t="shared" si="268"/>
        <v>55000</v>
      </c>
      <c r="R705" s="19">
        <f t="shared" si="268"/>
        <v>55000</v>
      </c>
      <c r="S705" s="19">
        <f t="shared" si="268"/>
        <v>55000</v>
      </c>
      <c r="T705" s="19">
        <f t="shared" si="268"/>
        <v>55000</v>
      </c>
      <c r="U705" s="19">
        <f t="shared" si="268"/>
        <v>55000</v>
      </c>
      <c r="V705" s="19">
        <f t="shared" si="268"/>
        <v>55000</v>
      </c>
    </row>
    <row r="706" spans="2:22">
      <c r="B706" s="407" t="s">
        <v>799</v>
      </c>
      <c r="F706" s="39">
        <v>0.02</v>
      </c>
      <c r="J706" s="19">
        <f t="shared" ref="J706:V706" si="269">$F$483*J705</f>
        <v>1100</v>
      </c>
      <c r="K706" s="19">
        <f t="shared" si="269"/>
        <v>1100</v>
      </c>
      <c r="L706" s="19">
        <f t="shared" si="269"/>
        <v>1100</v>
      </c>
      <c r="M706" s="19">
        <f t="shared" si="269"/>
        <v>1100</v>
      </c>
      <c r="N706" s="19">
        <f t="shared" si="269"/>
        <v>1100</v>
      </c>
      <c r="O706" s="19">
        <f t="shared" si="269"/>
        <v>1100</v>
      </c>
      <c r="P706" s="19">
        <f t="shared" si="269"/>
        <v>1100</v>
      </c>
      <c r="Q706" s="19">
        <f t="shared" si="269"/>
        <v>1100</v>
      </c>
      <c r="R706" s="19">
        <f t="shared" si="269"/>
        <v>1100</v>
      </c>
      <c r="S706" s="19">
        <f t="shared" si="269"/>
        <v>1100</v>
      </c>
      <c r="T706" s="19">
        <f t="shared" si="269"/>
        <v>1100</v>
      </c>
      <c r="U706" s="19">
        <f t="shared" si="269"/>
        <v>1100</v>
      </c>
      <c r="V706" s="19">
        <f t="shared" si="269"/>
        <v>1100</v>
      </c>
    </row>
    <row r="707" spans="2:22">
      <c r="B707" s="28" t="s">
        <v>454</v>
      </c>
      <c r="C707" s="28"/>
      <c r="D707" s="28"/>
      <c r="E707" s="28"/>
      <c r="F707" s="28"/>
      <c r="G707" s="28"/>
      <c r="H707" s="28"/>
      <c r="I707" s="28"/>
      <c r="J707" s="28">
        <f>J704*J706/Billion*J700</f>
        <v>0</v>
      </c>
      <c r="K707" s="28">
        <f t="shared" ref="K707:V707" si="270">K704*K706/Billion*K700</f>
        <v>0</v>
      </c>
      <c r="L707" s="28">
        <f t="shared" si="270"/>
        <v>0</v>
      </c>
      <c r="M707" s="28">
        <f t="shared" si="270"/>
        <v>0.901499775</v>
      </c>
      <c r="N707" s="28">
        <f t="shared" si="270"/>
        <v>0.9285447682500001</v>
      </c>
      <c r="O707" s="28">
        <f t="shared" si="270"/>
        <v>0.95640111129750016</v>
      </c>
      <c r="P707" s="28">
        <f t="shared" si="270"/>
        <v>0.98509314463642517</v>
      </c>
      <c r="Q707" s="28">
        <f t="shared" si="270"/>
        <v>1.0146459389755178</v>
      </c>
      <c r="R707" s="28">
        <f t="shared" si="270"/>
        <v>1.0450853171447836</v>
      </c>
      <c r="S707" s="28">
        <f t="shared" si="270"/>
        <v>1.0764378766591269</v>
      </c>
      <c r="T707" s="28">
        <f t="shared" si="270"/>
        <v>1.1087310129589008</v>
      </c>
      <c r="U707" s="28">
        <f t="shared" si="270"/>
        <v>1.1419929433476679</v>
      </c>
      <c r="V707" s="28">
        <f t="shared" si="270"/>
        <v>1.176252731648098</v>
      </c>
    </row>
    <row r="708" spans="2:22">
      <c r="B708" s="407"/>
      <c r="G708"/>
    </row>
    <row r="709" spans="2:22">
      <c r="B709" s="407" t="s">
        <v>430</v>
      </c>
      <c r="F709" s="39">
        <f>1-F710</f>
        <v>0.5</v>
      </c>
      <c r="G709"/>
      <c r="J709" s="23">
        <f>$F709*J$707</f>
        <v>0</v>
      </c>
      <c r="K709" s="23">
        <f t="shared" ref="K709:V710" si="271">$F709*K$707</f>
        <v>0</v>
      </c>
      <c r="L709" s="23">
        <f t="shared" si="271"/>
        <v>0</v>
      </c>
      <c r="M709" s="23">
        <f t="shared" si="271"/>
        <v>0.4507498875</v>
      </c>
      <c r="N709" s="23">
        <f t="shared" si="271"/>
        <v>0.46427238412500005</v>
      </c>
      <c r="O709" s="23">
        <f t="shared" si="271"/>
        <v>0.47820055564875008</v>
      </c>
      <c r="P709" s="23">
        <f t="shared" si="271"/>
        <v>0.49254657231821258</v>
      </c>
      <c r="Q709" s="23">
        <f t="shared" si="271"/>
        <v>0.5073229694877589</v>
      </c>
      <c r="R709" s="23">
        <f t="shared" si="271"/>
        <v>0.52254265857239179</v>
      </c>
      <c r="S709" s="23">
        <f t="shared" si="271"/>
        <v>0.53821893832956347</v>
      </c>
      <c r="T709" s="23">
        <f t="shared" si="271"/>
        <v>0.55436550647945038</v>
      </c>
      <c r="U709" s="23">
        <f t="shared" si="271"/>
        <v>0.57099647167383394</v>
      </c>
      <c r="V709" s="23">
        <f t="shared" si="271"/>
        <v>0.58812636582404898</v>
      </c>
    </row>
    <row r="710" spans="2:22">
      <c r="B710" s="407" t="s">
        <v>393</v>
      </c>
      <c r="F710" s="39">
        <v>0.5</v>
      </c>
      <c r="G710"/>
      <c r="J710" s="23">
        <f>$F710*J$707</f>
        <v>0</v>
      </c>
      <c r="K710" s="23">
        <f t="shared" si="271"/>
        <v>0</v>
      </c>
      <c r="L710" s="23">
        <f t="shared" si="271"/>
        <v>0</v>
      </c>
      <c r="M710" s="23">
        <f t="shared" si="271"/>
        <v>0.4507498875</v>
      </c>
      <c r="N710" s="23">
        <f t="shared" si="271"/>
        <v>0.46427238412500005</v>
      </c>
      <c r="O710" s="23">
        <f t="shared" si="271"/>
        <v>0.47820055564875008</v>
      </c>
      <c r="P710" s="23">
        <f t="shared" si="271"/>
        <v>0.49254657231821258</v>
      </c>
      <c r="Q710" s="23">
        <f t="shared" si="271"/>
        <v>0.5073229694877589</v>
      </c>
      <c r="R710" s="23">
        <f t="shared" si="271"/>
        <v>0.52254265857239179</v>
      </c>
      <c r="S710" s="23">
        <f t="shared" si="271"/>
        <v>0.53821893832956347</v>
      </c>
      <c r="T710" s="23">
        <f t="shared" si="271"/>
        <v>0.55436550647945038</v>
      </c>
      <c r="U710" s="23">
        <f t="shared" si="271"/>
        <v>0.57099647167383394</v>
      </c>
      <c r="V710" s="23">
        <f t="shared" si="271"/>
        <v>0.58812636582404898</v>
      </c>
    </row>
    <row r="711" spans="2:22">
      <c r="B711" s="28" t="s">
        <v>9</v>
      </c>
      <c r="C711" s="28"/>
      <c r="D711" s="28"/>
      <c r="E711" s="28"/>
      <c r="F711" s="28"/>
      <c r="G711" s="28"/>
      <c r="H711" s="28"/>
      <c r="I711" s="48">
        <f>SUM(J711:V711)</f>
        <v>5.167342309959011</v>
      </c>
      <c r="J711" s="28">
        <f>J704*J706/Billion*J700</f>
        <v>0</v>
      </c>
      <c r="K711" s="28">
        <f>K710</f>
        <v>0</v>
      </c>
      <c r="L711" s="28">
        <f t="shared" ref="L711:V711" si="272">L710</f>
        <v>0</v>
      </c>
      <c r="M711" s="28">
        <f t="shared" si="272"/>
        <v>0.4507498875</v>
      </c>
      <c r="N711" s="28">
        <f t="shared" si="272"/>
        <v>0.46427238412500005</v>
      </c>
      <c r="O711" s="28">
        <f t="shared" si="272"/>
        <v>0.47820055564875008</v>
      </c>
      <c r="P711" s="28">
        <f t="shared" si="272"/>
        <v>0.49254657231821258</v>
      </c>
      <c r="Q711" s="28">
        <f t="shared" si="272"/>
        <v>0.5073229694877589</v>
      </c>
      <c r="R711" s="28">
        <f t="shared" si="272"/>
        <v>0.52254265857239179</v>
      </c>
      <c r="S711" s="28">
        <f t="shared" si="272"/>
        <v>0.53821893832956347</v>
      </c>
      <c r="T711" s="28">
        <f t="shared" si="272"/>
        <v>0.55436550647945038</v>
      </c>
      <c r="U711" s="28">
        <f t="shared" si="272"/>
        <v>0.57099647167383394</v>
      </c>
      <c r="V711" s="28">
        <f t="shared" si="272"/>
        <v>0.58812636582404898</v>
      </c>
    </row>
    <row r="712" spans="2:22">
      <c r="G712"/>
      <c r="I712" s="21"/>
      <c r="K712" s="21"/>
      <c r="L712" s="21"/>
      <c r="M712" s="21"/>
      <c r="N712" s="21"/>
    </row>
    <row r="713" spans="2:22">
      <c r="B713" t="s">
        <v>471</v>
      </c>
      <c r="G713"/>
      <c r="I713" s="21"/>
      <c r="J713">
        <f t="shared" ref="J713:V713" si="273">SUM(J704)</f>
        <v>750000</v>
      </c>
      <c r="K713">
        <f t="shared" si="273"/>
        <v>772500</v>
      </c>
      <c r="L713">
        <f t="shared" si="273"/>
        <v>795675</v>
      </c>
      <c r="M713">
        <f t="shared" si="273"/>
        <v>819545.25</v>
      </c>
      <c r="N713">
        <f t="shared" si="273"/>
        <v>844131.60750000016</v>
      </c>
      <c r="O713">
        <f t="shared" si="273"/>
        <v>869455.5557250001</v>
      </c>
      <c r="P713">
        <f t="shared" si="273"/>
        <v>895539.22239675012</v>
      </c>
      <c r="Q713">
        <f t="shared" si="273"/>
        <v>922405.39906865265</v>
      </c>
      <c r="R713">
        <f t="shared" si="273"/>
        <v>950077.56104071229</v>
      </c>
      <c r="S713">
        <f t="shared" si="273"/>
        <v>978579.88787193364</v>
      </c>
      <c r="T713">
        <f t="shared" si="273"/>
        <v>1007937.2845080916</v>
      </c>
      <c r="U713">
        <f t="shared" si="273"/>
        <v>1038175.4030433345</v>
      </c>
      <c r="V713">
        <f t="shared" si="273"/>
        <v>1069320.6651346346</v>
      </c>
    </row>
    <row r="714" spans="2:22">
      <c r="G714"/>
      <c r="I714" s="21"/>
      <c r="K714" s="21"/>
      <c r="L714" s="21"/>
      <c r="M714" s="21"/>
      <c r="N714" s="21"/>
    </row>
    <row r="715" spans="2:22" ht="15.75">
      <c r="B715" s="15" t="s">
        <v>473</v>
      </c>
      <c r="F715" s="39"/>
      <c r="G715"/>
      <c r="I715" s="21"/>
      <c r="J715" s="1">
        <f>$F715*J$453</f>
        <v>0</v>
      </c>
      <c r="K715" s="1">
        <f t="shared" ref="K715:V715" si="274">$F715*K$453</f>
        <v>0</v>
      </c>
      <c r="L715" s="1">
        <f t="shared" si="274"/>
        <v>0</v>
      </c>
      <c r="M715" s="1">
        <f t="shared" si="274"/>
        <v>0</v>
      </c>
      <c r="N715" s="1">
        <f t="shared" si="274"/>
        <v>0</v>
      </c>
      <c r="O715" s="1">
        <f t="shared" si="274"/>
        <v>0</v>
      </c>
      <c r="P715" s="1">
        <f t="shared" si="274"/>
        <v>0</v>
      </c>
      <c r="Q715" s="1">
        <f t="shared" si="274"/>
        <v>0</v>
      </c>
      <c r="R715" s="1">
        <f t="shared" si="274"/>
        <v>0</v>
      </c>
      <c r="S715" s="1">
        <f t="shared" si="274"/>
        <v>0</v>
      </c>
      <c r="T715" s="1">
        <f t="shared" si="274"/>
        <v>0</v>
      </c>
      <c r="U715" s="1">
        <f t="shared" si="274"/>
        <v>0</v>
      </c>
      <c r="V715" s="1">
        <f t="shared" si="274"/>
        <v>0</v>
      </c>
    </row>
    <row r="716" spans="2:22" ht="15.75">
      <c r="B716" s="15" t="s">
        <v>547</v>
      </c>
      <c r="F716" s="39">
        <v>0.2</v>
      </c>
      <c r="G716">
        <f>40000*USD_IDR</f>
        <v>650600000</v>
      </c>
      <c r="I716" s="21"/>
      <c r="J716" s="1">
        <f>$F716*J$711</f>
        <v>0</v>
      </c>
      <c r="K716" s="1">
        <f t="shared" ref="K716:V716" si="275">$F716*K$711</f>
        <v>0</v>
      </c>
      <c r="L716" s="1">
        <f t="shared" si="275"/>
        <v>0</v>
      </c>
      <c r="M716" s="1">
        <f t="shared" si="275"/>
        <v>9.0149977500000006E-2</v>
      </c>
      <c r="N716" s="1">
        <f t="shared" si="275"/>
        <v>9.2854476825000018E-2</v>
      </c>
      <c r="O716" s="1">
        <f t="shared" si="275"/>
        <v>9.5640111129750016E-2</v>
      </c>
      <c r="P716" s="1">
        <f t="shared" si="275"/>
        <v>9.8509314463642528E-2</v>
      </c>
      <c r="Q716" s="1">
        <f t="shared" si="275"/>
        <v>0.10146459389755179</v>
      </c>
      <c r="R716" s="1">
        <f t="shared" si="275"/>
        <v>0.10450853171447837</v>
      </c>
      <c r="S716" s="1">
        <f t="shared" si="275"/>
        <v>0.1076437876659127</v>
      </c>
      <c r="T716" s="1">
        <f t="shared" si="275"/>
        <v>0.11087310129589008</v>
      </c>
      <c r="U716" s="1">
        <f t="shared" si="275"/>
        <v>0.11419929433476679</v>
      </c>
      <c r="V716" s="1">
        <f t="shared" si="275"/>
        <v>0.11762527316480981</v>
      </c>
    </row>
    <row r="717" spans="2:22" ht="15.75">
      <c r="B717" s="15"/>
      <c r="G717"/>
      <c r="I717" s="2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</row>
    <row r="718" spans="2:22">
      <c r="B718" s="2" t="s">
        <v>513</v>
      </c>
      <c r="E718" s="58" t="s">
        <v>514</v>
      </c>
      <c r="F718" s="58" t="s">
        <v>515</v>
      </c>
      <c r="G718"/>
      <c r="I718" s="22"/>
      <c r="J718">
        <f>SUM(J721,J726)</f>
        <v>0</v>
      </c>
      <c r="K718">
        <f t="shared" ref="K718:V718" si="276">SUM(K721,K726)</f>
        <v>0</v>
      </c>
      <c r="L718">
        <f t="shared" si="276"/>
        <v>0</v>
      </c>
      <c r="M718">
        <f t="shared" si="276"/>
        <v>0.13012000000000001</v>
      </c>
      <c r="N718">
        <f t="shared" si="276"/>
        <v>0.13012000000000001</v>
      </c>
      <c r="O718">
        <f t="shared" si="276"/>
        <v>0.13012000000000001</v>
      </c>
      <c r="P718">
        <f t="shared" si="276"/>
        <v>0.13012000000000001</v>
      </c>
      <c r="Q718">
        <f t="shared" si="276"/>
        <v>0.13012000000000001</v>
      </c>
      <c r="R718">
        <f t="shared" si="276"/>
        <v>0.13012000000000001</v>
      </c>
      <c r="S718">
        <f t="shared" si="276"/>
        <v>0.13012000000000001</v>
      </c>
      <c r="T718">
        <f t="shared" si="276"/>
        <v>0.13012000000000001</v>
      </c>
      <c r="U718">
        <f t="shared" si="276"/>
        <v>0.13012000000000001</v>
      </c>
      <c r="V718">
        <f t="shared" si="276"/>
        <v>0.13012000000000001</v>
      </c>
    </row>
    <row r="719" spans="2:22">
      <c r="B719" s="407" t="s">
        <v>516</v>
      </c>
      <c r="E719" s="6">
        <v>5</v>
      </c>
      <c r="F719" s="30">
        <f>40000/Million</f>
        <v>0.04</v>
      </c>
      <c r="G719" s="17" t="s">
        <v>800</v>
      </c>
    </row>
    <row r="720" spans="2:22">
      <c r="B720" s="407" t="s">
        <v>517</v>
      </c>
      <c r="F720" s="74">
        <v>1</v>
      </c>
      <c r="G720" s="17" t="s">
        <v>800</v>
      </c>
    </row>
    <row r="721" spans="2:22">
      <c r="B721" s="28" t="s">
        <v>476</v>
      </c>
      <c r="C721" s="28"/>
      <c r="D721" s="28"/>
      <c r="E721" s="28"/>
      <c r="F721" s="28"/>
      <c r="G721" s="28"/>
      <c r="H721" s="28"/>
      <c r="I721" s="49">
        <f>SUM(J721:V721)</f>
        <v>1.3012000000000001</v>
      </c>
      <c r="J721" s="47">
        <f t="shared" ref="J721:V721" si="277">($F719*$F720*Million)/$E719*USD_IDR/Billion*J$441</f>
        <v>0</v>
      </c>
      <c r="K721" s="47">
        <f t="shared" si="277"/>
        <v>0</v>
      </c>
      <c r="L721" s="47">
        <f t="shared" si="277"/>
        <v>0</v>
      </c>
      <c r="M721" s="47">
        <f t="shared" si="277"/>
        <v>0.13012000000000001</v>
      </c>
      <c r="N721" s="47">
        <f t="shared" si="277"/>
        <v>0.13012000000000001</v>
      </c>
      <c r="O721" s="47">
        <f t="shared" si="277"/>
        <v>0.13012000000000001</v>
      </c>
      <c r="P721" s="47">
        <f t="shared" si="277"/>
        <v>0.13012000000000001</v>
      </c>
      <c r="Q721" s="47">
        <f t="shared" si="277"/>
        <v>0.13012000000000001</v>
      </c>
      <c r="R721" s="47">
        <f t="shared" si="277"/>
        <v>0.13012000000000001</v>
      </c>
      <c r="S721" s="47">
        <f t="shared" si="277"/>
        <v>0.13012000000000001</v>
      </c>
      <c r="T721" s="47">
        <f t="shared" si="277"/>
        <v>0.13012000000000001</v>
      </c>
      <c r="U721" s="47">
        <f t="shared" si="277"/>
        <v>0.13012000000000001</v>
      </c>
      <c r="V721" s="47">
        <f t="shared" si="277"/>
        <v>0.13012000000000001</v>
      </c>
    </row>
    <row r="722" spans="2:22">
      <c r="G722"/>
    </row>
    <row r="723" spans="2:22">
      <c r="B723" s="2" t="s">
        <v>518</v>
      </c>
      <c r="E723" s="58" t="s">
        <v>514</v>
      </c>
      <c r="F723" s="58" t="s">
        <v>515</v>
      </c>
      <c r="G723"/>
      <c r="I723" s="22"/>
    </row>
    <row r="724" spans="2:22">
      <c r="B724" s="407" t="s">
        <v>516</v>
      </c>
      <c r="E724" s="16">
        <v>10</v>
      </c>
      <c r="F724" s="30">
        <f>Input!$J$1264</f>
        <v>3.7622963418383031</v>
      </c>
      <c r="G724" s="17" t="s">
        <v>315</v>
      </c>
    </row>
    <row r="725" spans="2:22">
      <c r="B725" s="407" t="s">
        <v>517</v>
      </c>
      <c r="F725" s="21">
        <f>100%-F720</f>
        <v>0</v>
      </c>
      <c r="G725" s="17" t="s">
        <v>315</v>
      </c>
    </row>
    <row r="726" spans="2:22">
      <c r="B726" s="28" t="s">
        <v>476</v>
      </c>
      <c r="C726" s="28"/>
      <c r="D726" s="28"/>
      <c r="E726" s="28"/>
      <c r="F726" s="28"/>
      <c r="G726" s="28"/>
      <c r="H726" s="28"/>
      <c r="I726" s="49">
        <f>SUM(J726:V726)</f>
        <v>0</v>
      </c>
      <c r="J726" s="47">
        <f t="shared" ref="J726:V726" si="278">($F724*$F725*Million)/$E724*USD_IDR/Billion*J$441</f>
        <v>0</v>
      </c>
      <c r="K726" s="47">
        <f t="shared" si="278"/>
        <v>0</v>
      </c>
      <c r="L726" s="47">
        <f t="shared" si="278"/>
        <v>0</v>
      </c>
      <c r="M726" s="47">
        <f t="shared" si="278"/>
        <v>0</v>
      </c>
      <c r="N726" s="47">
        <f t="shared" si="278"/>
        <v>0</v>
      </c>
      <c r="O726" s="47">
        <f t="shared" si="278"/>
        <v>0</v>
      </c>
      <c r="P726" s="47">
        <f t="shared" si="278"/>
        <v>0</v>
      </c>
      <c r="Q726" s="47">
        <f t="shared" si="278"/>
        <v>0</v>
      </c>
      <c r="R726" s="47">
        <f t="shared" si="278"/>
        <v>0</v>
      </c>
      <c r="S726" s="47">
        <f t="shared" si="278"/>
        <v>0</v>
      </c>
      <c r="T726" s="47">
        <f t="shared" si="278"/>
        <v>0</v>
      </c>
      <c r="U726" s="47">
        <f t="shared" si="278"/>
        <v>0</v>
      </c>
      <c r="V726" s="47">
        <f t="shared" si="278"/>
        <v>0</v>
      </c>
    </row>
    <row r="727" spans="2:22">
      <c r="G727"/>
    </row>
    <row r="728" spans="2:22">
      <c r="G728"/>
    </row>
    <row r="729" spans="2:22" ht="24" thickBot="1">
      <c r="B729" s="14" t="s">
        <v>571</v>
      </c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</row>
    <row r="730" spans="2:22">
      <c r="G730"/>
    </row>
    <row r="731" spans="2:22">
      <c r="B731" t="s">
        <v>37</v>
      </c>
      <c r="F731" s="19">
        <v>2026</v>
      </c>
      <c r="G731"/>
      <c r="J731" s="13">
        <f>IF(J$8&lt;$F731,0,1)*J$12</f>
        <v>0</v>
      </c>
      <c r="K731" s="13">
        <f t="shared" ref="K731:V731" si="279">IF(K$8&lt;$F731,0,1)*K$12</f>
        <v>0</v>
      </c>
      <c r="L731" s="13">
        <f t="shared" si="279"/>
        <v>1</v>
      </c>
      <c r="M731" s="13">
        <f t="shared" si="279"/>
        <v>1</v>
      </c>
      <c r="N731" s="13">
        <f t="shared" si="279"/>
        <v>1</v>
      </c>
      <c r="O731" s="13">
        <f t="shared" si="279"/>
        <v>1</v>
      </c>
      <c r="P731" s="13">
        <f t="shared" si="279"/>
        <v>1</v>
      </c>
      <c r="Q731" s="13">
        <f t="shared" si="279"/>
        <v>1</v>
      </c>
      <c r="R731" s="13">
        <f t="shared" si="279"/>
        <v>1</v>
      </c>
      <c r="S731" s="13">
        <f t="shared" si="279"/>
        <v>1</v>
      </c>
      <c r="T731" s="13">
        <f t="shared" si="279"/>
        <v>1</v>
      </c>
      <c r="U731" s="13">
        <f t="shared" si="279"/>
        <v>1</v>
      </c>
      <c r="V731" s="13">
        <f t="shared" si="279"/>
        <v>1</v>
      </c>
    </row>
    <row r="732" spans="2:22">
      <c r="G732"/>
    </row>
    <row r="733" spans="2:22" ht="15.75">
      <c r="B733" s="15" t="s">
        <v>572</v>
      </c>
      <c r="G733"/>
    </row>
    <row r="734" spans="2:22" ht="15.75">
      <c r="B734" s="41" t="s">
        <v>573</v>
      </c>
      <c r="F734" s="19">
        <v>2023</v>
      </c>
      <c r="G734"/>
      <c r="I734">
        <v>1</v>
      </c>
      <c r="J734" s="70">
        <f>IF(J$8&lt;$F734,0,IF(J$8=$F734,1,I734*(1+Input!K699)*J$12))</f>
        <v>1.05</v>
      </c>
      <c r="K734" s="70">
        <f>IF(K$8&lt;$F734,0,IF(K$8=$F734,1,J734*(1+Input!L699)*K$12))</f>
        <v>1.1025</v>
      </c>
      <c r="L734" s="70">
        <f>IF(L$8&lt;$F734,0,IF(L$8=$F734,1,K734*(1+Input!M699)*L$12))</f>
        <v>1.1576250000000001</v>
      </c>
      <c r="M734" s="70">
        <f>IF(M$8&lt;$F734,0,IF(M$8=$F734,1,L734*(1+Input!N699)*M$12))</f>
        <v>1.2155062500000002</v>
      </c>
      <c r="N734" s="70">
        <f>IF(N$8&lt;$F734,0,IF(N$8=$F734,1,M734*(1+Input!O699)*N$12))</f>
        <v>1.2762815625000004</v>
      </c>
      <c r="O734" s="70">
        <f>IF(O$8&lt;$F734,0,IF(O$8=$F734,1,N734*(1+Input!P699)*O$12))</f>
        <v>1.3400956406250004</v>
      </c>
      <c r="P734" s="70">
        <f>IF(P$8&lt;$F734,0,IF(P$8=$F734,1,O734*(1+Input!Q699)*P$12))</f>
        <v>1.4071004226562505</v>
      </c>
      <c r="Q734" s="70">
        <f>IF(Q$8&lt;$F734,0,IF(Q$8=$F734,1,P734*(1+Input!R699)*Q$12))</f>
        <v>1.477455443789063</v>
      </c>
      <c r="R734" s="70">
        <f>IF(R$8&lt;$F734,0,IF(R$8=$F734,1,Q734*(1+Input!S699)*R$12))</f>
        <v>1.5513282159785162</v>
      </c>
      <c r="S734" s="70">
        <f>IF(S$8&lt;$F734,0,IF(S$8=$F734,1,R734*(1+Input!T699)*S$12))</f>
        <v>1.628894626777442</v>
      </c>
      <c r="T734" s="70">
        <f>IF(T$8&lt;$F734,0,IF(T$8=$F734,1,S734*(1+Input!U699)*T$12))</f>
        <v>1.7103393581163142</v>
      </c>
      <c r="U734" s="70">
        <f>IF(U$8&lt;$F734,0,IF(U$8=$F734,1,T734*(1+Input!V699)*U$12))</f>
        <v>1.7958563260221301</v>
      </c>
      <c r="V734" s="70">
        <f>IF(V$8&lt;$F734,0,IF(V$8=$F734,1,U734*(1+Input!W699)*V$12))</f>
        <v>1.8856491423232367</v>
      </c>
    </row>
    <row r="735" spans="2:22">
      <c r="B735" s="407" t="s">
        <v>407</v>
      </c>
      <c r="F735" s="16">
        <f>Input!J704</f>
        <v>346296.03600000002</v>
      </c>
      <c r="G735" s="17" t="s">
        <v>315</v>
      </c>
      <c r="J735">
        <f>$F735*J734</f>
        <v>363610.83780000004</v>
      </c>
      <c r="K735">
        <f t="shared" ref="K735:V735" si="280">$F735*K734</f>
        <v>381791.37969000003</v>
      </c>
      <c r="L735">
        <f t="shared" si="280"/>
        <v>400880.94867450005</v>
      </c>
      <c r="M735">
        <f t="shared" si="280"/>
        <v>420924.99610822508</v>
      </c>
      <c r="N735">
        <f t="shared" si="280"/>
        <v>441971.24591363641</v>
      </c>
      <c r="O735">
        <f t="shared" si="280"/>
        <v>464069.80820931826</v>
      </c>
      <c r="P735">
        <f t="shared" si="280"/>
        <v>487273.29861978418</v>
      </c>
      <c r="Q735">
        <f t="shared" si="280"/>
        <v>511636.96355077339</v>
      </c>
      <c r="R735">
        <f t="shared" si="280"/>
        <v>537218.81172831205</v>
      </c>
      <c r="S735">
        <f t="shared" si="280"/>
        <v>564079.75231472764</v>
      </c>
      <c r="T735">
        <f t="shared" si="280"/>
        <v>592283.73993046407</v>
      </c>
      <c r="U735">
        <f t="shared" si="280"/>
        <v>621897.92692698736</v>
      </c>
      <c r="V735">
        <f t="shared" si="280"/>
        <v>652992.82327333675</v>
      </c>
    </row>
    <row r="736" spans="2:22">
      <c r="B736" s="407" t="s">
        <v>465</v>
      </c>
      <c r="J736">
        <f>Input!K706</f>
        <v>12328.621061691381</v>
      </c>
      <c r="K736">
        <f>Input!L706</f>
        <v>2575</v>
      </c>
      <c r="L736">
        <f>Input!M706</f>
        <v>2652.25</v>
      </c>
      <c r="M736">
        <f>Input!N706</f>
        <v>2731.8175000000001</v>
      </c>
      <c r="N736">
        <f>Input!O706</f>
        <v>2813.7720250000002</v>
      </c>
      <c r="O736">
        <f>Input!P706</f>
        <v>2898.1851857500001</v>
      </c>
      <c r="P736">
        <f>Input!Q706</f>
        <v>2985.1307413224999</v>
      </c>
      <c r="Q736">
        <f>Input!R706</f>
        <v>3074.684663562175</v>
      </c>
      <c r="R736">
        <f>Input!S706</f>
        <v>3166.9252034690403</v>
      </c>
      <c r="S736">
        <f>Input!T706</f>
        <v>3261.9329595731115</v>
      </c>
      <c r="T736">
        <f>Input!U706</f>
        <v>3261.9329595731115</v>
      </c>
      <c r="U736">
        <f>Input!V706</f>
        <v>3261.9329595731115</v>
      </c>
      <c r="V736">
        <f>Input!W706</f>
        <v>3261.9329595731115</v>
      </c>
    </row>
    <row r="737" spans="2:22">
      <c r="B737" s="28" t="s">
        <v>9</v>
      </c>
      <c r="C737" s="28"/>
      <c r="D737" s="28"/>
      <c r="E737" s="28"/>
      <c r="F737" s="28"/>
      <c r="G737" s="28"/>
      <c r="H737" s="28"/>
      <c r="I737" s="48">
        <f>SUM(J737:V737)</f>
        <v>22.927243342903861</v>
      </c>
      <c r="J737" s="76">
        <f>J735*J736/Billion</f>
        <v>4.4828202331603286</v>
      </c>
      <c r="K737" s="76">
        <f t="shared" ref="K737:V737" si="281">K735*K736/Billion</f>
        <v>0.98311280270175005</v>
      </c>
      <c r="L737" s="76">
        <f t="shared" si="281"/>
        <v>1.0632364961219427</v>
      </c>
      <c r="M737" s="76">
        <f t="shared" si="281"/>
        <v>1.1498902705558813</v>
      </c>
      <c r="N737" s="76">
        <f t="shared" si="281"/>
        <v>1.2436063276061857</v>
      </c>
      <c r="O737" s="76">
        <f t="shared" si="281"/>
        <v>1.3449602433060899</v>
      </c>
      <c r="P737" s="76">
        <f t="shared" si="281"/>
        <v>1.4545745031355362</v>
      </c>
      <c r="Q737" s="76">
        <f t="shared" si="281"/>
        <v>1.5731223251410826</v>
      </c>
      <c r="R737" s="76">
        <f t="shared" si="281"/>
        <v>1.7013317946400808</v>
      </c>
      <c r="S737" s="76">
        <f t="shared" si="281"/>
        <v>1.839990335903247</v>
      </c>
      <c r="T737" s="76">
        <f t="shared" si="281"/>
        <v>1.9319898526984098</v>
      </c>
      <c r="U737" s="76">
        <f t="shared" si="281"/>
        <v>2.0285893453333306</v>
      </c>
      <c r="V737" s="76">
        <f t="shared" si="281"/>
        <v>2.1300188125999973</v>
      </c>
    </row>
    <row r="738" spans="2:22">
      <c r="G738"/>
      <c r="I738" s="21"/>
      <c r="K738" s="21"/>
      <c r="L738" s="21"/>
      <c r="M738" s="21"/>
      <c r="N738" s="21"/>
    </row>
    <row r="739" spans="2:22" ht="15.75">
      <c r="B739" s="41" t="s">
        <v>574</v>
      </c>
      <c r="F739" s="19">
        <v>2023</v>
      </c>
      <c r="G739"/>
      <c r="I739">
        <v>1</v>
      </c>
      <c r="J739" s="70">
        <f>IF(J$8&lt;$F739,0,IF(J$8=$F739,1,I739*(1+Input!K712)*J$12))</f>
        <v>1.05</v>
      </c>
      <c r="K739" s="70">
        <f>IF(K$8&lt;$F739,0,IF(K$8=$F739,1,J739*(1+Input!L712)*K$12))</f>
        <v>1.1025</v>
      </c>
      <c r="L739" s="70">
        <f>IF(L$8&lt;$F739,0,IF(L$8=$F739,1,K739*(1+Input!M712)*L$12))</f>
        <v>1.1576250000000001</v>
      </c>
      <c r="M739" s="70">
        <f>IF(M$8&lt;$F739,0,IF(M$8=$F739,1,L739*(1+Input!N712)*M$12))</f>
        <v>1.2155062500000002</v>
      </c>
      <c r="N739" s="70">
        <f>IF(N$8&lt;$F739,0,IF(N$8=$F739,1,M739*(1+Input!O712)*N$12))</f>
        <v>1.2762815625000004</v>
      </c>
      <c r="O739" s="70">
        <f>IF(O$8&lt;$F739,0,IF(O$8=$F739,1,N739*(1+Input!P712)*O$12))</f>
        <v>1.3400956406250004</v>
      </c>
      <c r="P739" s="70">
        <f>IF(P$8&lt;$F739,0,IF(P$8=$F739,1,O739*(1+Input!Q712)*P$12))</f>
        <v>1.4071004226562505</v>
      </c>
      <c r="Q739" s="70">
        <f>IF(Q$8&lt;$F739,0,IF(Q$8=$F739,1,P739*(1+Input!R712)*Q$12))</f>
        <v>1.477455443789063</v>
      </c>
      <c r="R739" s="70">
        <f>IF(R$8&lt;$F739,0,IF(R$8=$F739,1,Q739*(1+Input!S712)*R$12))</f>
        <v>1.5513282159785162</v>
      </c>
      <c r="S739" s="70">
        <f>IF(S$8&lt;$F739,0,IF(S$8=$F739,1,R739*(1+Input!T712)*S$12))</f>
        <v>1.628894626777442</v>
      </c>
      <c r="T739" s="70">
        <f>IF(T$8&lt;$F739,0,IF(T$8=$F739,1,S739*(1+Input!U712)*T$12))</f>
        <v>1.7103393581163142</v>
      </c>
      <c r="U739" s="70">
        <f>IF(U$8&lt;$F739,0,IF(U$8=$F739,1,T739*(1+Input!V712)*U$12))</f>
        <v>1.7958563260221301</v>
      </c>
      <c r="V739" s="70">
        <f>IF(V$8&lt;$F739,0,IF(V$8=$F739,1,U739*(1+Input!W712)*V$12))</f>
        <v>1.8856491423232367</v>
      </c>
    </row>
    <row r="740" spans="2:22">
      <c r="B740" s="407" t="s">
        <v>407</v>
      </c>
      <c r="F740" s="16">
        <f>Input!J717</f>
        <v>225199.88000000003</v>
      </c>
      <c r="G740" s="17" t="s">
        <v>315</v>
      </c>
      <c r="J740">
        <f t="shared" ref="J740:V740" si="282">$F740*J739</f>
        <v>236459.87400000004</v>
      </c>
      <c r="K740">
        <f t="shared" si="282"/>
        <v>248282.86770000003</v>
      </c>
      <c r="L740">
        <f t="shared" si="282"/>
        <v>260697.01108500006</v>
      </c>
      <c r="M740">
        <f t="shared" si="282"/>
        <v>273731.86163925007</v>
      </c>
      <c r="N740">
        <f t="shared" si="282"/>
        <v>287418.45472121262</v>
      </c>
      <c r="O740">
        <f t="shared" si="282"/>
        <v>301789.37745727325</v>
      </c>
      <c r="P740">
        <f t="shared" si="282"/>
        <v>316878.84633013693</v>
      </c>
      <c r="Q740">
        <f t="shared" si="282"/>
        <v>332722.78864664381</v>
      </c>
      <c r="R740">
        <f t="shared" si="282"/>
        <v>349358.92807897599</v>
      </c>
      <c r="S740">
        <f t="shared" si="282"/>
        <v>366826.87448292476</v>
      </c>
      <c r="T740">
        <f t="shared" si="282"/>
        <v>385168.21820707107</v>
      </c>
      <c r="U740">
        <f t="shared" si="282"/>
        <v>404426.62911742466</v>
      </c>
      <c r="V740">
        <f t="shared" si="282"/>
        <v>424647.96057329589</v>
      </c>
    </row>
    <row r="741" spans="2:22">
      <c r="B741" s="407" t="s">
        <v>465</v>
      </c>
      <c r="J741">
        <f>Input!K719</f>
        <v>57137.3691142518</v>
      </c>
      <c r="K741">
        <f>Input!L719</f>
        <v>3605</v>
      </c>
      <c r="L741">
        <f>Input!M719</f>
        <v>3713.15</v>
      </c>
      <c r="M741">
        <f>Input!N719</f>
        <v>3824.5445</v>
      </c>
      <c r="N741">
        <f>Input!O719</f>
        <v>3939.280835</v>
      </c>
      <c r="O741">
        <f>Input!P719</f>
        <v>4057.45926005</v>
      </c>
      <c r="P741">
        <f>Input!Q719</f>
        <v>4179.1830378514996</v>
      </c>
      <c r="Q741">
        <f>Input!R719</f>
        <v>4304.5585289870451</v>
      </c>
      <c r="R741">
        <f>Input!S719</f>
        <v>4433.6952848566561</v>
      </c>
      <c r="S741">
        <f>Input!T719</f>
        <v>4566.7061434023562</v>
      </c>
      <c r="T741">
        <f>Input!U719</f>
        <v>4566.7061434023562</v>
      </c>
      <c r="U741">
        <f>Input!V719</f>
        <v>4566.7061434023562</v>
      </c>
      <c r="V741">
        <f>Input!W719</f>
        <v>4566.7061434023562</v>
      </c>
    </row>
    <row r="742" spans="2:22">
      <c r="B742" s="28" t="s">
        <v>9</v>
      </c>
      <c r="C742" s="28"/>
      <c r="D742" s="28"/>
      <c r="E742" s="28"/>
      <c r="F742" s="28"/>
      <c r="G742" s="28"/>
      <c r="H742" s="28"/>
      <c r="I742" s="48">
        <f>SUM(J742:V742)</f>
        <v>30.303132827696405</v>
      </c>
      <c r="J742" s="76">
        <f>J740*J741/Billion</f>
        <v>13.510695101447476</v>
      </c>
      <c r="K742" s="76">
        <f t="shared" ref="K742:V742" si="283">K740*K741/Billion</f>
        <v>0.89505973805850014</v>
      </c>
      <c r="L742" s="76">
        <f t="shared" si="283"/>
        <v>0.96800710671026802</v>
      </c>
      <c r="M742" s="76">
        <f t="shared" si="283"/>
        <v>1.0468996859071549</v>
      </c>
      <c r="N742" s="76">
        <f t="shared" si="283"/>
        <v>1.1322220103085883</v>
      </c>
      <c r="O742" s="76">
        <f t="shared" si="283"/>
        <v>1.2244981041487382</v>
      </c>
      <c r="P742" s="76">
        <f t="shared" si="283"/>
        <v>1.3242946996368601</v>
      </c>
      <c r="Q742" s="76">
        <f t="shared" si="283"/>
        <v>1.4322247176572644</v>
      </c>
      <c r="R742" s="76">
        <f t="shared" si="283"/>
        <v>1.5489510321463316</v>
      </c>
      <c r="S742" s="76">
        <f t="shared" si="283"/>
        <v>1.6751905412662575</v>
      </c>
      <c r="T742" s="76">
        <f t="shared" si="283"/>
        <v>1.7589500683295707</v>
      </c>
      <c r="U742" s="76">
        <f t="shared" si="283"/>
        <v>1.8468975717460494</v>
      </c>
      <c r="V742" s="76">
        <f t="shared" si="283"/>
        <v>1.9392424503333519</v>
      </c>
    </row>
    <row r="743" spans="2:22">
      <c r="G743"/>
      <c r="I743" s="21"/>
      <c r="K743" s="21"/>
      <c r="L743" s="21"/>
      <c r="M743" s="21"/>
      <c r="N743" s="21"/>
    </row>
    <row r="744" spans="2:22" ht="15.75">
      <c r="B744" s="41" t="s">
        <v>575</v>
      </c>
      <c r="F744" s="19">
        <v>2023</v>
      </c>
      <c r="G744"/>
      <c r="I744">
        <v>1</v>
      </c>
      <c r="J744" s="70">
        <f>IF(J$8&lt;$F744,0,IF(J$8=$F744,1,I744*(1+Input!K725)*J$12))</f>
        <v>1.05</v>
      </c>
      <c r="K744" s="70">
        <f>IF(K$8&lt;$F744,0,IF(K$8=$F744,1,J744*(1+Input!L725)*K$12))</f>
        <v>1.1025</v>
      </c>
      <c r="L744" s="70">
        <f>IF(L$8&lt;$F744,0,IF(L$8=$F744,1,K744*(1+Input!M725)*L$12))</f>
        <v>1.1576250000000001</v>
      </c>
      <c r="M744" s="70">
        <f>IF(M$8&lt;$F744,0,IF(M$8=$F744,1,L744*(1+Input!N725)*M$12))</f>
        <v>1.2155062500000002</v>
      </c>
      <c r="N744" s="70">
        <f>IF(N$8&lt;$F744,0,IF(N$8=$F744,1,M744*(1+Input!O725)*N$12))</f>
        <v>1.2762815625000004</v>
      </c>
      <c r="O744" s="70">
        <f>IF(O$8&lt;$F744,0,IF(O$8=$F744,1,N744*(1+Input!P725)*O$12))</f>
        <v>1.3400956406250004</v>
      </c>
      <c r="P744" s="70">
        <f>IF(P$8&lt;$F744,0,IF(P$8=$F744,1,O744*(1+Input!Q725)*P$12))</f>
        <v>1.4071004226562505</v>
      </c>
      <c r="Q744" s="70">
        <f>IF(Q$8&lt;$F744,0,IF(Q$8=$F744,1,P744*(1+Input!R725)*Q$12))</f>
        <v>1.477455443789063</v>
      </c>
      <c r="R744" s="70">
        <f>IF(R$8&lt;$F744,0,IF(R$8=$F744,1,Q744*(1+Input!S725)*R$12))</f>
        <v>1.5513282159785162</v>
      </c>
      <c r="S744" s="70">
        <f>IF(S$8&lt;$F744,0,IF(S$8=$F744,1,R744*(1+Input!T725)*S$12))</f>
        <v>1.628894626777442</v>
      </c>
      <c r="T744" s="70">
        <f>IF(T$8&lt;$F744,0,IF(T$8=$F744,1,S744*(1+Input!U725)*T$12))</f>
        <v>1.7103393581163142</v>
      </c>
      <c r="U744" s="70">
        <f>IF(U$8&lt;$F744,0,IF(U$8=$F744,1,T744*(1+Input!V725)*U$12))</f>
        <v>1.7958563260221301</v>
      </c>
      <c r="V744" s="70">
        <f>IF(V$8&lt;$F744,0,IF(V$8=$F744,1,U744*(1+Input!W725)*V$12))</f>
        <v>1.8856491423232367</v>
      </c>
    </row>
    <row r="745" spans="2:22">
      <c r="B745" s="407" t="s">
        <v>407</v>
      </c>
      <c r="F745" s="16">
        <f>Input!J730</f>
        <v>295847.011</v>
      </c>
      <c r="G745" s="17" t="s">
        <v>315</v>
      </c>
      <c r="J745">
        <f t="shared" ref="J745:V745" si="284">$F745*J744</f>
        <v>310639.36155000003</v>
      </c>
      <c r="K745">
        <f t="shared" si="284"/>
        <v>326171.32962750003</v>
      </c>
      <c r="L745">
        <f t="shared" si="284"/>
        <v>342479.89610887505</v>
      </c>
      <c r="M745">
        <f t="shared" si="284"/>
        <v>359603.89091431879</v>
      </c>
      <c r="N745">
        <f t="shared" si="284"/>
        <v>377584.08546003478</v>
      </c>
      <c r="O745">
        <f t="shared" si="284"/>
        <v>396463.28973303654</v>
      </c>
      <c r="P745">
        <f t="shared" si="284"/>
        <v>416286.45421968837</v>
      </c>
      <c r="Q745">
        <f t="shared" si="284"/>
        <v>437100.77693067282</v>
      </c>
      <c r="R745">
        <f t="shared" si="284"/>
        <v>458955.81577720644</v>
      </c>
      <c r="S745">
        <f t="shared" si="284"/>
        <v>481903.6065660668</v>
      </c>
      <c r="T745">
        <f t="shared" si="284"/>
        <v>505998.78689437016</v>
      </c>
      <c r="U745">
        <f t="shared" si="284"/>
        <v>531298.72623908869</v>
      </c>
      <c r="V745">
        <f t="shared" si="284"/>
        <v>557863.66255104321</v>
      </c>
    </row>
    <row r="746" spans="2:22">
      <c r="B746" s="407" t="s">
        <v>465</v>
      </c>
      <c r="J746">
        <f>Input!K732</f>
        <v>4495.8039581760495</v>
      </c>
      <c r="K746">
        <f>Input!L732</f>
        <v>2575</v>
      </c>
      <c r="L746">
        <f>Input!M732</f>
        <v>2652.25</v>
      </c>
      <c r="M746">
        <f>Input!N732</f>
        <v>2731.8175000000001</v>
      </c>
      <c r="N746">
        <f>Input!O732</f>
        <v>2813.7720250000002</v>
      </c>
      <c r="O746">
        <f>Input!P732</f>
        <v>2898.1851857500001</v>
      </c>
      <c r="P746">
        <f>Input!Q732</f>
        <v>2985.1307413224999</v>
      </c>
      <c r="Q746">
        <f>Input!R732</f>
        <v>3074.684663562175</v>
      </c>
      <c r="R746">
        <f>Input!S732</f>
        <v>3166.9252034690403</v>
      </c>
      <c r="S746">
        <f>Input!T732</f>
        <v>3261.9329595731115</v>
      </c>
      <c r="T746">
        <f>Input!U732</f>
        <v>3261.9329595731115</v>
      </c>
      <c r="U746">
        <f>Input!V732</f>
        <v>3261.9329595731115</v>
      </c>
      <c r="V746">
        <f>Input!W732</f>
        <v>3261.9329595731115</v>
      </c>
    </row>
    <row r="747" spans="2:22">
      <c r="B747" s="28" t="s">
        <v>9</v>
      </c>
      <c r="C747" s="28"/>
      <c r="D747" s="28"/>
      <c r="E747" s="28"/>
      <c r="F747" s="28"/>
      <c r="G747" s="28"/>
      <c r="H747" s="28"/>
      <c r="I747" s="48">
        <f>SUM(J747:V747)</f>
        <v>17.15398028108822</v>
      </c>
      <c r="J747" s="78">
        <f>J745*J746/Billion</f>
        <v>1.3965736712217709</v>
      </c>
      <c r="K747" s="76">
        <f t="shared" ref="K747:V747" si="285">K745*K746/Billion</f>
        <v>0.83989117379081257</v>
      </c>
      <c r="L747" s="76">
        <f t="shared" si="285"/>
        <v>0.90834230445476394</v>
      </c>
      <c r="M747" s="76">
        <f t="shared" si="285"/>
        <v>0.98237220226782718</v>
      </c>
      <c r="N747" s="76">
        <f t="shared" si="285"/>
        <v>1.0624355367526552</v>
      </c>
      <c r="O747" s="76">
        <f t="shared" si="285"/>
        <v>1.1490240329979966</v>
      </c>
      <c r="P747" s="76">
        <f t="shared" si="285"/>
        <v>1.2426694916873333</v>
      </c>
      <c r="Q747" s="76">
        <f t="shared" si="285"/>
        <v>1.3439470552598509</v>
      </c>
      <c r="R747" s="76">
        <f t="shared" si="285"/>
        <v>1.4534787402635287</v>
      </c>
      <c r="S747" s="76">
        <f t="shared" si="285"/>
        <v>1.5719372575950066</v>
      </c>
      <c r="T747" s="76">
        <f t="shared" si="285"/>
        <v>1.650534120474757</v>
      </c>
      <c r="U747" s="76">
        <f t="shared" si="285"/>
        <v>1.7330608264984948</v>
      </c>
      <c r="V747" s="76">
        <f t="shared" si="285"/>
        <v>1.8197138678234197</v>
      </c>
    </row>
    <row r="748" spans="2:22">
      <c r="G748"/>
      <c r="I748" s="21"/>
      <c r="K748" s="21"/>
      <c r="L748" s="21"/>
      <c r="M748" s="21"/>
      <c r="N748" s="21"/>
    </row>
    <row r="749" spans="2:22" ht="15.75">
      <c r="B749" s="41" t="s">
        <v>576</v>
      </c>
      <c r="F749" s="19">
        <v>2023</v>
      </c>
      <c r="G749"/>
      <c r="I749">
        <v>1</v>
      </c>
      <c r="J749" s="70">
        <f>IF(J$8&lt;$F749,0,IF(J$8=$F749,1,I749*(1+Input!K738)*J$12))</f>
        <v>1.05</v>
      </c>
      <c r="K749" s="70">
        <f>IF(K$8&lt;$F749,0,IF(K$8=$F749,1,J749*(1+Input!L738)*K$12))</f>
        <v>1.1025</v>
      </c>
      <c r="L749" s="70">
        <f>IF(L$8&lt;$F749,0,IF(L$8=$F749,1,K749*(1+Input!M738)*L$12))</f>
        <v>1.1576250000000001</v>
      </c>
      <c r="M749" s="70">
        <f>IF(M$8&lt;$F749,0,IF(M$8=$F749,1,L749*(1+Input!N738)*M$12))</f>
        <v>1.2155062500000002</v>
      </c>
      <c r="N749" s="70">
        <f>IF(N$8&lt;$F749,0,IF(N$8=$F749,1,M749*(1+Input!O738)*N$12))</f>
        <v>1.2762815625000004</v>
      </c>
      <c r="O749" s="70">
        <f>IF(O$8&lt;$F749,0,IF(O$8=$F749,1,N749*(1+Input!P738)*O$12))</f>
        <v>1.3400956406250004</v>
      </c>
      <c r="P749" s="70">
        <f>IF(P$8&lt;$F749,0,IF(P$8=$F749,1,O749*(1+Input!Q738)*P$12))</f>
        <v>1.4071004226562505</v>
      </c>
      <c r="Q749" s="70">
        <f>IF(Q$8&lt;$F749,0,IF(Q$8=$F749,1,P749*(1+Input!R738)*Q$12))</f>
        <v>1.477455443789063</v>
      </c>
      <c r="R749" s="70">
        <f>IF(R$8&lt;$F749,0,IF(R$8=$F749,1,Q749*(1+Input!S738)*R$12))</f>
        <v>1.5513282159785162</v>
      </c>
      <c r="S749" s="70">
        <f>IF(S$8&lt;$F749,0,IF(S$8=$F749,1,R749*(1+Input!T738)*S$12))</f>
        <v>1.628894626777442</v>
      </c>
      <c r="T749" s="70">
        <f>IF(T$8&lt;$F749,0,IF(T$8=$F749,1,S749*(1+Input!U738)*T$12))</f>
        <v>1.7103393581163142</v>
      </c>
      <c r="U749" s="70">
        <f>IF(U$8&lt;$F749,0,IF(U$8=$F749,1,T749*(1+Input!V738)*U$12))</f>
        <v>1.7958563260221301</v>
      </c>
      <c r="V749" s="70">
        <f>IF(V$8&lt;$F749,0,IF(V$8=$F749,1,U749*(1+Input!W738)*V$12))</f>
        <v>1.8856491423232367</v>
      </c>
    </row>
    <row r="750" spans="2:22">
      <c r="B750" s="407" t="s">
        <v>407</v>
      </c>
      <c r="F750" s="16">
        <f>Input!J743</f>
        <v>336474.04000000004</v>
      </c>
      <c r="G750" s="17" t="s">
        <v>315</v>
      </c>
      <c r="J750">
        <f t="shared" ref="J750:V750" si="286">$F750*J749</f>
        <v>353297.74200000003</v>
      </c>
      <c r="K750">
        <f t="shared" si="286"/>
        <v>370962.62910000008</v>
      </c>
      <c r="L750">
        <f t="shared" si="286"/>
        <v>389510.7605550001</v>
      </c>
      <c r="M750">
        <f t="shared" si="286"/>
        <v>408986.29858275014</v>
      </c>
      <c r="N750">
        <f t="shared" si="286"/>
        <v>429435.61351188767</v>
      </c>
      <c r="O750">
        <f t="shared" si="286"/>
        <v>450907.39418748207</v>
      </c>
      <c r="P750">
        <f t="shared" si="286"/>
        <v>473452.76389685617</v>
      </c>
      <c r="Q750">
        <f t="shared" si="286"/>
        <v>497125.40209169901</v>
      </c>
      <c r="R750">
        <f t="shared" si="286"/>
        <v>521981.67219628394</v>
      </c>
      <c r="S750">
        <f t="shared" si="286"/>
        <v>548080.75580609811</v>
      </c>
      <c r="T750">
        <f t="shared" si="286"/>
        <v>575484.79359640309</v>
      </c>
      <c r="U750">
        <f t="shared" si="286"/>
        <v>604259.03327622334</v>
      </c>
      <c r="V750">
        <f t="shared" si="286"/>
        <v>634471.98494003445</v>
      </c>
    </row>
    <row r="751" spans="2:22">
      <c r="B751" s="407" t="s">
        <v>465</v>
      </c>
      <c r="J751">
        <f>Input!K745</f>
        <v>34880</v>
      </c>
      <c r="K751">
        <f>Input!L745</f>
        <v>35926.400000000001</v>
      </c>
      <c r="L751">
        <f>Input!M745</f>
        <v>2652.25</v>
      </c>
      <c r="M751">
        <f>Input!N745</f>
        <v>2731.8175000000001</v>
      </c>
      <c r="N751">
        <f>Input!O745</f>
        <v>2813.7720250000002</v>
      </c>
      <c r="O751">
        <f>Input!P745</f>
        <v>2898.1851857500001</v>
      </c>
      <c r="P751">
        <f>Input!Q745</f>
        <v>2985.1307413224999</v>
      </c>
      <c r="Q751">
        <f>Input!R745</f>
        <v>3074.684663562175</v>
      </c>
      <c r="R751">
        <f>Input!S745</f>
        <v>3166.9252034690403</v>
      </c>
      <c r="S751">
        <f>Input!T745</f>
        <v>3261.9329595731115</v>
      </c>
      <c r="T751">
        <f>Input!U745</f>
        <v>3261.9329595731115</v>
      </c>
      <c r="U751">
        <f>Input!V745</f>
        <v>3261.9329595731115</v>
      </c>
      <c r="V751">
        <f>Input!W745</f>
        <v>3261.9329595731115</v>
      </c>
    </row>
    <row r="752" spans="2:22">
      <c r="B752" s="28" t="s">
        <v>9</v>
      </c>
      <c r="C752" s="28"/>
      <c r="D752" s="28"/>
      <c r="E752" s="28"/>
      <c r="F752" s="28"/>
      <c r="G752" s="28"/>
      <c r="H752" s="28"/>
      <c r="I752" s="48">
        <f>SUM(J752:V752)</f>
        <v>42.616432124667114</v>
      </c>
      <c r="J752" s="76">
        <f>J750*J751/Billion</f>
        <v>12.323025240960002</v>
      </c>
      <c r="K752" s="76">
        <f t="shared" ref="K752:V752" si="287">K750*K751/Billion</f>
        <v>13.327351798098244</v>
      </c>
      <c r="L752" s="76">
        <f t="shared" si="287"/>
        <v>1.0330799146819989</v>
      </c>
      <c r="M752" s="76">
        <f t="shared" si="287"/>
        <v>1.1172759277285822</v>
      </c>
      <c r="N752" s="76">
        <f t="shared" si="287"/>
        <v>1.2083339158384616</v>
      </c>
      <c r="O752" s="76">
        <f t="shared" si="287"/>
        <v>1.3068131299792962</v>
      </c>
      <c r="P752" s="76">
        <f t="shared" si="287"/>
        <v>1.4133184000726087</v>
      </c>
      <c r="Q752" s="76">
        <f t="shared" si="287"/>
        <v>1.5285038496785266</v>
      </c>
      <c r="R752" s="76">
        <f t="shared" si="287"/>
        <v>1.6530769134273264</v>
      </c>
      <c r="S752" s="76">
        <f t="shared" si="287"/>
        <v>1.7878026818716533</v>
      </c>
      <c r="T752" s="76">
        <f t="shared" si="287"/>
        <v>1.8771928159652365</v>
      </c>
      <c r="U752" s="76">
        <f t="shared" si="287"/>
        <v>1.9710524567634986</v>
      </c>
      <c r="V752" s="76">
        <f t="shared" si="287"/>
        <v>2.0696050796016729</v>
      </c>
    </row>
    <row r="753" spans="2:22">
      <c r="G753"/>
      <c r="I753" s="21"/>
      <c r="K753" s="21"/>
      <c r="L753" s="21"/>
      <c r="M753" s="21"/>
      <c r="N753" s="21"/>
    </row>
    <row r="754" spans="2:22" ht="15.75">
      <c r="B754" s="41" t="s">
        <v>577</v>
      </c>
      <c r="F754" s="19">
        <v>2023</v>
      </c>
      <c r="G754"/>
      <c r="I754">
        <v>1</v>
      </c>
      <c r="J754" s="70">
        <f>IF(J$8&lt;$F754,0,IF(J$8=$F754,1,I754*(1+Input!K751)*J$12))</f>
        <v>1.05</v>
      </c>
      <c r="K754" s="70">
        <f>IF(K$8&lt;$F754,0,IF(K$8=$F754,1,J754*(1+Input!L751)*K$12))</f>
        <v>1.1025</v>
      </c>
      <c r="L754" s="70">
        <f>IF(L$8&lt;$F754,0,IF(L$8=$F754,1,K754*(1+Input!M751)*L$12))</f>
        <v>1.1576250000000001</v>
      </c>
      <c r="M754" s="70">
        <f>IF(M$8&lt;$F754,0,IF(M$8=$F754,1,L754*(1+Input!N751)*M$12))</f>
        <v>1.2155062500000002</v>
      </c>
      <c r="N754" s="70">
        <f>IF(N$8&lt;$F754,0,IF(N$8=$F754,1,M754*(1+Input!O751)*N$12))</f>
        <v>1.2762815625000004</v>
      </c>
      <c r="O754" s="70">
        <f>IF(O$8&lt;$F754,0,IF(O$8=$F754,1,N754*(1+Input!P751)*O$12))</f>
        <v>1.3400956406250004</v>
      </c>
      <c r="P754" s="70">
        <f>IF(P$8&lt;$F754,0,IF(P$8=$F754,1,O754*(1+Input!Q751)*P$12))</f>
        <v>1.4071004226562505</v>
      </c>
      <c r="Q754" s="70">
        <f>IF(Q$8&lt;$F754,0,IF(Q$8=$F754,1,P754*(1+Input!R751)*Q$12))</f>
        <v>1.477455443789063</v>
      </c>
      <c r="R754" s="70">
        <f>IF(R$8&lt;$F754,0,IF(R$8=$F754,1,Q754*(1+Input!S751)*R$12))</f>
        <v>1.5513282159785162</v>
      </c>
      <c r="S754" s="70">
        <f>IF(S$8&lt;$F754,0,IF(S$8=$F754,1,R754*(1+Input!T751)*S$12))</f>
        <v>1.628894626777442</v>
      </c>
      <c r="T754" s="70">
        <f>IF(T$8&lt;$F754,0,IF(T$8=$F754,1,S754*(1+Input!U751)*T$12))</f>
        <v>1.7103393581163142</v>
      </c>
      <c r="U754" s="70">
        <f>IF(U$8&lt;$F754,0,IF(U$8=$F754,1,T754*(1+Input!V751)*U$12))</f>
        <v>1.7958563260221301</v>
      </c>
      <c r="V754" s="70">
        <f>IF(V$8&lt;$F754,0,IF(V$8=$F754,1,U754*(1+Input!W751)*V$12))</f>
        <v>1.8856491423232367</v>
      </c>
    </row>
    <row r="755" spans="2:22">
      <c r="B755" s="407" t="s">
        <v>407</v>
      </c>
      <c r="F755" s="16">
        <f>Input!J756</f>
        <v>923727.06</v>
      </c>
      <c r="G755" s="17" t="s">
        <v>315</v>
      </c>
      <c r="J755">
        <f t="shared" ref="J755:V755" si="288">$F755*J754</f>
        <v>969913.41300000006</v>
      </c>
      <c r="K755">
        <f t="shared" si="288"/>
        <v>1018409.08365</v>
      </c>
      <c r="L755">
        <f t="shared" si="288"/>
        <v>1069329.5378325002</v>
      </c>
      <c r="M755">
        <f t="shared" si="288"/>
        <v>1122796.0147241254</v>
      </c>
      <c r="N755">
        <f t="shared" si="288"/>
        <v>1178935.8154603317</v>
      </c>
      <c r="O755">
        <f t="shared" si="288"/>
        <v>1237882.6062333484</v>
      </c>
      <c r="P755">
        <f t="shared" si="288"/>
        <v>1299776.7365450156</v>
      </c>
      <c r="Q755">
        <f t="shared" si="288"/>
        <v>1364765.5733722665</v>
      </c>
      <c r="R755">
        <f t="shared" si="288"/>
        <v>1433003.8520408799</v>
      </c>
      <c r="S755">
        <f t="shared" si="288"/>
        <v>1504654.0446429239</v>
      </c>
      <c r="T755">
        <f t="shared" si="288"/>
        <v>1579886.7468750703</v>
      </c>
      <c r="U755">
        <f t="shared" si="288"/>
        <v>1658881.0842188238</v>
      </c>
      <c r="V755">
        <f t="shared" si="288"/>
        <v>1741825.1384297651</v>
      </c>
    </row>
    <row r="756" spans="2:22">
      <c r="B756" s="407" t="s">
        <v>465</v>
      </c>
      <c r="J756">
        <f>Input!K758</f>
        <v>13346.475053638678</v>
      </c>
      <c r="K756">
        <f>Input!L758</f>
        <v>2606.9300000000003</v>
      </c>
      <c r="L756">
        <f>Input!M758</f>
        <v>2685.1379000000002</v>
      </c>
      <c r="M756">
        <f>Input!N758</f>
        <v>2765.6920370000003</v>
      </c>
      <c r="N756">
        <f>Input!O758</f>
        <v>2848.66279811</v>
      </c>
      <c r="O756">
        <f>Input!P758</f>
        <v>2934.1226820533002</v>
      </c>
      <c r="P756">
        <f>Input!Q758</f>
        <v>3022.146362514899</v>
      </c>
      <c r="Q756">
        <f>Input!R758</f>
        <v>3112.8107533903458</v>
      </c>
      <c r="R756">
        <f>Input!S758</f>
        <v>3206.195075992056</v>
      </c>
      <c r="S756">
        <f>Input!T758</f>
        <v>3302.3809282718175</v>
      </c>
      <c r="T756">
        <f>Input!U758</f>
        <v>3302.3809282718175</v>
      </c>
      <c r="U756">
        <f>Input!V758</f>
        <v>3302.3809282718175</v>
      </c>
      <c r="V756">
        <f>Input!W758</f>
        <v>3302.3809282718175</v>
      </c>
    </row>
    <row r="757" spans="2:22">
      <c r="B757" s="28" t="s">
        <v>9</v>
      </c>
      <c r="C757" s="28"/>
      <c r="D757" s="28"/>
      <c r="E757" s="28"/>
      <c r="F757" s="28"/>
      <c r="G757" s="28"/>
      <c r="H757" s="28"/>
      <c r="I757" s="48">
        <f>SUM(J757:V757)</f>
        <v>62.754560099572693</v>
      </c>
      <c r="J757" s="78">
        <f>J755*J756/Billion</f>
        <v>12.944925170794049</v>
      </c>
      <c r="K757" s="76">
        <f t="shared" ref="K757:V757" si="289">K755*K756/Billion</f>
        <v>2.6549211924396947</v>
      </c>
      <c r="L757" s="76">
        <f t="shared" si="289"/>
        <v>2.8712972696235304</v>
      </c>
      <c r="M757" s="76">
        <f t="shared" si="289"/>
        <v>3.1053079970978485</v>
      </c>
      <c r="N757" s="76">
        <f t="shared" si="289"/>
        <v>3.3583905988613232</v>
      </c>
      <c r="O757" s="76">
        <f t="shared" si="289"/>
        <v>3.6320994326685212</v>
      </c>
      <c r="P757" s="76">
        <f t="shared" si="289"/>
        <v>3.928115536431005</v>
      </c>
      <c r="Q757" s="76">
        <f t="shared" si="289"/>
        <v>4.2482569526501326</v>
      </c>
      <c r="R757" s="76">
        <f t="shared" si="289"/>
        <v>4.5944898942911179</v>
      </c>
      <c r="S757" s="76">
        <f t="shared" si="289"/>
        <v>4.9689408206758436</v>
      </c>
      <c r="T757" s="76">
        <f t="shared" si="289"/>
        <v>5.2173878617096365</v>
      </c>
      <c r="U757" s="76">
        <f t="shared" si="289"/>
        <v>5.4782572547951185</v>
      </c>
      <c r="V757" s="76">
        <f t="shared" si="289"/>
        <v>5.7521701175348747</v>
      </c>
    </row>
    <row r="758" spans="2:22">
      <c r="G758"/>
      <c r="I758" s="21"/>
      <c r="K758" s="21"/>
      <c r="L758" s="21"/>
      <c r="M758" s="21"/>
      <c r="N758" s="21"/>
    </row>
    <row r="759" spans="2:22">
      <c r="G759"/>
      <c r="I759" s="21"/>
      <c r="K759" s="21"/>
      <c r="L759" s="21"/>
      <c r="M759" s="21"/>
      <c r="N759" s="21"/>
    </row>
    <row r="760" spans="2:22">
      <c r="B760" t="s">
        <v>471</v>
      </c>
      <c r="G760"/>
      <c r="I760" s="21"/>
      <c r="J760">
        <f>SUM(J755,J750,J745,J740,J735)</f>
        <v>2233921.22835</v>
      </c>
      <c r="K760">
        <f t="shared" ref="K760:V760" si="290">SUM(K755,K750,K745,K740,K735)</f>
        <v>2345617.2897675005</v>
      </c>
      <c r="L760">
        <f t="shared" si="290"/>
        <v>2462898.1542558754</v>
      </c>
      <c r="M760">
        <f t="shared" si="290"/>
        <v>2586043.0619686698</v>
      </c>
      <c r="N760">
        <f t="shared" si="290"/>
        <v>2715345.215067103</v>
      </c>
      <c r="O760">
        <f t="shared" si="290"/>
        <v>2851112.4758204585</v>
      </c>
      <c r="P760">
        <f t="shared" si="290"/>
        <v>2993668.0996114817</v>
      </c>
      <c r="Q760">
        <f t="shared" si="290"/>
        <v>3143351.5045920555</v>
      </c>
      <c r="R760">
        <f t="shared" si="290"/>
        <v>3300519.0798216583</v>
      </c>
      <c r="S760">
        <f t="shared" si="290"/>
        <v>3465545.0338127413</v>
      </c>
      <c r="T760">
        <f t="shared" si="290"/>
        <v>3638822.2855033786</v>
      </c>
      <c r="U760">
        <f t="shared" si="290"/>
        <v>3820763.3997785477</v>
      </c>
      <c r="V760">
        <f t="shared" si="290"/>
        <v>4011801.5697674751</v>
      </c>
    </row>
    <row r="761" spans="2:22">
      <c r="B761" t="s">
        <v>578</v>
      </c>
      <c r="G761"/>
      <c r="I761" s="21"/>
      <c r="J761">
        <f t="shared" ref="J761:V761" si="291">SUM(J757,J752,J747,J742,J737)</f>
        <v>44.658039417583623</v>
      </c>
      <c r="K761">
        <f t="shared" si="291"/>
        <v>18.700336705089001</v>
      </c>
      <c r="L761">
        <f t="shared" si="291"/>
        <v>6.8439630915925038</v>
      </c>
      <c r="M761">
        <f t="shared" si="291"/>
        <v>7.4017460835572937</v>
      </c>
      <c r="N761">
        <f t="shared" si="291"/>
        <v>8.0049883893672149</v>
      </c>
      <c r="O761">
        <f t="shared" si="291"/>
        <v>8.6573949431006429</v>
      </c>
      <c r="P761">
        <f t="shared" si="291"/>
        <v>9.362972630963343</v>
      </c>
      <c r="Q761">
        <f t="shared" si="291"/>
        <v>10.126054900386858</v>
      </c>
      <c r="R761">
        <f t="shared" si="291"/>
        <v>10.951328374768385</v>
      </c>
      <c r="S761">
        <f t="shared" si="291"/>
        <v>11.843861637312008</v>
      </c>
      <c r="T761">
        <f t="shared" si="291"/>
        <v>12.43605471917761</v>
      </c>
      <c r="U761">
        <f t="shared" si="291"/>
        <v>13.057857455136492</v>
      </c>
      <c r="V761">
        <f t="shared" si="291"/>
        <v>13.710750327893317</v>
      </c>
    </row>
    <row r="762" spans="2:22">
      <c r="G762"/>
      <c r="I762" s="21"/>
    </row>
    <row r="763" spans="2:22" ht="15.75">
      <c r="B763" s="15" t="s">
        <v>473</v>
      </c>
      <c r="G763"/>
      <c r="I763" s="21"/>
      <c r="J763" s="23">
        <f>SUM(J769,J805,J810,J816)</f>
        <v>40.67990640324463</v>
      </c>
      <c r="K763" s="23">
        <f t="shared" ref="K763:V763" si="292">SUM(K769,K805,K810,K816)</f>
        <v>16.335173179825247</v>
      </c>
      <c r="L763" s="89">
        <f t="shared" si="292"/>
        <v>5.3338832152850069</v>
      </c>
      <c r="M763" s="89">
        <f t="shared" si="292"/>
        <v>5.6362720836622877</v>
      </c>
      <c r="N763" s="89">
        <f t="shared" si="292"/>
        <v>5.9586900444228945</v>
      </c>
      <c r="O763" s="89">
        <f t="shared" si="292"/>
        <v>6.302608079493325</v>
      </c>
      <c r="P763" s="89">
        <f t="shared" si="292"/>
        <v>6.6696114087776071</v>
      </c>
      <c r="Q763" s="89">
        <f t="shared" si="292"/>
        <v>7.0614086029214098</v>
      </c>
      <c r="R763" s="89">
        <f t="shared" si="292"/>
        <v>7.4798414318495334</v>
      </c>
      <c r="S763" s="89">
        <f t="shared" si="292"/>
        <v>7.9268955088001567</v>
      </c>
      <c r="T763" s="89">
        <f t="shared" si="292"/>
        <v>8.2688145424398147</v>
      </c>
      <c r="U763" s="89">
        <f t="shared" si="292"/>
        <v>8.6259340382508629</v>
      </c>
      <c r="V763" s="89">
        <f t="shared" si="292"/>
        <v>8.9989477713235253</v>
      </c>
    </row>
    <row r="764" spans="2:22">
      <c r="B764" s="2" t="s">
        <v>579</v>
      </c>
      <c r="F764" s="58" t="s">
        <v>580</v>
      </c>
      <c r="G764"/>
      <c r="I764" s="22"/>
    </row>
    <row r="765" spans="2:22">
      <c r="B765" s="407" t="s">
        <v>516</v>
      </c>
      <c r="F765" s="30">
        <f>Input!K777</f>
        <v>4.344148942E-2</v>
      </c>
      <c r="G765" s="17" t="s">
        <v>315</v>
      </c>
    </row>
    <row r="766" spans="2:22">
      <c r="B766" s="407" t="s">
        <v>517</v>
      </c>
      <c r="F766" s="73">
        <f>Input!J650</f>
        <v>0</v>
      </c>
      <c r="G766" s="17" t="s">
        <v>315</v>
      </c>
    </row>
    <row r="767" spans="2:22">
      <c r="B767" s="28" t="s">
        <v>476</v>
      </c>
      <c r="C767" s="28"/>
      <c r="D767" s="28"/>
      <c r="E767" s="28"/>
      <c r="F767" s="28"/>
      <c r="G767" s="28"/>
      <c r="H767" s="28"/>
      <c r="I767" s="49">
        <f>SUM(J767:V767)</f>
        <v>0.56473936245999989</v>
      </c>
      <c r="J767" s="47">
        <f t="shared" ref="J767:V767" si="293">$F$765*J12</f>
        <v>4.344148942E-2</v>
      </c>
      <c r="K767" s="47">
        <f t="shared" si="293"/>
        <v>4.344148942E-2</v>
      </c>
      <c r="L767" s="47">
        <f t="shared" si="293"/>
        <v>4.344148942E-2</v>
      </c>
      <c r="M767" s="47">
        <f t="shared" si="293"/>
        <v>4.344148942E-2</v>
      </c>
      <c r="N767" s="47">
        <f t="shared" si="293"/>
        <v>4.344148942E-2</v>
      </c>
      <c r="O767" s="47">
        <f t="shared" si="293"/>
        <v>4.344148942E-2</v>
      </c>
      <c r="P767" s="47">
        <f t="shared" si="293"/>
        <v>4.344148942E-2</v>
      </c>
      <c r="Q767" s="47">
        <f t="shared" si="293"/>
        <v>4.344148942E-2</v>
      </c>
      <c r="R767" s="47">
        <f t="shared" si="293"/>
        <v>4.344148942E-2</v>
      </c>
      <c r="S767" s="47">
        <f t="shared" si="293"/>
        <v>4.344148942E-2</v>
      </c>
      <c r="T767" s="47">
        <f t="shared" si="293"/>
        <v>4.344148942E-2</v>
      </c>
      <c r="U767" s="47">
        <f t="shared" si="293"/>
        <v>4.344148942E-2</v>
      </c>
      <c r="V767" s="47">
        <f t="shared" si="293"/>
        <v>4.344148942E-2</v>
      </c>
    </row>
    <row r="768" spans="2:22">
      <c r="G768"/>
    </row>
    <row r="769" spans="2:22">
      <c r="B769" s="2" t="s">
        <v>581</v>
      </c>
      <c r="G769"/>
      <c r="J769" s="23">
        <f>SUM(J774,J776)</f>
        <v>38.020771505583284</v>
      </c>
      <c r="K769" s="23">
        <f t="shared" ref="K769:V769" si="294">SUM(K774,K776)</f>
        <v>13.587304835207616</v>
      </c>
      <c r="L769" s="23">
        <f t="shared" si="294"/>
        <v>2.4919302270532642</v>
      </c>
      <c r="M769" s="23">
        <f t="shared" si="294"/>
        <v>2.6950225405581052</v>
      </c>
      <c r="N769" s="23">
        <f t="shared" si="294"/>
        <v>2.9146668776135911</v>
      </c>
      <c r="O769" s="23">
        <f t="shared" si="294"/>
        <v>3.1522122281390983</v>
      </c>
      <c r="P769" s="23">
        <f t="shared" si="294"/>
        <v>3.4091175247324355</v>
      </c>
      <c r="Q769" s="23">
        <f t="shared" si="294"/>
        <v>3.6869606029981288</v>
      </c>
      <c r="R769" s="23">
        <f t="shared" si="294"/>
        <v>3.9874478921424767</v>
      </c>
      <c r="S769" s="23">
        <f t="shared" si="294"/>
        <v>4.3124248953520876</v>
      </c>
      <c r="T769" s="23">
        <f t="shared" si="294"/>
        <v>4.5280461401196925</v>
      </c>
      <c r="U769" s="23">
        <f t="shared" si="294"/>
        <v>4.7544484471256778</v>
      </c>
      <c r="V769" s="23">
        <f t="shared" si="294"/>
        <v>4.9921708694819618</v>
      </c>
    </row>
    <row r="770" spans="2:22">
      <c r="G770"/>
    </row>
    <row r="771" spans="2:22" ht="15.75">
      <c r="B771" s="41" t="s">
        <v>582</v>
      </c>
      <c r="F771" s="19">
        <v>2023</v>
      </c>
      <c r="G771"/>
      <c r="I771">
        <v>1</v>
      </c>
      <c r="J771" s="70">
        <f>IF(J$8&lt;$F771,0,IF(J$8=$F771,1,I771*(1+Input!K766)*J$12))</f>
        <v>923728.06</v>
      </c>
      <c r="K771" s="70">
        <f>IF(K$8&lt;$F771,0,IF(K$8=$F771,1,J771*(1+Input!L766)*K$12))</f>
        <v>923728.06</v>
      </c>
      <c r="L771" s="70">
        <f>IF(L$8&lt;$F771,0,IF(L$8=$F771,1,K771*(1+Input!M766)*L$12))</f>
        <v>923728.06</v>
      </c>
      <c r="M771" s="70">
        <f>IF(M$8&lt;$F771,0,IF(M$8=$F771,1,L771*(1+Input!N766)*M$12))</f>
        <v>923728.06</v>
      </c>
      <c r="N771" s="70">
        <f>IF(N$8&lt;$F771,0,IF(N$8=$F771,1,M771*(1+Input!O766)*N$12))</f>
        <v>923728.06</v>
      </c>
      <c r="O771" s="70">
        <f>IF(O$8&lt;$F771,0,IF(O$8=$F771,1,N771*(1+Input!P766)*O$12))</f>
        <v>923728.06</v>
      </c>
      <c r="P771" s="70">
        <f>IF(P$8&lt;$F771,0,IF(P$8=$F771,1,O771*(1+Input!Q766)*P$12))</f>
        <v>923728.06</v>
      </c>
      <c r="Q771" s="70">
        <f>IF(Q$8&lt;$F771,0,IF(Q$8=$F771,1,P771*(1+Input!R766)*Q$12))</f>
        <v>923728.06</v>
      </c>
      <c r="R771" s="70">
        <f>IF(R$8&lt;$F771,0,IF(R$8=$F771,1,Q771*(1+Input!S766)*R$12))</f>
        <v>923728.06</v>
      </c>
      <c r="S771" s="70">
        <f>IF(S$8&lt;$F771,0,IF(S$8=$F771,1,R771*(1+Input!T766)*S$12))</f>
        <v>923728.06</v>
      </c>
      <c r="T771" s="70">
        <f>IF(T$8&lt;$F771,0,IF(T$8=$F771,1,S771*(1+Input!U766)*T$12))</f>
        <v>923728.06</v>
      </c>
      <c r="U771" s="70">
        <f>IF(U$8&lt;$F771,0,IF(U$8=$F771,1,T771*(1+Input!V766)*U$12))</f>
        <v>923728.06</v>
      </c>
      <c r="V771" s="70">
        <f>IF(V$8&lt;$F771,0,IF(V$8=$F771,1,U771*(1+Input!W766)*V$12))</f>
        <v>923728.06</v>
      </c>
    </row>
    <row r="772" spans="2:22">
      <c r="B772" s="407" t="s">
        <v>472</v>
      </c>
      <c r="F772" s="16">
        <f>Input!J771</f>
        <v>0</v>
      </c>
      <c r="G772" s="17" t="s">
        <v>315</v>
      </c>
      <c r="J772">
        <f>J761</f>
        <v>44.658039417583623</v>
      </c>
      <c r="K772">
        <f t="shared" ref="K772:V772" si="295">K761</f>
        <v>18.700336705089001</v>
      </c>
      <c r="L772">
        <f t="shared" si="295"/>
        <v>6.8439630915925038</v>
      </c>
      <c r="M772">
        <f t="shared" si="295"/>
        <v>7.4017460835572937</v>
      </c>
      <c r="N772">
        <f t="shared" si="295"/>
        <v>8.0049883893672149</v>
      </c>
      <c r="O772">
        <f t="shared" si="295"/>
        <v>8.6573949431006429</v>
      </c>
      <c r="P772">
        <f t="shared" si="295"/>
        <v>9.362972630963343</v>
      </c>
      <c r="Q772">
        <f t="shared" si="295"/>
        <v>10.126054900386858</v>
      </c>
      <c r="R772">
        <f t="shared" si="295"/>
        <v>10.951328374768385</v>
      </c>
      <c r="S772">
        <f t="shared" si="295"/>
        <v>11.843861637312008</v>
      </c>
      <c r="T772">
        <f t="shared" si="295"/>
        <v>12.43605471917761</v>
      </c>
      <c r="U772">
        <f t="shared" si="295"/>
        <v>13.057857455136492</v>
      </c>
      <c r="V772">
        <f t="shared" si="295"/>
        <v>13.710750327893317</v>
      </c>
    </row>
    <row r="773" spans="2:22">
      <c r="B773" s="407" t="s">
        <v>465</v>
      </c>
      <c r="J773" s="74">
        <f>Input!K767</f>
        <v>0.85137574334741195</v>
      </c>
      <c r="K773" s="21">
        <f>Input!L767</f>
        <v>0</v>
      </c>
      <c r="L773" s="21">
        <f>Input!M767</f>
        <v>0</v>
      </c>
      <c r="M773" s="21">
        <f>Input!N767</f>
        <v>0</v>
      </c>
      <c r="N773" s="21">
        <f>Input!O767</f>
        <v>0</v>
      </c>
      <c r="O773" s="21">
        <f>Input!P767</f>
        <v>0</v>
      </c>
      <c r="P773" s="21">
        <f>Input!Q767</f>
        <v>0</v>
      </c>
      <c r="Q773" s="21">
        <f>Input!R767</f>
        <v>0</v>
      </c>
      <c r="R773" s="21">
        <f>Input!S767</f>
        <v>0</v>
      </c>
      <c r="S773" s="21">
        <f>Input!T767</f>
        <v>0</v>
      </c>
      <c r="T773" s="21">
        <f>Input!U767</f>
        <v>0</v>
      </c>
      <c r="U773" s="21">
        <f>Input!V767</f>
        <v>0</v>
      </c>
      <c r="V773" s="21">
        <f>Input!W767</f>
        <v>0</v>
      </c>
    </row>
    <row r="774" spans="2:22">
      <c r="B774" s="28" t="s">
        <v>9</v>
      </c>
      <c r="C774" s="28"/>
      <c r="D774" s="28"/>
      <c r="E774" s="28"/>
      <c r="F774" s="28"/>
      <c r="G774" s="28"/>
      <c r="H774" s="28"/>
      <c r="I774" s="48">
        <f>SUM(J774:V774)</f>
        <v>38.020771505583284</v>
      </c>
      <c r="J774" s="76">
        <f>J773*J772</f>
        <v>38.020771505583284</v>
      </c>
      <c r="K774" s="76">
        <f t="shared" ref="K774:V774" si="296">K773*K772</f>
        <v>0</v>
      </c>
      <c r="L774" s="76">
        <f t="shared" si="296"/>
        <v>0</v>
      </c>
      <c r="M774" s="76">
        <f t="shared" si="296"/>
        <v>0</v>
      </c>
      <c r="N774" s="76">
        <f t="shared" si="296"/>
        <v>0</v>
      </c>
      <c r="O774" s="76">
        <f t="shared" si="296"/>
        <v>0</v>
      </c>
      <c r="P774" s="76">
        <f t="shared" si="296"/>
        <v>0</v>
      </c>
      <c r="Q774" s="76">
        <f t="shared" si="296"/>
        <v>0</v>
      </c>
      <c r="R774" s="76">
        <f t="shared" si="296"/>
        <v>0</v>
      </c>
      <c r="S774" s="76">
        <f t="shared" si="296"/>
        <v>0</v>
      </c>
      <c r="T774" s="76">
        <f t="shared" si="296"/>
        <v>0</v>
      </c>
      <c r="U774" s="76">
        <f t="shared" si="296"/>
        <v>0</v>
      </c>
      <c r="V774" s="76">
        <f t="shared" si="296"/>
        <v>0</v>
      </c>
    </row>
    <row r="775" spans="2:22">
      <c r="G775"/>
    </row>
    <row r="776" spans="2:22">
      <c r="B776" s="407" t="s">
        <v>583</v>
      </c>
      <c r="G776"/>
      <c r="J776">
        <f>SUM(J780,J785,J790,J795,J800)</f>
        <v>0</v>
      </c>
      <c r="K776" s="53">
        <f t="shared" ref="K776:V776" si="297">SUM(K780,K785,K790,K795,K800)</f>
        <v>13.587304835207616</v>
      </c>
      <c r="L776" s="53">
        <f t="shared" si="297"/>
        <v>2.4919302270532642</v>
      </c>
      <c r="M776" s="53">
        <f t="shared" si="297"/>
        <v>2.6950225405581052</v>
      </c>
      <c r="N776" s="53">
        <f t="shared" si="297"/>
        <v>2.9146668776135911</v>
      </c>
      <c r="O776" s="53">
        <f t="shared" si="297"/>
        <v>3.1522122281390983</v>
      </c>
      <c r="P776" s="53">
        <f t="shared" si="297"/>
        <v>3.4091175247324355</v>
      </c>
      <c r="Q776" s="53">
        <f t="shared" si="297"/>
        <v>3.6869606029981288</v>
      </c>
      <c r="R776" s="53">
        <f t="shared" si="297"/>
        <v>3.9874478921424767</v>
      </c>
      <c r="S776" s="53">
        <f t="shared" si="297"/>
        <v>4.3124248953520876</v>
      </c>
      <c r="T776" s="53">
        <f t="shared" si="297"/>
        <v>4.5280461401196925</v>
      </c>
      <c r="U776" s="53">
        <f t="shared" si="297"/>
        <v>4.7544484471256778</v>
      </c>
      <c r="V776" s="53">
        <f t="shared" si="297"/>
        <v>4.9921708694819618</v>
      </c>
    </row>
    <row r="777" spans="2:22">
      <c r="B777" s="2" t="s">
        <v>573</v>
      </c>
      <c r="G777"/>
      <c r="I777" s="22"/>
    </row>
    <row r="778" spans="2:22">
      <c r="B778" s="407" t="s">
        <v>472</v>
      </c>
      <c r="G778" s="17" t="s">
        <v>315</v>
      </c>
      <c r="J778">
        <f>J737</f>
        <v>4.4828202331603286</v>
      </c>
      <c r="K778">
        <f t="shared" ref="K778:V778" si="298">K737</f>
        <v>0.98311280270175005</v>
      </c>
      <c r="L778">
        <f t="shared" si="298"/>
        <v>1.0632364961219427</v>
      </c>
      <c r="M778">
        <f t="shared" si="298"/>
        <v>1.1498902705558813</v>
      </c>
      <c r="N778">
        <f t="shared" si="298"/>
        <v>1.2436063276061857</v>
      </c>
      <c r="O778">
        <f t="shared" si="298"/>
        <v>1.3449602433060899</v>
      </c>
      <c r="P778">
        <f t="shared" si="298"/>
        <v>1.4545745031355362</v>
      </c>
      <c r="Q778">
        <f t="shared" si="298"/>
        <v>1.5731223251410826</v>
      </c>
      <c r="R778">
        <f t="shared" si="298"/>
        <v>1.7013317946400808</v>
      </c>
      <c r="S778">
        <f t="shared" si="298"/>
        <v>1.839990335903247</v>
      </c>
      <c r="T778">
        <f t="shared" si="298"/>
        <v>1.9319898526984098</v>
      </c>
      <c r="U778">
        <f t="shared" si="298"/>
        <v>2.0285893453333306</v>
      </c>
      <c r="V778">
        <f t="shared" si="298"/>
        <v>2.1300188125999973</v>
      </c>
    </row>
    <row r="779" spans="2:22">
      <c r="B779" s="407" t="s">
        <v>517</v>
      </c>
      <c r="F779" s="73"/>
      <c r="G779" s="17" t="s">
        <v>325</v>
      </c>
      <c r="J779">
        <f>Input!K769</f>
        <v>0</v>
      </c>
      <c r="K779">
        <f>Input!L769</f>
        <v>0.35120000000000001</v>
      </c>
      <c r="L779">
        <f>Input!M769</f>
        <v>0.35120000000000001</v>
      </c>
      <c r="M779">
        <f>Input!N769</f>
        <v>0.35120000000000001</v>
      </c>
      <c r="N779">
        <f>Input!O769</f>
        <v>0.35120000000000001</v>
      </c>
      <c r="O779">
        <f>Input!P769</f>
        <v>0.35120000000000001</v>
      </c>
      <c r="P779">
        <f>Input!Q769</f>
        <v>0.35120000000000001</v>
      </c>
      <c r="Q779">
        <f>Input!R769</f>
        <v>0.35120000000000001</v>
      </c>
      <c r="R779">
        <f>Input!S769</f>
        <v>0.35120000000000001</v>
      </c>
      <c r="S779">
        <f>Input!T769</f>
        <v>0.35120000000000001</v>
      </c>
      <c r="T779">
        <f>Input!U769</f>
        <v>0.35120000000000001</v>
      </c>
      <c r="U779">
        <f>Input!V769</f>
        <v>0.35120000000000001</v>
      </c>
      <c r="V779">
        <f>Input!W769</f>
        <v>0.35120000000000001</v>
      </c>
    </row>
    <row r="780" spans="2:22">
      <c r="B780" s="28" t="s">
        <v>476</v>
      </c>
      <c r="C780" s="28"/>
      <c r="D780" s="28"/>
      <c r="E780" s="28"/>
      <c r="F780" s="28"/>
      <c r="G780" s="28"/>
      <c r="H780" s="28"/>
      <c r="I780" s="49">
        <f>SUM(J780:V780)</f>
        <v>6.4776813961419295</v>
      </c>
      <c r="J780" s="47">
        <f>J778*J779</f>
        <v>0</v>
      </c>
      <c r="K780" s="47">
        <f t="shared" ref="K780:V780" si="299">K778*K779</f>
        <v>0.34526921630885465</v>
      </c>
      <c r="L780" s="47">
        <f t="shared" si="299"/>
        <v>0.37340865743802631</v>
      </c>
      <c r="M780" s="47">
        <f t="shared" si="299"/>
        <v>0.40384146301922552</v>
      </c>
      <c r="N780" s="47">
        <f t="shared" si="299"/>
        <v>0.43675454225529242</v>
      </c>
      <c r="O780" s="47">
        <f t="shared" si="299"/>
        <v>0.47235003744909876</v>
      </c>
      <c r="P780" s="47">
        <f t="shared" si="299"/>
        <v>0.51084656550120033</v>
      </c>
      <c r="Q780" s="47">
        <f t="shared" si="299"/>
        <v>0.5524805605895482</v>
      </c>
      <c r="R780" s="47">
        <f t="shared" si="299"/>
        <v>0.59750772627759641</v>
      </c>
      <c r="S780" s="47">
        <f t="shared" si="299"/>
        <v>0.64620460596922036</v>
      </c>
      <c r="T780" s="47">
        <f t="shared" si="299"/>
        <v>0.67851483626768161</v>
      </c>
      <c r="U780" s="47">
        <f t="shared" si="299"/>
        <v>0.71244057808106576</v>
      </c>
      <c r="V780" s="47">
        <f t="shared" si="299"/>
        <v>0.74806260698511906</v>
      </c>
    </row>
    <row r="781" spans="2:22">
      <c r="G781"/>
    </row>
    <row r="782" spans="2:22">
      <c r="B782" s="2" t="s">
        <v>574</v>
      </c>
      <c r="G782"/>
      <c r="I782" s="22"/>
    </row>
    <row r="783" spans="2:22">
      <c r="B783" s="407" t="s">
        <v>472</v>
      </c>
      <c r="G783" s="17" t="s">
        <v>315</v>
      </c>
      <c r="J783">
        <f>J742</f>
        <v>13.510695101447476</v>
      </c>
      <c r="K783">
        <f t="shared" ref="K783:V783" si="300">K742</f>
        <v>0.89505973805850014</v>
      </c>
      <c r="L783">
        <f t="shared" si="300"/>
        <v>0.96800710671026802</v>
      </c>
      <c r="M783">
        <f t="shared" si="300"/>
        <v>1.0468996859071549</v>
      </c>
      <c r="N783">
        <f t="shared" si="300"/>
        <v>1.1322220103085883</v>
      </c>
      <c r="O783">
        <f t="shared" si="300"/>
        <v>1.2244981041487382</v>
      </c>
      <c r="P783">
        <f t="shared" si="300"/>
        <v>1.3242946996368601</v>
      </c>
      <c r="Q783">
        <f t="shared" si="300"/>
        <v>1.4322247176572644</v>
      </c>
      <c r="R783">
        <f t="shared" si="300"/>
        <v>1.5489510321463316</v>
      </c>
      <c r="S783">
        <f t="shared" si="300"/>
        <v>1.6751905412662575</v>
      </c>
      <c r="T783">
        <f t="shared" si="300"/>
        <v>1.7589500683295707</v>
      </c>
      <c r="U783">
        <f t="shared" si="300"/>
        <v>1.8468975717460494</v>
      </c>
      <c r="V783">
        <f t="shared" si="300"/>
        <v>1.9392424503333519</v>
      </c>
    </row>
    <row r="784" spans="2:22">
      <c r="B784" s="407" t="s">
        <v>517</v>
      </c>
      <c r="F784" s="73"/>
      <c r="G784" s="17" t="s">
        <v>325</v>
      </c>
      <c r="J784">
        <f>Input!K770</f>
        <v>0</v>
      </c>
      <c r="K784">
        <f>Input!L770</f>
        <v>0.45200000000000001</v>
      </c>
      <c r="L784">
        <f>Input!M770</f>
        <v>0.45200000000000001</v>
      </c>
      <c r="M784">
        <f>Input!N770</f>
        <v>0.45200000000000001</v>
      </c>
      <c r="N784">
        <f>Input!O770</f>
        <v>0.45200000000000001</v>
      </c>
      <c r="O784">
        <f>Input!P770</f>
        <v>0.45200000000000001</v>
      </c>
      <c r="P784">
        <f>Input!Q770</f>
        <v>0.45200000000000001</v>
      </c>
      <c r="Q784">
        <f>Input!R770</f>
        <v>0.45200000000000001</v>
      </c>
      <c r="R784">
        <f>Input!S770</f>
        <v>0.45200000000000001</v>
      </c>
      <c r="S784">
        <f>Input!T770</f>
        <v>0.45200000000000001</v>
      </c>
      <c r="T784">
        <f>Input!U770</f>
        <v>0.45200000000000001</v>
      </c>
      <c r="U784">
        <f>Input!V770</f>
        <v>0.45200000000000001</v>
      </c>
      <c r="V784">
        <f>Input!W770</f>
        <v>0.45200000000000001</v>
      </c>
    </row>
    <row r="785" spans="2:22">
      <c r="B785" s="28" t="s">
        <v>476</v>
      </c>
      <c r="C785" s="28"/>
      <c r="D785" s="28"/>
      <c r="E785" s="28"/>
      <c r="F785" s="28"/>
      <c r="G785" s="28"/>
      <c r="H785" s="28"/>
      <c r="I785" s="49">
        <f>SUM(J785:V785)</f>
        <v>7.5901818522645197</v>
      </c>
      <c r="J785" s="47">
        <f t="shared" ref="J785:V785" si="301">J783*J784</f>
        <v>0</v>
      </c>
      <c r="K785" s="47">
        <f t="shared" si="301"/>
        <v>0.40456700160244208</v>
      </c>
      <c r="L785" s="47">
        <f t="shared" si="301"/>
        <v>0.43753921223304115</v>
      </c>
      <c r="M785" s="47">
        <f t="shared" si="301"/>
        <v>0.47319865803003403</v>
      </c>
      <c r="N785" s="47">
        <f t="shared" si="301"/>
        <v>0.51176434865948195</v>
      </c>
      <c r="O785" s="47">
        <f t="shared" si="301"/>
        <v>0.55347314307522966</v>
      </c>
      <c r="P785" s="47">
        <f t="shared" si="301"/>
        <v>0.59858120423586081</v>
      </c>
      <c r="Q785" s="47">
        <f t="shared" si="301"/>
        <v>0.6473655723810835</v>
      </c>
      <c r="R785" s="47">
        <f t="shared" si="301"/>
        <v>0.70012586653014186</v>
      </c>
      <c r="S785" s="47">
        <f t="shared" si="301"/>
        <v>0.75718612465234847</v>
      </c>
      <c r="T785" s="47">
        <f t="shared" si="301"/>
        <v>0.79504543088496593</v>
      </c>
      <c r="U785" s="47">
        <f t="shared" si="301"/>
        <v>0.83479770242921436</v>
      </c>
      <c r="V785" s="47">
        <f t="shared" si="301"/>
        <v>0.87653758755067501</v>
      </c>
    </row>
    <row r="786" spans="2:22">
      <c r="G786"/>
    </row>
    <row r="787" spans="2:22">
      <c r="B787" s="2" t="s">
        <v>575</v>
      </c>
      <c r="G787"/>
      <c r="I787" s="22"/>
    </row>
    <row r="788" spans="2:22">
      <c r="B788" s="407" t="s">
        <v>472</v>
      </c>
      <c r="G788" s="17" t="s">
        <v>315</v>
      </c>
      <c r="J788">
        <f>J747</f>
        <v>1.3965736712217709</v>
      </c>
      <c r="K788">
        <f t="shared" ref="K788:V788" si="302">K747</f>
        <v>0.83989117379081257</v>
      </c>
      <c r="L788">
        <f t="shared" si="302"/>
        <v>0.90834230445476394</v>
      </c>
      <c r="M788">
        <f t="shared" si="302"/>
        <v>0.98237220226782718</v>
      </c>
      <c r="N788">
        <f t="shared" si="302"/>
        <v>1.0624355367526552</v>
      </c>
      <c r="O788">
        <f t="shared" si="302"/>
        <v>1.1490240329979966</v>
      </c>
      <c r="P788">
        <f t="shared" si="302"/>
        <v>1.2426694916873333</v>
      </c>
      <c r="Q788">
        <f t="shared" si="302"/>
        <v>1.3439470552598509</v>
      </c>
      <c r="R788">
        <f t="shared" si="302"/>
        <v>1.4534787402635287</v>
      </c>
      <c r="S788">
        <f t="shared" si="302"/>
        <v>1.5719372575950066</v>
      </c>
      <c r="T788">
        <f t="shared" si="302"/>
        <v>1.650534120474757</v>
      </c>
      <c r="U788">
        <f t="shared" si="302"/>
        <v>1.7330608264984948</v>
      </c>
      <c r="V788">
        <f t="shared" si="302"/>
        <v>1.8197138678234197</v>
      </c>
    </row>
    <row r="789" spans="2:22">
      <c r="B789" s="407" t="s">
        <v>517</v>
      </c>
      <c r="F789" s="73"/>
      <c r="G789" s="17" t="s">
        <v>325</v>
      </c>
      <c r="J789">
        <f>Input!K771</f>
        <v>0</v>
      </c>
      <c r="K789">
        <f>Input!L771</f>
        <v>0.3528</v>
      </c>
      <c r="L789">
        <f>Input!M771</f>
        <v>0.3528</v>
      </c>
      <c r="M789">
        <f>Input!N771</f>
        <v>0.3528</v>
      </c>
      <c r="N789">
        <f>Input!O771</f>
        <v>0.3528</v>
      </c>
      <c r="O789">
        <f>Input!P771</f>
        <v>0.3528</v>
      </c>
      <c r="P789">
        <f>Input!Q771</f>
        <v>0.3528</v>
      </c>
      <c r="Q789">
        <f>Input!R771</f>
        <v>0.3528</v>
      </c>
      <c r="R789">
        <f>Input!S771</f>
        <v>0.3528</v>
      </c>
      <c r="S789">
        <f>Input!T771</f>
        <v>0.3528</v>
      </c>
      <c r="T789">
        <f>Input!U771</f>
        <v>0.3528</v>
      </c>
      <c r="U789">
        <f>Input!V771</f>
        <v>0.3528</v>
      </c>
      <c r="V789">
        <f>Input!W771</f>
        <v>0.3528</v>
      </c>
    </row>
    <row r="790" spans="2:22">
      <c r="B790" s="28" t="s">
        <v>476</v>
      </c>
      <c r="C790" s="28"/>
      <c r="D790" s="28"/>
      <c r="E790" s="28"/>
      <c r="F790" s="28"/>
      <c r="G790" s="28"/>
      <c r="H790" s="28"/>
      <c r="I790" s="49">
        <f>SUM(J790:V790)</f>
        <v>5.5592130519608816</v>
      </c>
      <c r="J790" s="47">
        <f t="shared" ref="J790:V790" si="303">J788*J789</f>
        <v>0</v>
      </c>
      <c r="K790" s="47">
        <f t="shared" si="303"/>
        <v>0.29631360611339869</v>
      </c>
      <c r="L790" s="47">
        <f t="shared" si="303"/>
        <v>0.32046316501164074</v>
      </c>
      <c r="M790" s="47">
        <f t="shared" si="303"/>
        <v>0.34658091296008942</v>
      </c>
      <c r="N790" s="47">
        <f t="shared" si="303"/>
        <v>0.37482725736633676</v>
      </c>
      <c r="O790" s="47">
        <f t="shared" si="303"/>
        <v>0.40537567884169318</v>
      </c>
      <c r="P790" s="47">
        <f t="shared" si="303"/>
        <v>0.43841379666729119</v>
      </c>
      <c r="Q790" s="47">
        <f t="shared" si="303"/>
        <v>0.4741445210956754</v>
      </c>
      <c r="R790" s="47">
        <f t="shared" si="303"/>
        <v>0.51278729956497293</v>
      </c>
      <c r="S790" s="47">
        <f t="shared" si="303"/>
        <v>0.55457946447951834</v>
      </c>
      <c r="T790" s="47">
        <f t="shared" si="303"/>
        <v>0.58230843770349427</v>
      </c>
      <c r="U790" s="47">
        <f t="shared" si="303"/>
        <v>0.61142385958866896</v>
      </c>
      <c r="V790" s="47">
        <f t="shared" si="303"/>
        <v>0.64199505256810252</v>
      </c>
    </row>
    <row r="791" spans="2:22">
      <c r="G791"/>
    </row>
    <row r="792" spans="2:22">
      <c r="B792" s="2" t="s">
        <v>576</v>
      </c>
      <c r="G792"/>
      <c r="I792" s="22"/>
    </row>
    <row r="793" spans="2:22">
      <c r="B793" s="407" t="s">
        <v>472</v>
      </c>
      <c r="G793" s="17" t="s">
        <v>315</v>
      </c>
      <c r="J793">
        <f>J752</f>
        <v>12.323025240960002</v>
      </c>
      <c r="K793">
        <f t="shared" ref="K793:V793" si="304">K752</f>
        <v>13.327351798098244</v>
      </c>
      <c r="L793">
        <f t="shared" si="304"/>
        <v>1.0330799146819989</v>
      </c>
      <c r="M793">
        <f t="shared" si="304"/>
        <v>1.1172759277285822</v>
      </c>
      <c r="N793">
        <f t="shared" si="304"/>
        <v>1.2083339158384616</v>
      </c>
      <c r="O793">
        <f t="shared" si="304"/>
        <v>1.3068131299792962</v>
      </c>
      <c r="P793">
        <f t="shared" si="304"/>
        <v>1.4133184000726087</v>
      </c>
      <c r="Q793">
        <f t="shared" si="304"/>
        <v>1.5285038496785266</v>
      </c>
      <c r="R793">
        <f t="shared" si="304"/>
        <v>1.6530769134273264</v>
      </c>
      <c r="S793">
        <f t="shared" si="304"/>
        <v>1.7878026818716533</v>
      </c>
      <c r="T793">
        <f t="shared" si="304"/>
        <v>1.8771928159652365</v>
      </c>
      <c r="U793">
        <f t="shared" si="304"/>
        <v>1.9710524567634986</v>
      </c>
      <c r="V793">
        <f t="shared" si="304"/>
        <v>2.0696050796016729</v>
      </c>
    </row>
    <row r="794" spans="2:22">
      <c r="B794" s="407" t="s">
        <v>517</v>
      </c>
      <c r="F794" s="73"/>
      <c r="G794" s="17" t="s">
        <v>325</v>
      </c>
      <c r="J794">
        <f>Input!K772</f>
        <v>0</v>
      </c>
      <c r="K794">
        <f>Input!L772</f>
        <v>0.87190366972477062</v>
      </c>
      <c r="L794">
        <f>Input!M772</f>
        <v>0.3528</v>
      </c>
      <c r="M794">
        <f>Input!N772</f>
        <v>0.3528</v>
      </c>
      <c r="N794">
        <f>Input!O772</f>
        <v>0.3528</v>
      </c>
      <c r="O794">
        <f>Input!P772</f>
        <v>0.3528</v>
      </c>
      <c r="P794">
        <f>Input!Q772</f>
        <v>0.3528</v>
      </c>
      <c r="Q794">
        <f>Input!R772</f>
        <v>0.3528</v>
      </c>
      <c r="R794">
        <f>Input!S772</f>
        <v>0.3528</v>
      </c>
      <c r="S794">
        <f>Input!T772</f>
        <v>0.3528</v>
      </c>
      <c r="T794">
        <f>Input!U772</f>
        <v>0.3528</v>
      </c>
      <c r="U794">
        <f>Input!V772</f>
        <v>0.3528</v>
      </c>
      <c r="V794">
        <f>Input!W772</f>
        <v>0.3528</v>
      </c>
    </row>
    <row r="795" spans="2:22">
      <c r="B795" s="28" t="s">
        <v>476</v>
      </c>
      <c r="C795" s="28"/>
      <c r="D795" s="28"/>
      <c r="E795" s="28"/>
      <c r="F795" s="28"/>
      <c r="G795" s="28"/>
      <c r="H795" s="28"/>
      <c r="I795" s="49">
        <f>SUM(J795:V795)</f>
        <v>17.605791174677687</v>
      </c>
      <c r="J795" s="47">
        <f t="shared" ref="J795:V795" si="305">J793*J794</f>
        <v>0</v>
      </c>
      <c r="K795" s="47">
        <f t="shared" si="305"/>
        <v>11.62016694047488</v>
      </c>
      <c r="L795" s="47">
        <f t="shared" si="305"/>
        <v>0.36447059389980924</v>
      </c>
      <c r="M795" s="47">
        <f t="shared" si="305"/>
        <v>0.3941749473026438</v>
      </c>
      <c r="N795" s="47">
        <f t="shared" si="305"/>
        <v>0.42630020550780928</v>
      </c>
      <c r="O795" s="47">
        <f t="shared" si="305"/>
        <v>0.46104367225669574</v>
      </c>
      <c r="P795" s="47">
        <f t="shared" si="305"/>
        <v>0.49861873154561637</v>
      </c>
      <c r="Q795" s="47">
        <f t="shared" si="305"/>
        <v>0.53925615816658423</v>
      </c>
      <c r="R795" s="47">
        <f t="shared" si="305"/>
        <v>0.58320553505716077</v>
      </c>
      <c r="S795" s="47">
        <f t="shared" si="305"/>
        <v>0.63073678616431927</v>
      </c>
      <c r="T795" s="47">
        <f t="shared" si="305"/>
        <v>0.66227362547253543</v>
      </c>
      <c r="U795" s="47">
        <f t="shared" si="305"/>
        <v>0.69538730674616234</v>
      </c>
      <c r="V795" s="47">
        <f t="shared" si="305"/>
        <v>0.73015667208347024</v>
      </c>
    </row>
    <row r="796" spans="2:22">
      <c r="G796"/>
    </row>
    <row r="797" spans="2:22">
      <c r="B797" s="2" t="s">
        <v>577</v>
      </c>
      <c r="G797"/>
      <c r="I797" s="22"/>
    </row>
    <row r="798" spans="2:22">
      <c r="B798" s="407" t="s">
        <v>472</v>
      </c>
      <c r="G798" s="17" t="s">
        <v>315</v>
      </c>
      <c r="J798">
        <f>J757</f>
        <v>12.944925170794049</v>
      </c>
      <c r="K798">
        <f t="shared" ref="K798:V798" si="306">K757</f>
        <v>2.6549211924396947</v>
      </c>
      <c r="L798">
        <f t="shared" si="306"/>
        <v>2.8712972696235304</v>
      </c>
      <c r="M798">
        <f t="shared" si="306"/>
        <v>3.1053079970978485</v>
      </c>
      <c r="N798">
        <f t="shared" si="306"/>
        <v>3.3583905988613232</v>
      </c>
      <c r="O798">
        <f t="shared" si="306"/>
        <v>3.6320994326685212</v>
      </c>
      <c r="P798">
        <f t="shared" si="306"/>
        <v>3.928115536431005</v>
      </c>
      <c r="Q798">
        <f t="shared" si="306"/>
        <v>4.2482569526501326</v>
      </c>
      <c r="R798">
        <f t="shared" si="306"/>
        <v>4.5944898942911179</v>
      </c>
      <c r="S798">
        <f t="shared" si="306"/>
        <v>4.9689408206758436</v>
      </c>
      <c r="T798">
        <f t="shared" si="306"/>
        <v>5.2173878617096365</v>
      </c>
      <c r="U798">
        <f t="shared" si="306"/>
        <v>5.4782572547951185</v>
      </c>
      <c r="V798">
        <f t="shared" si="306"/>
        <v>5.7521701175348747</v>
      </c>
    </row>
    <row r="799" spans="2:22">
      <c r="B799" s="407" t="s">
        <v>517</v>
      </c>
      <c r="F799" s="73"/>
      <c r="G799" s="17" t="s">
        <v>325</v>
      </c>
      <c r="J799">
        <f>Input!K773</f>
        <v>0</v>
      </c>
      <c r="K799">
        <f>Input!L773</f>
        <v>0.34689845910707229</v>
      </c>
      <c r="L799">
        <f>Input!M773</f>
        <v>0.34689845910707229</v>
      </c>
      <c r="M799">
        <f>Input!N773</f>
        <v>0.34689845910707229</v>
      </c>
      <c r="N799">
        <f>Input!O773</f>
        <v>0.34689845910707229</v>
      </c>
      <c r="O799">
        <f>Input!P773</f>
        <v>0.34689845910707229</v>
      </c>
      <c r="P799">
        <f>Input!Q773</f>
        <v>0.34689845910707229</v>
      </c>
      <c r="Q799">
        <f>Input!R773</f>
        <v>0.34689845910707229</v>
      </c>
      <c r="R799">
        <f>Input!S773</f>
        <v>0.34689845910707229</v>
      </c>
      <c r="S799">
        <f>Input!T773</f>
        <v>0.34689845910707229</v>
      </c>
      <c r="T799">
        <f>Input!U773</f>
        <v>0.34689845910707229</v>
      </c>
      <c r="U799">
        <f>Input!V773</f>
        <v>0.34689845910707229</v>
      </c>
      <c r="V799">
        <f>Input!W773</f>
        <v>0.34689845910707229</v>
      </c>
    </row>
    <row r="800" spans="2:22">
      <c r="B800" s="28" t="s">
        <v>476</v>
      </c>
      <c r="C800" s="28"/>
      <c r="D800" s="28"/>
      <c r="E800" s="28"/>
      <c r="F800" s="28"/>
      <c r="G800" s="28"/>
      <c r="H800" s="28"/>
      <c r="I800" s="49">
        <f>SUM(J800:V800)</f>
        <v>17.278885605479118</v>
      </c>
      <c r="J800" s="47">
        <f t="shared" ref="J800:V800" si="307">J798*J799</f>
        <v>0</v>
      </c>
      <c r="K800" s="47">
        <f t="shared" si="307"/>
        <v>0.92098807070804101</v>
      </c>
      <c r="L800" s="47">
        <f t="shared" si="307"/>
        <v>0.99604859847074656</v>
      </c>
      <c r="M800" s="47">
        <f t="shared" si="307"/>
        <v>1.0772265592461125</v>
      </c>
      <c r="N800" s="47">
        <f t="shared" si="307"/>
        <v>1.1650205238246707</v>
      </c>
      <c r="O800" s="47">
        <f t="shared" si="307"/>
        <v>1.2599696965163814</v>
      </c>
      <c r="P800" s="47">
        <f t="shared" si="307"/>
        <v>1.3626572267824664</v>
      </c>
      <c r="Q800" s="47">
        <f t="shared" si="307"/>
        <v>1.4737137907652376</v>
      </c>
      <c r="R800" s="47">
        <f t="shared" si="307"/>
        <v>1.5938214647126043</v>
      </c>
      <c r="S800" s="47">
        <f t="shared" si="307"/>
        <v>1.7237179140866814</v>
      </c>
      <c r="T800" s="47">
        <f t="shared" si="307"/>
        <v>1.8099038097910156</v>
      </c>
      <c r="U800" s="47">
        <f t="shared" si="307"/>
        <v>1.9003990002805664</v>
      </c>
      <c r="V800" s="47">
        <f t="shared" si="307"/>
        <v>1.9954189502945949</v>
      </c>
    </row>
    <row r="801" spans="2:22">
      <c r="G801"/>
    </row>
    <row r="802" spans="2:22">
      <c r="B802" s="2" t="s">
        <v>584</v>
      </c>
      <c r="G802"/>
    </row>
    <row r="803" spans="2:22">
      <c r="B803" s="407" t="s">
        <v>478</v>
      </c>
      <c r="G803"/>
      <c r="I803" s="13">
        <v>1</v>
      </c>
      <c r="J803" s="13">
        <f>I803*(1+Input!K782)*J$12</f>
        <v>1.0349999999999999</v>
      </c>
      <c r="K803" s="13">
        <f>J803*(1+Input!L782)*K$12</f>
        <v>1.0712249999999999</v>
      </c>
      <c r="L803" s="13">
        <f>K803*(1+Input!M782)*L$12</f>
        <v>1.1087178749999997</v>
      </c>
      <c r="M803" s="13">
        <f>L803*(1+Input!N782)*M$12</f>
        <v>1.1475230006249997</v>
      </c>
      <c r="N803" s="13">
        <f>M803*(1+Input!O782)*N$12</f>
        <v>1.1876863056468745</v>
      </c>
      <c r="O803" s="13">
        <f>N803*(1+Input!P782)*O$12</f>
        <v>1.229255326344515</v>
      </c>
      <c r="P803" s="13">
        <f>O803*(1+Input!Q782)*P$12</f>
        <v>1.2722792627665729</v>
      </c>
      <c r="Q803" s="13">
        <f>P803*(1+Input!R782)*Q$12</f>
        <v>1.3168090369634029</v>
      </c>
      <c r="R803" s="13">
        <f>Q803*(1+Input!S782)*R$12</f>
        <v>1.3628973532571218</v>
      </c>
      <c r="S803" s="13">
        <f>R803*(1+Input!T782)*S$12</f>
        <v>1.410598760621121</v>
      </c>
      <c r="T803" s="13">
        <f>S803*(1+Input!U782)*T$12</f>
        <v>1.4599697172428601</v>
      </c>
      <c r="U803" s="13">
        <f>T803*(1+Input!V782)*U$12</f>
        <v>1.5110686573463601</v>
      </c>
      <c r="V803" s="13">
        <f>U803*(1+Input!W782)*V$12</f>
        <v>1.5639560603534826</v>
      </c>
    </row>
    <row r="804" spans="2:22">
      <c r="B804" t="s">
        <v>479</v>
      </c>
      <c r="F804" s="19">
        <f>Input!J787</f>
        <v>2.5544369389999999</v>
      </c>
      <c r="G804" s="17" t="s">
        <v>315</v>
      </c>
    </row>
    <row r="805" spans="2:22">
      <c r="B805" s="28" t="s">
        <v>584</v>
      </c>
      <c r="C805" s="28"/>
      <c r="D805" s="28"/>
      <c r="E805" s="28"/>
      <c r="F805" s="28"/>
      <c r="G805" s="28"/>
      <c r="H805" s="28"/>
      <c r="I805" s="28"/>
      <c r="J805" s="47">
        <f>$F804*J803</f>
        <v>2.6438422318649999</v>
      </c>
      <c r="K805" s="47">
        <f t="shared" ref="K805:V805" si="308">$F804*K803</f>
        <v>2.7363767099802745</v>
      </c>
      <c r="L805" s="79">
        <f t="shared" si="308"/>
        <v>2.832149894829584</v>
      </c>
      <c r="M805" s="79">
        <f t="shared" si="308"/>
        <v>2.9312751411486193</v>
      </c>
      <c r="N805" s="79">
        <f t="shared" si="308"/>
        <v>3.0338697710888205</v>
      </c>
      <c r="O805" s="79">
        <f t="shared" si="308"/>
        <v>3.1400552130769288</v>
      </c>
      <c r="P805" s="79">
        <f t="shared" si="308"/>
        <v>3.249957145534621</v>
      </c>
      <c r="Q805" s="79">
        <f t="shared" si="308"/>
        <v>3.3637056456283325</v>
      </c>
      <c r="R805" s="79">
        <f t="shared" si="308"/>
        <v>3.4814353432253236</v>
      </c>
      <c r="S805" s="79">
        <f t="shared" si="308"/>
        <v>3.60328558023821</v>
      </c>
      <c r="T805" s="47">
        <f t="shared" si="308"/>
        <v>3.7294005755465469</v>
      </c>
      <c r="U805" s="47">
        <f t="shared" si="308"/>
        <v>3.8599295956906756</v>
      </c>
      <c r="V805" s="47">
        <f t="shared" si="308"/>
        <v>3.9950271315398491</v>
      </c>
    </row>
    <row r="806" spans="2:22">
      <c r="G806"/>
    </row>
    <row r="807" spans="2:22">
      <c r="B807" s="2" t="s">
        <v>585</v>
      </c>
      <c r="G807"/>
    </row>
    <row r="808" spans="2:22">
      <c r="B808" s="407" t="s">
        <v>478</v>
      </c>
      <c r="G808"/>
      <c r="I808" s="13">
        <v>1</v>
      </c>
      <c r="J808" s="13">
        <f>I808*(1+Input!K789)*J$12</f>
        <v>1.01</v>
      </c>
      <c r="K808" s="13">
        <f>J808*(1+Input!L789)*K$12</f>
        <v>1.0201</v>
      </c>
      <c r="L808" s="13">
        <f>K808*(1+Input!M789)*L$12</f>
        <v>1.0303009999999999</v>
      </c>
      <c r="M808" s="13">
        <f>L808*(1+Input!N789)*M$12</f>
        <v>1.04060401</v>
      </c>
      <c r="N808" s="13">
        <f>M808*(1+Input!O789)*N$12</f>
        <v>1.0510100500999999</v>
      </c>
      <c r="O808" s="13">
        <f>N808*(1+Input!P789)*O$12</f>
        <v>1.0615201506009999</v>
      </c>
      <c r="P808" s="13">
        <f>O808*(1+Input!Q789)*P$12</f>
        <v>1.0721353521070098</v>
      </c>
      <c r="Q808" s="13">
        <f>P808*(1+Input!R789)*Q$12</f>
        <v>1.08285670562808</v>
      </c>
      <c r="R808" s="13">
        <f>Q808*(1+Input!S789)*R$12</f>
        <v>1.0936852726843609</v>
      </c>
      <c r="S808" s="13">
        <f>R808*(1+Input!T789)*S$12</f>
        <v>1.1046221254112045</v>
      </c>
      <c r="T808" s="13">
        <f>S808*(1+Input!U789)*T$12</f>
        <v>1.1156683466653166</v>
      </c>
      <c r="U808" s="13">
        <f>T808*(1+Input!V789)*U$12</f>
        <v>1.1268250301319698</v>
      </c>
      <c r="V808" s="13">
        <f>U808*(1+Input!W789)*V$12</f>
        <v>1.1380932804332895</v>
      </c>
    </row>
    <row r="809" spans="2:22">
      <c r="B809" t="s">
        <v>479</v>
      </c>
      <c r="F809" s="19">
        <f>Input!J794</f>
        <v>8.5200650999999999E-3</v>
      </c>
      <c r="G809" s="17" t="s">
        <v>315</v>
      </c>
    </row>
    <row r="810" spans="2:22">
      <c r="B810" s="28" t="s">
        <v>585</v>
      </c>
      <c r="C810" s="28"/>
      <c r="D810" s="28"/>
      <c r="E810" s="28"/>
      <c r="F810" s="28"/>
      <c r="G810" s="28"/>
      <c r="H810" s="28"/>
      <c r="I810" s="28"/>
      <c r="J810" s="47">
        <f>$F809*J808</f>
        <v>8.6052657509999991E-3</v>
      </c>
      <c r="K810" s="47">
        <f t="shared" ref="K810:V810" si="309">$F809*K808</f>
        <v>8.6913184085100001E-3</v>
      </c>
      <c r="L810" s="81">
        <f t="shared" si="309"/>
        <v>8.7782315925950989E-3</v>
      </c>
      <c r="M810" s="81">
        <f t="shared" si="309"/>
        <v>8.8660139085210508E-3</v>
      </c>
      <c r="N810" s="81">
        <f t="shared" si="309"/>
        <v>8.9546740476062602E-3</v>
      </c>
      <c r="O810" s="81">
        <f t="shared" si="309"/>
        <v>9.0442207880823237E-3</v>
      </c>
      <c r="P810" s="81">
        <f t="shared" si="309"/>
        <v>9.1346629959631453E-3</v>
      </c>
      <c r="Q810" s="81">
        <f t="shared" si="309"/>
        <v>9.2260096259227774E-3</v>
      </c>
      <c r="R810" s="81">
        <f t="shared" si="309"/>
        <v>9.3182697221820057E-3</v>
      </c>
      <c r="S810" s="81">
        <f t="shared" si="309"/>
        <v>9.4114524194038266E-3</v>
      </c>
      <c r="T810" s="81">
        <f t="shared" si="309"/>
        <v>9.5055669435978648E-3</v>
      </c>
      <c r="U810" s="81">
        <f t="shared" si="309"/>
        <v>9.6006226130338438E-3</v>
      </c>
      <c r="V810" s="81">
        <f t="shared" si="309"/>
        <v>9.6966288391641831E-3</v>
      </c>
    </row>
    <row r="811" spans="2:22">
      <c r="G811"/>
    </row>
    <row r="812" spans="2:22">
      <c r="B812" s="2" t="s">
        <v>586</v>
      </c>
      <c r="G812"/>
    </row>
    <row r="813" spans="2:22">
      <c r="B813" s="407" t="s">
        <v>478</v>
      </c>
      <c r="G813"/>
      <c r="I813" s="13">
        <v>1</v>
      </c>
      <c r="J813" s="13">
        <f>I813*(1+Input!K796)*J$12</f>
        <v>1.0001497468346698</v>
      </c>
      <c r="K813" s="13">
        <f>J813*(1+Input!L796)*K$12</f>
        <v>1.0002995160934542</v>
      </c>
      <c r="L813" s="13">
        <f>K813*(1+Input!M796)*L$12</f>
        <v>1.000449307779711</v>
      </c>
      <c r="M813" s="13">
        <f>L813*(1+Input!N796)*M$12</f>
        <v>1.0005991218967987</v>
      </c>
      <c r="N813" s="13">
        <f>M813*(1+Input!O796)*N$12</f>
        <v>1.0007489584480762</v>
      </c>
      <c r="O813" s="13">
        <f>N813*(1+Input!P796)*O$12</f>
        <v>1.0008988174369029</v>
      </c>
      <c r="P813" s="13">
        <f>O813*(1+Input!Q796)*P$12</f>
        <v>1.0010486988666389</v>
      </c>
      <c r="Q813" s="13">
        <f>P813*(1+Input!R796)*Q$12</f>
        <v>1.0011986027406445</v>
      </c>
      <c r="R813" s="13">
        <f>Q813*(1+Input!S796)*R$12</f>
        <v>1.0013485290622808</v>
      </c>
      <c r="S813" s="13">
        <f>R813*(1+Input!T796)*S$12</f>
        <v>1.0014984778349092</v>
      </c>
      <c r="T813" s="13">
        <f>S813*(1+Input!U796)*T$12</f>
        <v>1.0016484490618915</v>
      </c>
      <c r="U813" s="13">
        <f>T813*(1+Input!V796)*U$12</f>
        <v>1.0017984427465905</v>
      </c>
      <c r="V813" s="13">
        <f>U813*(1+Input!W796)*V$12</f>
        <v>1.0019484588923691</v>
      </c>
    </row>
    <row r="814" spans="2:22">
      <c r="B814" s="407" t="s">
        <v>587</v>
      </c>
      <c r="G814"/>
    </row>
    <row r="815" spans="2:22">
      <c r="B815" t="s">
        <v>479</v>
      </c>
      <c r="F815" s="19">
        <v>1.4974683466982317E-4</v>
      </c>
      <c r="G815" s="17" t="s">
        <v>315</v>
      </c>
    </row>
    <row r="816" spans="2:22">
      <c r="B816" s="28" t="s">
        <v>585</v>
      </c>
      <c r="C816" s="28"/>
      <c r="D816" s="28"/>
      <c r="E816" s="28"/>
      <c r="F816" s="28"/>
      <c r="G816" s="28"/>
      <c r="H816" s="28"/>
      <c r="I816" s="28"/>
      <c r="J816" s="79">
        <f>$F$815*J761</f>
        <v>6.6874000453433407E-3</v>
      </c>
      <c r="K816" s="79">
        <f t="shared" ref="K816:V816" si="310">$F$815*K761</f>
        <v>2.8003162288469884E-3</v>
      </c>
      <c r="L816" s="79">
        <f t="shared" si="310"/>
        <v>1.0248618095630745E-3</v>
      </c>
      <c r="M816" s="79">
        <f t="shared" si="310"/>
        <v>1.1083880470424653E-3</v>
      </c>
      <c r="N816" s="79">
        <f t="shared" si="310"/>
        <v>1.1987216728764263E-3</v>
      </c>
      <c r="O816" s="79">
        <f t="shared" si="310"/>
        <v>1.2964174892158551E-3</v>
      </c>
      <c r="P816" s="79">
        <f t="shared" si="310"/>
        <v>1.4020755145869469E-3</v>
      </c>
      <c r="Q816" s="79">
        <f t="shared" si="310"/>
        <v>1.5163446690257835E-3</v>
      </c>
      <c r="R816" s="79">
        <f t="shared" si="310"/>
        <v>1.6399267595513846E-3</v>
      </c>
      <c r="S816" s="79">
        <f t="shared" si="310"/>
        <v>1.7735807904548223E-3</v>
      </c>
      <c r="T816" s="79">
        <f t="shared" si="310"/>
        <v>1.8622598299775637E-3</v>
      </c>
      <c r="U816" s="79">
        <f t="shared" si="310"/>
        <v>1.9553728214764424E-3</v>
      </c>
      <c r="V816" s="79">
        <f t="shared" si="310"/>
        <v>2.0531414625502642E-3</v>
      </c>
    </row>
    <row r="817" spans="2:22">
      <c r="G817"/>
    </row>
    <row r="818" spans="2:22" ht="15.75">
      <c r="B818" s="15" t="s">
        <v>535</v>
      </c>
      <c r="G818"/>
      <c r="J818" s="2">
        <f>SUM(J823,J828,J833,J838,J843)</f>
        <v>1.6379636075811999</v>
      </c>
      <c r="K818" s="2">
        <f t="shared" ref="K818:V818" si="311">SUM(K823,K828,K833,K838,K843)</f>
        <v>1.654343243657012</v>
      </c>
      <c r="L818" s="2">
        <f t="shared" si="311"/>
        <v>1.6708866760935817</v>
      </c>
      <c r="M818" s="2">
        <f t="shared" si="311"/>
        <v>1.6875955428545177</v>
      </c>
      <c r="N818" s="2">
        <f t="shared" si="311"/>
        <v>1.7044714982830629</v>
      </c>
      <c r="O818" s="2">
        <f t="shared" si="311"/>
        <v>1.7215162132658932</v>
      </c>
      <c r="P818" s="2">
        <f t="shared" si="311"/>
        <v>1.7387313753985525</v>
      </c>
      <c r="Q818" s="2">
        <f t="shared" si="311"/>
        <v>1.756118689152538</v>
      </c>
      <c r="R818" s="2">
        <f t="shared" si="311"/>
        <v>1.7736798760440635</v>
      </c>
      <c r="S818" s="2">
        <f t="shared" si="311"/>
        <v>1.791416674804504</v>
      </c>
      <c r="T818" s="2">
        <f t="shared" si="311"/>
        <v>1.8093308415525493</v>
      </c>
      <c r="U818" s="2">
        <f t="shared" si="311"/>
        <v>1.827424149968075</v>
      </c>
      <c r="V818" s="2">
        <f t="shared" si="311"/>
        <v>1.8456983914677556</v>
      </c>
    </row>
    <row r="819" spans="2:22">
      <c r="G819"/>
    </row>
    <row r="820" spans="2:22">
      <c r="B820" s="2" t="s">
        <v>496</v>
      </c>
      <c r="G820"/>
    </row>
    <row r="821" spans="2:22">
      <c r="B821" s="407" t="s">
        <v>478</v>
      </c>
      <c r="G821"/>
      <c r="I821" s="13">
        <v>1</v>
      </c>
      <c r="J821" s="13">
        <f>I821*(1+Input!K804)*J$12</f>
        <v>1.01</v>
      </c>
      <c r="K821" s="13">
        <f>J821*(1+Input!L804)*K$12</f>
        <v>1.0201</v>
      </c>
      <c r="L821" s="13">
        <f>K821*(1+Input!M804)*L$12</f>
        <v>1.0303009999999999</v>
      </c>
      <c r="M821" s="13">
        <f>L821*(1+Input!N804)*M$12</f>
        <v>1.04060401</v>
      </c>
      <c r="N821" s="13">
        <f>M821*(1+Input!O804)*N$12</f>
        <v>1.0510100500999999</v>
      </c>
      <c r="O821" s="13">
        <f>N821*(1+Input!P804)*O$12</f>
        <v>1.0615201506009999</v>
      </c>
      <c r="P821" s="13">
        <f>O821*(1+Input!Q804)*P$12</f>
        <v>1.0721353521070098</v>
      </c>
      <c r="Q821" s="13">
        <f>P821*(1+Input!R804)*Q$12</f>
        <v>1.08285670562808</v>
      </c>
      <c r="R821" s="13">
        <f>Q821*(1+Input!S804)*R$12</f>
        <v>1.0936852726843609</v>
      </c>
      <c r="S821" s="13">
        <f>R821*(1+Input!T804)*S$12</f>
        <v>1.1046221254112045</v>
      </c>
      <c r="T821" s="13">
        <f>S821*(1+Input!U804)*T$12</f>
        <v>1.1156683466653166</v>
      </c>
      <c r="U821" s="13">
        <f>T821*(1+Input!V804)*U$12</f>
        <v>1.1268250301319698</v>
      </c>
      <c r="V821" s="13">
        <f>U821*(1+Input!W804)*V$12</f>
        <v>1.1380932804332895</v>
      </c>
    </row>
    <row r="822" spans="2:22">
      <c r="B822" t="s">
        <v>479</v>
      </c>
      <c r="F822" s="19">
        <f>Input!J809</f>
        <v>1.3845168216799999</v>
      </c>
      <c r="G822" s="17" t="s">
        <v>315</v>
      </c>
    </row>
    <row r="823" spans="2:22">
      <c r="B823" s="28" t="s">
        <v>585</v>
      </c>
      <c r="C823" s="28"/>
      <c r="D823" s="28"/>
      <c r="E823" s="28"/>
      <c r="F823" s="28"/>
      <c r="G823" s="28"/>
      <c r="H823" s="28"/>
      <c r="I823" s="28"/>
      <c r="J823" s="47">
        <f>$F822*J821</f>
        <v>1.3983619898967998</v>
      </c>
      <c r="K823" s="47">
        <f t="shared" ref="K823:V823" si="312">$F822*K821</f>
        <v>1.4123456097957678</v>
      </c>
      <c r="L823" s="47">
        <f t="shared" si="312"/>
        <v>1.4264690658937254</v>
      </c>
      <c r="M823" s="47">
        <f t="shared" si="312"/>
        <v>1.4407337565526628</v>
      </c>
      <c r="N823" s="47">
        <f t="shared" si="312"/>
        <v>1.4551410941181893</v>
      </c>
      <c r="O823" s="47">
        <f t="shared" si="312"/>
        <v>1.4696925050593712</v>
      </c>
      <c r="P823" s="47">
        <f t="shared" si="312"/>
        <v>1.4843894301099649</v>
      </c>
      <c r="Q823" s="47">
        <f t="shared" si="312"/>
        <v>1.4992333244110645</v>
      </c>
      <c r="R823" s="47">
        <f t="shared" si="312"/>
        <v>1.5142256576551754</v>
      </c>
      <c r="S823" s="47">
        <f t="shared" si="312"/>
        <v>1.5293679142317271</v>
      </c>
      <c r="T823" s="47">
        <f t="shared" si="312"/>
        <v>1.5446615933740444</v>
      </c>
      <c r="U823" s="47">
        <f t="shared" si="312"/>
        <v>1.5601082093077849</v>
      </c>
      <c r="V823" s="47">
        <f t="shared" si="312"/>
        <v>1.5757092914008628</v>
      </c>
    </row>
    <row r="824" spans="2:22">
      <c r="G824"/>
    </row>
    <row r="825" spans="2:22">
      <c r="B825" s="2" t="s">
        <v>499</v>
      </c>
      <c r="G825"/>
    </row>
    <row r="826" spans="2:22">
      <c r="B826" s="407" t="s">
        <v>478</v>
      </c>
      <c r="G826"/>
      <c r="I826" s="13">
        <v>1</v>
      </c>
      <c r="J826" s="13">
        <f>I826*(1+Input!K811)*J$12</f>
        <v>1.01</v>
      </c>
      <c r="K826" s="13">
        <f>J826*(1+Input!L811)*K$12</f>
        <v>1.0201</v>
      </c>
      <c r="L826" s="13">
        <f>K826*(1+Input!M811)*L$12</f>
        <v>1.0303009999999999</v>
      </c>
      <c r="M826" s="13">
        <f>L826*(1+Input!N811)*M$12</f>
        <v>1.04060401</v>
      </c>
      <c r="N826" s="13">
        <f>M826*(1+Input!O811)*N$12</f>
        <v>1.0510100500999999</v>
      </c>
      <c r="O826" s="13">
        <f>N826*(1+Input!P811)*O$12</f>
        <v>1.0615201506009999</v>
      </c>
      <c r="P826" s="13">
        <f>O826*(1+Input!Q811)*P$12</f>
        <v>1.0721353521070098</v>
      </c>
      <c r="Q826" s="13">
        <f>P826*(1+Input!R811)*Q$12</f>
        <v>1.08285670562808</v>
      </c>
      <c r="R826" s="13">
        <f>Q826*(1+Input!S811)*R$12</f>
        <v>1.0936852726843609</v>
      </c>
      <c r="S826" s="13">
        <f>R826*(1+Input!T811)*S$12</f>
        <v>1.1046221254112045</v>
      </c>
      <c r="T826" s="13">
        <f>S826*(1+Input!U811)*T$12</f>
        <v>1.1156683466653166</v>
      </c>
      <c r="U826" s="13">
        <f>T826*(1+Input!V811)*U$12</f>
        <v>1.1268250301319698</v>
      </c>
      <c r="V826" s="13">
        <f>U826*(1+Input!W811)*V$12</f>
        <v>1.1380932804332895</v>
      </c>
    </row>
    <row r="827" spans="2:22">
      <c r="B827" t="s">
        <v>479</v>
      </c>
      <c r="F827" s="19">
        <f>Input!J816</f>
        <v>9.1772826000000002E-2</v>
      </c>
      <c r="G827" s="17" t="s">
        <v>315</v>
      </c>
    </row>
    <row r="828" spans="2:22">
      <c r="B828" s="28" t="s">
        <v>585</v>
      </c>
      <c r="C828" s="28"/>
      <c r="D828" s="28"/>
      <c r="E828" s="28"/>
      <c r="F828" s="28"/>
      <c r="G828" s="28"/>
      <c r="H828" s="28"/>
      <c r="I828" s="28"/>
      <c r="J828" s="79">
        <f t="shared" ref="J828:V828" si="313">$F827*J826</f>
        <v>9.2690554260000002E-2</v>
      </c>
      <c r="K828" s="79">
        <f t="shared" si="313"/>
        <v>9.36174598026E-2</v>
      </c>
      <c r="L828" s="79">
        <f t="shared" si="313"/>
        <v>9.4553634400625988E-2</v>
      </c>
      <c r="M828" s="79">
        <f t="shared" si="313"/>
        <v>9.5499170744632267E-2</v>
      </c>
      <c r="N828" s="79">
        <f t="shared" si="313"/>
        <v>9.6454162452078579E-2</v>
      </c>
      <c r="O828" s="79">
        <f t="shared" si="313"/>
        <v>9.7418704076599361E-2</v>
      </c>
      <c r="P828" s="79">
        <f t="shared" si="313"/>
        <v>9.839289111736535E-2</v>
      </c>
      <c r="Q828" s="79">
        <f t="shared" si="313"/>
        <v>9.9376820028539009E-2</v>
      </c>
      <c r="R828" s="79">
        <f t="shared" si="313"/>
        <v>0.1003705882288244</v>
      </c>
      <c r="S828" s="79">
        <f t="shared" si="313"/>
        <v>0.10137429411111265</v>
      </c>
      <c r="T828" s="79">
        <f t="shared" si="313"/>
        <v>0.10238803705222378</v>
      </c>
      <c r="U828" s="79">
        <f t="shared" si="313"/>
        <v>0.10341191742274602</v>
      </c>
      <c r="V828" s="79">
        <f t="shared" si="313"/>
        <v>0.10444603659697349</v>
      </c>
    </row>
    <row r="829" spans="2:22">
      <c r="G829"/>
    </row>
    <row r="830" spans="2:22">
      <c r="B830" s="2" t="s">
        <v>569</v>
      </c>
      <c r="G830"/>
    </row>
    <row r="831" spans="2:22">
      <c r="B831" s="407" t="s">
        <v>478</v>
      </c>
      <c r="G831"/>
      <c r="I831" s="13">
        <v>1</v>
      </c>
      <c r="J831" s="13">
        <f>I831*(1+Input!K818)*J$12</f>
        <v>1.01</v>
      </c>
      <c r="K831" s="13">
        <f>J831*(1+Input!L818)*K$12</f>
        <v>1.0201</v>
      </c>
      <c r="L831" s="13">
        <f>K831*(1+Input!M818)*L$12</f>
        <v>1.0303009999999999</v>
      </c>
      <c r="M831" s="13">
        <f>L831*(1+Input!N818)*M$12</f>
        <v>1.04060401</v>
      </c>
      <c r="N831" s="13">
        <f>M831*(1+Input!O818)*N$12</f>
        <v>1.0510100500999999</v>
      </c>
      <c r="O831" s="13">
        <f>N831*(1+Input!P818)*O$12</f>
        <v>1.0615201506009999</v>
      </c>
      <c r="P831" s="13">
        <f>O831*(1+Input!Q818)*P$12</f>
        <v>1.0721353521070098</v>
      </c>
      <c r="Q831" s="13">
        <f>P831*(1+Input!R818)*Q$12</f>
        <v>1.08285670562808</v>
      </c>
      <c r="R831" s="13">
        <f>Q831*(1+Input!S818)*R$12</f>
        <v>1.0936852726843609</v>
      </c>
      <c r="S831" s="13">
        <f>R831*(1+Input!T818)*S$12</f>
        <v>1.1046221254112045</v>
      </c>
      <c r="T831" s="13">
        <f>S831*(1+Input!U818)*T$12</f>
        <v>1.1156683466653166</v>
      </c>
      <c r="U831" s="13">
        <f>T831*(1+Input!V818)*U$12</f>
        <v>1.1268250301319698</v>
      </c>
      <c r="V831" s="13">
        <f>U831*(1+Input!W818)*V$12</f>
        <v>1.1380932804332895</v>
      </c>
    </row>
    <row r="832" spans="2:22">
      <c r="B832" t="s">
        <v>479</v>
      </c>
      <c r="F832" s="19">
        <f>Input!J823</f>
        <v>0.09</v>
      </c>
      <c r="G832" s="17" t="s">
        <v>315</v>
      </c>
    </row>
    <row r="833" spans="2:22">
      <c r="B833" s="28" t="s">
        <v>585</v>
      </c>
      <c r="C833" s="28"/>
      <c r="D833" s="28"/>
      <c r="E833" s="28"/>
      <c r="F833" s="28"/>
      <c r="G833" s="28"/>
      <c r="H833" s="28"/>
      <c r="I833" s="28"/>
      <c r="J833" s="79">
        <f t="shared" ref="J833:V833" si="314">$F832*J831</f>
        <v>9.0899999999999995E-2</v>
      </c>
      <c r="K833" s="79">
        <f t="shared" si="314"/>
        <v>9.1809000000000002E-2</v>
      </c>
      <c r="L833" s="79">
        <f t="shared" si="314"/>
        <v>9.2727089999999984E-2</v>
      </c>
      <c r="M833" s="79">
        <f t="shared" si="314"/>
        <v>9.3654360899999997E-2</v>
      </c>
      <c r="N833" s="79">
        <f t="shared" si="314"/>
        <v>9.4590904508999984E-2</v>
      </c>
      <c r="O833" s="79">
        <f t="shared" si="314"/>
        <v>9.5536813554089994E-2</v>
      </c>
      <c r="P833" s="79">
        <f t="shared" si="314"/>
        <v>9.6492181689630876E-2</v>
      </c>
      <c r="Q833" s="79">
        <f t="shared" si="314"/>
        <v>9.7457103506527198E-2</v>
      </c>
      <c r="R833" s="79">
        <f t="shared" si="314"/>
        <v>9.8431674541592476E-2</v>
      </c>
      <c r="S833" s="79">
        <f t="shared" si="314"/>
        <v>9.9415991287008398E-2</v>
      </c>
      <c r="T833" s="79">
        <f t="shared" si="314"/>
        <v>0.10041015119987849</v>
      </c>
      <c r="U833" s="79">
        <f t="shared" si="314"/>
        <v>0.10141425271187728</v>
      </c>
      <c r="V833" s="79">
        <f t="shared" si="314"/>
        <v>0.10242839523899605</v>
      </c>
    </row>
    <row r="834" spans="2:22">
      <c r="G834"/>
    </row>
    <row r="835" spans="2:22">
      <c r="B835" s="2" t="s">
        <v>501</v>
      </c>
      <c r="G835"/>
    </row>
    <row r="836" spans="2:22">
      <c r="B836" s="407" t="s">
        <v>478</v>
      </c>
      <c r="G836"/>
      <c r="I836" s="13">
        <v>1</v>
      </c>
      <c r="J836" s="13">
        <f>I836*(1+Input!K825)*J$12</f>
        <v>1.01</v>
      </c>
      <c r="K836" s="13">
        <f>J836*(1+Input!L825)*K$12</f>
        <v>1.0201</v>
      </c>
      <c r="L836" s="13">
        <f>K836*(1+Input!M825)*L$12</f>
        <v>1.0303009999999999</v>
      </c>
      <c r="M836" s="13">
        <f>L836*(1+Input!N825)*M$12</f>
        <v>1.04060401</v>
      </c>
      <c r="N836" s="13">
        <f>M836*(1+Input!O825)*N$12</f>
        <v>1.0510100500999999</v>
      </c>
      <c r="O836" s="13">
        <f>N836*(1+Input!P825)*O$12</f>
        <v>1.0615201506009999</v>
      </c>
      <c r="P836" s="13">
        <f>O836*(1+Input!Q825)*P$12</f>
        <v>1.0721353521070098</v>
      </c>
      <c r="Q836" s="13">
        <f>P836*(1+Input!R825)*Q$12</f>
        <v>1.08285670562808</v>
      </c>
      <c r="R836" s="13">
        <f>Q836*(1+Input!S825)*R$12</f>
        <v>1.0936852726843609</v>
      </c>
      <c r="S836" s="13">
        <f>R836*(1+Input!T825)*S$12</f>
        <v>1.1046221254112045</v>
      </c>
      <c r="T836" s="13">
        <f>S836*(1+Input!U825)*T$12</f>
        <v>1.1156683466653166</v>
      </c>
      <c r="U836" s="13">
        <f>T836*(1+Input!V825)*U$12</f>
        <v>1.1268250301319698</v>
      </c>
      <c r="V836" s="13">
        <f>U836*(1+Input!W825)*V$12</f>
        <v>1.1380932804332895</v>
      </c>
    </row>
    <row r="837" spans="2:22">
      <c r="B837" t="s">
        <v>479</v>
      </c>
      <c r="F837" s="19">
        <f>Input!J830</f>
        <v>4.422234244E-2</v>
      </c>
      <c r="G837" s="17" t="s">
        <v>315</v>
      </c>
    </row>
    <row r="838" spans="2:22">
      <c r="B838" s="28" t="s">
        <v>585</v>
      </c>
      <c r="C838" s="28"/>
      <c r="D838" s="28"/>
      <c r="E838" s="28"/>
      <c r="F838" s="28"/>
      <c r="G838" s="28"/>
      <c r="H838" s="28"/>
      <c r="I838" s="28"/>
      <c r="J838" s="79">
        <f t="shared" ref="J838:V838" si="315">$F837*J836</f>
        <v>4.4664565864399999E-2</v>
      </c>
      <c r="K838" s="79">
        <f t="shared" si="315"/>
        <v>4.5111211523044002E-2</v>
      </c>
      <c r="L838" s="79">
        <f t="shared" si="315"/>
        <v>4.5562323638274435E-2</v>
      </c>
      <c r="M838" s="79">
        <f t="shared" si="315"/>
        <v>4.6017946874657184E-2</v>
      </c>
      <c r="N838" s="79">
        <f t="shared" si="315"/>
        <v>4.6478126343403751E-2</v>
      </c>
      <c r="O838" s="79">
        <f t="shared" si="315"/>
        <v>4.6942907606837787E-2</v>
      </c>
      <c r="P838" s="79">
        <f t="shared" si="315"/>
        <v>4.7412336682906162E-2</v>
      </c>
      <c r="Q838" s="79">
        <f t="shared" si="315"/>
        <v>4.7886460049735229E-2</v>
      </c>
      <c r="R838" s="79">
        <f t="shared" si="315"/>
        <v>4.8365324650232584E-2</v>
      </c>
      <c r="S838" s="79">
        <f t="shared" si="315"/>
        <v>4.884897789673491E-2</v>
      </c>
      <c r="T838" s="79">
        <f t="shared" si="315"/>
        <v>4.9337467675702261E-2</v>
      </c>
      <c r="U838" s="79">
        <f t="shared" si="315"/>
        <v>4.9830842352459284E-2</v>
      </c>
      <c r="V838" s="79">
        <f t="shared" si="315"/>
        <v>5.0329150775983877E-2</v>
      </c>
    </row>
    <row r="839" spans="2:22">
      <c r="G839"/>
    </row>
    <row r="840" spans="2:22">
      <c r="B840" s="2" t="s">
        <v>500</v>
      </c>
      <c r="G840"/>
    </row>
    <row r="841" spans="2:22">
      <c r="B841" s="407" t="s">
        <v>478</v>
      </c>
      <c r="G841"/>
      <c r="I841" s="13">
        <v>1</v>
      </c>
      <c r="J841" s="13">
        <f>I841*(1+Input!K832)*J$12</f>
        <v>1.01</v>
      </c>
      <c r="K841" s="13">
        <f>J841*(1+Input!L832)*K$12</f>
        <v>1.0201</v>
      </c>
      <c r="L841" s="13">
        <f>K841*(1+Input!M832)*L$12</f>
        <v>1.0303009999999999</v>
      </c>
      <c r="M841" s="13">
        <f>L841*(1+Input!N832)*M$12</f>
        <v>1.04060401</v>
      </c>
      <c r="N841" s="13">
        <f>M841*(1+Input!O832)*N$12</f>
        <v>1.0510100500999999</v>
      </c>
      <c r="O841" s="13">
        <f>N841*(1+Input!P832)*O$12</f>
        <v>1.0615201506009999</v>
      </c>
      <c r="P841" s="13">
        <f>O841*(1+Input!Q832)*P$12</f>
        <v>1.0721353521070098</v>
      </c>
      <c r="Q841" s="13">
        <f>P841*(1+Input!R832)*Q$12</f>
        <v>1.08285670562808</v>
      </c>
      <c r="R841" s="13">
        <f>Q841*(1+Input!S832)*R$12</f>
        <v>1.0936852726843609</v>
      </c>
      <c r="S841" s="13">
        <f>R841*(1+Input!T832)*S$12</f>
        <v>1.1046221254112045</v>
      </c>
      <c r="T841" s="13">
        <f>S841*(1+Input!U832)*T$12</f>
        <v>1.1156683466653166</v>
      </c>
      <c r="U841" s="13">
        <f>T841*(1+Input!V832)*U$12</f>
        <v>1.1268250301319698</v>
      </c>
      <c r="V841" s="13">
        <f>U841*(1+Input!W832)*V$12</f>
        <v>1.1380932804332895</v>
      </c>
    </row>
    <row r="842" spans="2:22">
      <c r="B842" t="s">
        <v>479</v>
      </c>
      <c r="F842" s="19">
        <f>Input!J837</f>
        <v>1.1234156E-2</v>
      </c>
      <c r="G842" s="17" t="s">
        <v>315</v>
      </c>
    </row>
    <row r="843" spans="2:22">
      <c r="B843" s="28" t="s">
        <v>585</v>
      </c>
      <c r="C843" s="28"/>
      <c r="D843" s="28"/>
      <c r="E843" s="28"/>
      <c r="F843" s="28"/>
      <c r="G843" s="28"/>
      <c r="H843" s="28"/>
      <c r="I843" s="28"/>
      <c r="J843" s="79">
        <f t="shared" ref="J843:V843" si="316">$F842*J841</f>
        <v>1.134649756E-2</v>
      </c>
      <c r="K843" s="79">
        <f t="shared" si="316"/>
        <v>1.1459962535600001E-2</v>
      </c>
      <c r="L843" s="79">
        <f t="shared" si="316"/>
        <v>1.1574562160955999E-2</v>
      </c>
      <c r="M843" s="79">
        <f t="shared" si="316"/>
        <v>1.1690307782565561E-2</v>
      </c>
      <c r="N843" s="79">
        <f t="shared" si="316"/>
        <v>1.1807210860391215E-2</v>
      </c>
      <c r="O843" s="79">
        <f t="shared" si="316"/>
        <v>1.1925282968995128E-2</v>
      </c>
      <c r="P843" s="79">
        <f t="shared" si="316"/>
        <v>1.2044535798685077E-2</v>
      </c>
      <c r="Q843" s="79">
        <f t="shared" si="316"/>
        <v>1.2164981156671929E-2</v>
      </c>
      <c r="R843" s="79">
        <f t="shared" si="316"/>
        <v>1.2286630968238649E-2</v>
      </c>
      <c r="S843" s="79">
        <f t="shared" si="316"/>
        <v>1.2409497277921035E-2</v>
      </c>
      <c r="T843" s="79">
        <f t="shared" si="316"/>
        <v>1.2533592250700247E-2</v>
      </c>
      <c r="U843" s="79">
        <f t="shared" si="316"/>
        <v>1.2658928173207249E-2</v>
      </c>
      <c r="V843" s="79">
        <f t="shared" si="316"/>
        <v>1.2785517454939322E-2</v>
      </c>
    </row>
    <row r="844" spans="2:22">
      <c r="G844"/>
    </row>
    <row r="845" spans="2:22">
      <c r="G845"/>
    </row>
    <row r="846" spans="2:22" ht="24" thickBot="1">
      <c r="B846" s="14" t="s">
        <v>588</v>
      </c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</row>
    <row r="847" spans="2:22">
      <c r="G847"/>
    </row>
    <row r="848" spans="2:22">
      <c r="B848" t="s">
        <v>37</v>
      </c>
      <c r="F848" s="19">
        <v>2026</v>
      </c>
      <c r="G848"/>
      <c r="J848" s="13">
        <f>IF(J$8&lt;$F848,0,1)*J$12</f>
        <v>0</v>
      </c>
      <c r="K848" s="13">
        <f t="shared" ref="K848:V848" si="317">IF(K$8&lt;$F848,0,1)*K$12</f>
        <v>0</v>
      </c>
      <c r="L848" s="13">
        <f t="shared" si="317"/>
        <v>1</v>
      </c>
      <c r="M848" s="13">
        <f t="shared" si="317"/>
        <v>1</v>
      </c>
      <c r="N848" s="13">
        <f t="shared" si="317"/>
        <v>1</v>
      </c>
      <c r="O848" s="13">
        <f t="shared" si="317"/>
        <v>1</v>
      </c>
      <c r="P848" s="13">
        <f t="shared" si="317"/>
        <v>1</v>
      </c>
      <c r="Q848" s="13">
        <f t="shared" si="317"/>
        <v>1</v>
      </c>
      <c r="R848" s="13">
        <f t="shared" si="317"/>
        <v>1</v>
      </c>
      <c r="S848" s="13">
        <f t="shared" si="317"/>
        <v>1</v>
      </c>
      <c r="T848" s="13">
        <f t="shared" si="317"/>
        <v>1</v>
      </c>
      <c r="U848" s="13">
        <f t="shared" si="317"/>
        <v>1</v>
      </c>
      <c r="V848" s="13">
        <f t="shared" si="317"/>
        <v>1</v>
      </c>
    </row>
    <row r="849" spans="2:22">
      <c r="G849"/>
    </row>
    <row r="850" spans="2:22" ht="15.75">
      <c r="B850" s="15" t="s">
        <v>589</v>
      </c>
      <c r="G850"/>
    </row>
    <row r="851" spans="2:22" ht="15.75">
      <c r="B851" s="41" t="s">
        <v>590</v>
      </c>
      <c r="F851" s="19">
        <v>2023</v>
      </c>
      <c r="G851"/>
      <c r="I851">
        <v>1</v>
      </c>
      <c r="J851" s="70">
        <f>IF(J$8&lt;$F851,0,IF(J$8=$F851,1,I851*(1+Input!K844)*J$12))</f>
        <v>1</v>
      </c>
      <c r="K851" s="70">
        <f>IF(K$8&lt;$F851,0,IF(K$8=$F851,1,J851*(1+Input!L844)*K$12))</f>
        <v>1.04</v>
      </c>
      <c r="L851" s="70">
        <f>IF(L$8&lt;$F851,0,IF(L$8=$F851,1,K851*(1+Input!M844)*L$12))</f>
        <v>1.0816000000000001</v>
      </c>
      <c r="M851" s="70">
        <f>IF(M$8&lt;$F851,0,IF(M$8=$F851,1,L851*(1+Input!N844)*M$12))</f>
        <v>1.1248640000000001</v>
      </c>
      <c r="N851" s="70">
        <f>IF(N$8&lt;$F851,0,IF(N$8=$F851,1,M851*(1+Input!O844)*N$12))</f>
        <v>1.1698585600000002</v>
      </c>
      <c r="O851" s="70">
        <f>IF(O$8&lt;$F851,0,IF(O$8=$F851,1,N851*(1+Input!P844)*O$12))</f>
        <v>1.2166529024000003</v>
      </c>
      <c r="P851" s="70">
        <f>IF(P$8&lt;$F851,0,IF(P$8=$F851,1,O851*(1+Input!Q844)*P$12))</f>
        <v>1.2653190184960004</v>
      </c>
      <c r="Q851" s="70">
        <f>IF(Q$8&lt;$F851,0,IF(Q$8=$F851,1,P851*(1+Input!R844)*Q$12))</f>
        <v>1.3159317792358405</v>
      </c>
      <c r="R851" s="70">
        <f>IF(R$8&lt;$F851,0,IF(R$8=$F851,1,Q851*(1+Input!S844)*R$12))</f>
        <v>1.3685690504052741</v>
      </c>
      <c r="S851" s="70">
        <f>IF(S$8&lt;$F851,0,IF(S$8=$F851,1,R851*(1+Input!T844)*S$12))</f>
        <v>1.4233118124214852</v>
      </c>
      <c r="T851" s="70">
        <f>IF(T$8&lt;$F851,0,IF(T$8=$F851,1,S851*(1+Input!U844)*T$12))</f>
        <v>1.4802442849183446</v>
      </c>
      <c r="U851" s="70">
        <f>IF(U$8&lt;$F851,0,IF(U$8=$F851,1,T851*(1+Input!V844)*U$12))</f>
        <v>1.5394540563150785</v>
      </c>
      <c r="V851" s="70">
        <f>IF(V$8&lt;$F851,0,IF(V$8=$F851,1,U851*(1+Input!W844)*V$12))</f>
        <v>1.6010322185676817</v>
      </c>
    </row>
    <row r="852" spans="2:22">
      <c r="B852" s="407" t="s">
        <v>407</v>
      </c>
      <c r="F852" s="6">
        <f>Input!$J$849</f>
        <v>276000</v>
      </c>
      <c r="G852" s="17" t="s">
        <v>315</v>
      </c>
      <c r="J852">
        <f t="shared" ref="J852:V852" si="318">$F852*J851</f>
        <v>276000</v>
      </c>
      <c r="K852">
        <f t="shared" si="318"/>
        <v>287040</v>
      </c>
      <c r="L852">
        <f t="shared" si="318"/>
        <v>298521.60000000003</v>
      </c>
      <c r="M852">
        <f t="shared" si="318"/>
        <v>310462.46400000004</v>
      </c>
      <c r="N852">
        <f t="shared" si="318"/>
        <v>322880.96256000007</v>
      </c>
      <c r="O852">
        <f t="shared" si="318"/>
        <v>335796.20106240007</v>
      </c>
      <c r="P852">
        <f t="shared" si="318"/>
        <v>349228.04910489608</v>
      </c>
      <c r="Q852">
        <f t="shared" si="318"/>
        <v>363197.171069092</v>
      </c>
      <c r="R852">
        <f t="shared" si="318"/>
        <v>377725.05791185563</v>
      </c>
      <c r="S852">
        <f t="shared" si="318"/>
        <v>392834.06022832991</v>
      </c>
      <c r="T852">
        <f t="shared" si="318"/>
        <v>408547.42263746308</v>
      </c>
      <c r="U852">
        <f t="shared" si="318"/>
        <v>424889.31954296166</v>
      </c>
      <c r="V852">
        <f t="shared" si="318"/>
        <v>441884.89232468017</v>
      </c>
    </row>
    <row r="853" spans="2:22">
      <c r="B853" s="407" t="s">
        <v>465</v>
      </c>
      <c r="J853">
        <f>Input!K852</f>
        <v>32000.000000000007</v>
      </c>
      <c r="K853">
        <f>Input!L852</f>
        <v>32960.000000000007</v>
      </c>
      <c r="L853">
        <f>Input!M852</f>
        <v>33948.80000000001</v>
      </c>
      <c r="M853">
        <f>Input!N852</f>
        <v>34967.26400000001</v>
      </c>
      <c r="N853">
        <f>Input!O852</f>
        <v>36016.281920000009</v>
      </c>
      <c r="O853">
        <f>Input!P852</f>
        <v>37096.770377600005</v>
      </c>
      <c r="P853">
        <f>Input!Q852</f>
        <v>38209.673488928005</v>
      </c>
      <c r="Q853">
        <f>Input!R852</f>
        <v>39355.963693595848</v>
      </c>
      <c r="R853">
        <f>Input!S852</f>
        <v>40536.642604403722</v>
      </c>
      <c r="S853">
        <f>Input!T852</f>
        <v>41752.741882535833</v>
      </c>
      <c r="T853">
        <f>Input!U810</f>
        <v>0</v>
      </c>
      <c r="U853">
        <f>Input!V810</f>
        <v>0</v>
      </c>
      <c r="V853">
        <f>Input!W810</f>
        <v>0</v>
      </c>
    </row>
    <row r="854" spans="2:22">
      <c r="B854" s="28" t="s">
        <v>9</v>
      </c>
      <c r="C854" s="28"/>
      <c r="D854" s="28"/>
      <c r="E854" s="28"/>
      <c r="F854" s="28"/>
      <c r="G854" s="28"/>
      <c r="H854" s="28"/>
      <c r="I854" s="48">
        <f>SUM(J854:V854)</f>
        <v>122.7207069758706</v>
      </c>
      <c r="J854" s="76">
        <f>J852*J853/Billion</f>
        <v>8.8320000000000025</v>
      </c>
      <c r="K854" s="76">
        <f t="shared" ref="K854:V854" si="319">K852*K853/Billion</f>
        <v>9.4608384000000019</v>
      </c>
      <c r="L854" s="76">
        <f t="shared" si="319"/>
        <v>10.134450094080004</v>
      </c>
      <c r="M854" s="76">
        <f t="shared" si="319"/>
        <v>10.8560229407785</v>
      </c>
      <c r="N854" s="76">
        <f t="shared" si="319"/>
        <v>11.628971774161931</v>
      </c>
      <c r="O854" s="76">
        <f t="shared" si="319"/>
        <v>12.456954564482258</v>
      </c>
      <c r="P854" s="76">
        <f t="shared" si="319"/>
        <v>13.343889729473396</v>
      </c>
      <c r="Q854" s="76">
        <f t="shared" si="319"/>
        <v>14.293974678211905</v>
      </c>
      <c r="R854" s="76">
        <f t="shared" si="319"/>
        <v>15.31170567530059</v>
      </c>
      <c r="S854" s="76">
        <f t="shared" si="319"/>
        <v>16.401899119381994</v>
      </c>
      <c r="T854" s="76">
        <f t="shared" si="319"/>
        <v>0</v>
      </c>
      <c r="U854" s="76">
        <f t="shared" si="319"/>
        <v>0</v>
      </c>
      <c r="V854" s="76">
        <f t="shared" si="319"/>
        <v>0</v>
      </c>
    </row>
    <row r="855" spans="2:22">
      <c r="G855"/>
      <c r="I855" s="21"/>
      <c r="K855" s="21"/>
      <c r="L855" s="21"/>
      <c r="M855" s="21"/>
      <c r="N855" s="21"/>
    </row>
    <row r="856" spans="2:22" ht="15.75">
      <c r="B856" s="41" t="s">
        <v>591</v>
      </c>
      <c r="F856" s="19">
        <v>2023</v>
      </c>
      <c r="G856"/>
      <c r="I856">
        <v>1</v>
      </c>
      <c r="J856" s="70">
        <f>IF(J$8&lt;$F856,0,IF(J$8=$F856,1,I856*(1+Input!K857)*J$12))</f>
        <v>1</v>
      </c>
      <c r="K856" s="70">
        <f>IF(K$8&lt;$F856,0,IF(K$8=$F856,1,J856*(1+Input!L857)*K$12))</f>
        <v>1.04</v>
      </c>
      <c r="L856" s="70">
        <f>IF(L$8&lt;$F856,0,IF(L$8=$F856,1,K856*(1+Input!M857)*L$12))</f>
        <v>1.0816000000000001</v>
      </c>
      <c r="M856" s="70">
        <f>IF(M$8&lt;$F856,0,IF(M$8=$F856,1,L856*(1+Input!N857)*M$12))</f>
        <v>1.1248640000000001</v>
      </c>
      <c r="N856" s="70">
        <f>IF(N$8&lt;$F856,0,IF(N$8=$F856,1,M856*(1+Input!O857)*N$12))</f>
        <v>1.1698585600000002</v>
      </c>
      <c r="O856" s="70">
        <f>IF(O$8&lt;$F856,0,IF(O$8=$F856,1,N856*(1+Input!P857)*O$12))</f>
        <v>1.2166529024000003</v>
      </c>
      <c r="P856" s="70">
        <f>IF(P$8&lt;$F856,0,IF(P$8=$F856,1,O856*(1+Input!Q857)*P$12))</f>
        <v>1.2653190184960004</v>
      </c>
      <c r="Q856" s="70">
        <f>IF(Q$8&lt;$F856,0,IF(Q$8=$F856,1,P856*(1+Input!R857)*Q$12))</f>
        <v>1.3159317792358405</v>
      </c>
      <c r="R856" s="70">
        <f>IF(R$8&lt;$F856,0,IF(R$8=$F856,1,Q856*(1+Input!S857)*R$12))</f>
        <v>1.3685690504052741</v>
      </c>
      <c r="S856" s="70">
        <f>IF(S$8&lt;$F856,0,IF(S$8=$F856,1,R856*(1+Input!T857)*S$12))</f>
        <v>1.4233118124214852</v>
      </c>
      <c r="T856" s="70">
        <f>IF(T$8&lt;$F856,0,IF(T$8=$F856,1,S856*(1+Input!U857)*T$12))</f>
        <v>1.4802442849183446</v>
      </c>
      <c r="U856" s="70">
        <f>IF(U$8&lt;$F856,0,IF(U$8=$F856,1,T856*(1+Input!V857)*U$12))</f>
        <v>1.5394540563150785</v>
      </c>
      <c r="V856" s="70">
        <f>IF(V$8&lt;$F856,0,IF(V$8=$F856,1,U856*(1+Input!W857)*V$12))</f>
        <v>1.6010322185676817</v>
      </c>
    </row>
    <row r="857" spans="2:22">
      <c r="B857" s="407" t="s">
        <v>407</v>
      </c>
      <c r="F857" s="16">
        <f>Input!J862</f>
        <v>80000</v>
      </c>
      <c r="G857" s="17" t="s">
        <v>315</v>
      </c>
      <c r="J857">
        <f t="shared" ref="J857:V857" si="320">$F857*J856</f>
        <v>80000</v>
      </c>
      <c r="K857">
        <f t="shared" si="320"/>
        <v>83200</v>
      </c>
      <c r="L857">
        <f t="shared" si="320"/>
        <v>86528.000000000015</v>
      </c>
      <c r="M857">
        <f t="shared" si="320"/>
        <v>89989.12000000001</v>
      </c>
      <c r="N857">
        <f t="shared" si="320"/>
        <v>93588.684800000017</v>
      </c>
      <c r="O857">
        <f t="shared" si="320"/>
        <v>97332.232192000025</v>
      </c>
      <c r="P857">
        <f t="shared" si="320"/>
        <v>101225.52147968003</v>
      </c>
      <c r="Q857">
        <f t="shared" si="320"/>
        <v>105274.54233886724</v>
      </c>
      <c r="R857">
        <f t="shared" si="320"/>
        <v>109485.52403242193</v>
      </c>
      <c r="S857">
        <f t="shared" si="320"/>
        <v>113864.94499371882</v>
      </c>
      <c r="T857">
        <f t="shared" si="320"/>
        <v>118419.54279346757</v>
      </c>
      <c r="U857">
        <f t="shared" si="320"/>
        <v>123156.32450520628</v>
      </c>
      <c r="V857">
        <f t="shared" si="320"/>
        <v>128082.57748541454</v>
      </c>
    </row>
    <row r="858" spans="2:22">
      <c r="B858" s="407" t="s">
        <v>465</v>
      </c>
      <c r="J858">
        <f>Input!K864</f>
        <v>84400</v>
      </c>
      <c r="K858">
        <f>Input!L864</f>
        <v>86932</v>
      </c>
      <c r="L858">
        <f>Input!M864</f>
        <v>89539.96</v>
      </c>
      <c r="M858">
        <f>Input!N864</f>
        <v>92226.158800000005</v>
      </c>
      <c r="N858">
        <f>Input!O864</f>
        <v>94992.943564000001</v>
      </c>
      <c r="O858">
        <f>Input!P864</f>
        <v>97842.731870920004</v>
      </c>
      <c r="P858">
        <f>Input!Q864</f>
        <v>100778.0138270476</v>
      </c>
      <c r="Q858">
        <f>Input!R864</f>
        <v>103801.35424185902</v>
      </c>
      <c r="R858">
        <f>Input!S864</f>
        <v>106915.3948691148</v>
      </c>
      <c r="S858">
        <f>Input!T864</f>
        <v>110122.85671518825</v>
      </c>
      <c r="T858">
        <f>Input!U864</f>
        <v>110122.85671518825</v>
      </c>
      <c r="U858">
        <f>Input!V864</f>
        <v>110122.85671518825</v>
      </c>
      <c r="V858">
        <f>Input!W864</f>
        <v>110122.85671518825</v>
      </c>
    </row>
    <row r="859" spans="2:22">
      <c r="B859" s="28" t="s">
        <v>9</v>
      </c>
      <c r="C859" s="28"/>
      <c r="D859" s="28"/>
      <c r="E859" s="28"/>
      <c r="F859" s="28"/>
      <c r="G859" s="28"/>
      <c r="H859" s="28"/>
      <c r="I859" s="48">
        <f>SUM(J859:V859)</f>
        <v>134.52693515108521</v>
      </c>
      <c r="J859" s="76">
        <f>J857*J858/Billion</f>
        <v>6.7519999999999998</v>
      </c>
      <c r="K859" s="76">
        <f t="shared" ref="K859:V859" si="321">K857*K858/Billion</f>
        <v>7.2327424000000002</v>
      </c>
      <c r="L859" s="76">
        <f t="shared" si="321"/>
        <v>7.7477136588800022</v>
      </c>
      <c r="M859" s="76">
        <f t="shared" si="321"/>
        <v>8.2993508713922584</v>
      </c>
      <c r="N859" s="76">
        <f t="shared" si="321"/>
        <v>8.890264653435386</v>
      </c>
      <c r="O859" s="76">
        <f t="shared" si="321"/>
        <v>9.5232514967599862</v>
      </c>
      <c r="P859" s="76">
        <f t="shared" si="321"/>
        <v>10.201307003329298</v>
      </c>
      <c r="Q859" s="76">
        <f t="shared" si="321"/>
        <v>10.927640061966343</v>
      </c>
      <c r="R859" s="76">
        <f t="shared" si="321"/>
        <v>11.705688034378349</v>
      </c>
      <c r="S859" s="76">
        <f t="shared" si="321"/>
        <v>12.539133022426089</v>
      </c>
      <c r="T859" s="76">
        <f t="shared" si="321"/>
        <v>13.040698343323131</v>
      </c>
      <c r="U859" s="76">
        <f t="shared" si="321"/>
        <v>13.562326277056059</v>
      </c>
      <c r="V859" s="76">
        <f t="shared" si="321"/>
        <v>14.104819328138301</v>
      </c>
    </row>
    <row r="860" spans="2:22">
      <c r="G860"/>
      <c r="I860" s="21"/>
      <c r="K860" s="21"/>
      <c r="L860" s="21"/>
      <c r="M860" s="21"/>
      <c r="N860" s="21"/>
    </row>
    <row r="861" spans="2:22">
      <c r="B861" t="s">
        <v>471</v>
      </c>
      <c r="G861"/>
      <c r="I861" s="21"/>
      <c r="J861">
        <f>SUM(J852,J857)</f>
        <v>356000</v>
      </c>
      <c r="K861">
        <f t="shared" ref="K861:V861" si="322">SUM(K852,K857)</f>
        <v>370240</v>
      </c>
      <c r="L861">
        <f t="shared" si="322"/>
        <v>385049.60000000003</v>
      </c>
      <c r="M861">
        <f t="shared" si="322"/>
        <v>400451.58400000003</v>
      </c>
      <c r="N861">
        <f t="shared" si="322"/>
        <v>416469.64736000006</v>
      </c>
      <c r="O861">
        <f t="shared" si="322"/>
        <v>433128.43325440009</v>
      </c>
      <c r="P861">
        <f t="shared" si="322"/>
        <v>450453.57058457611</v>
      </c>
      <c r="Q861">
        <f t="shared" si="322"/>
        <v>468471.71340795921</v>
      </c>
      <c r="R861">
        <f t="shared" si="322"/>
        <v>487210.58194427757</v>
      </c>
      <c r="S861">
        <f t="shared" si="322"/>
        <v>506699.00522204873</v>
      </c>
      <c r="T861">
        <f t="shared" si="322"/>
        <v>526966.96543093061</v>
      </c>
      <c r="U861">
        <f t="shared" si="322"/>
        <v>548045.64404816797</v>
      </c>
      <c r="V861">
        <f t="shared" si="322"/>
        <v>569967.46981009468</v>
      </c>
    </row>
    <row r="862" spans="2:22">
      <c r="B862" t="s">
        <v>578</v>
      </c>
      <c r="G862"/>
      <c r="I862" s="21"/>
      <c r="J862">
        <f>SUM(J854,J859)</f>
        <v>15.584000000000003</v>
      </c>
      <c r="K862">
        <f t="shared" ref="K862:V862" si="323">SUM(K854,K859)</f>
        <v>16.693580800000003</v>
      </c>
      <c r="L862">
        <f t="shared" si="323"/>
        <v>17.882163752960004</v>
      </c>
      <c r="M862">
        <f t="shared" si="323"/>
        <v>19.155373812170758</v>
      </c>
      <c r="N862">
        <f t="shared" si="323"/>
        <v>20.519236427597317</v>
      </c>
      <c r="O862">
        <f t="shared" si="323"/>
        <v>21.980206061242242</v>
      </c>
      <c r="P862">
        <f t="shared" si="323"/>
        <v>23.545196732802694</v>
      </c>
      <c r="Q862">
        <f t="shared" si="323"/>
        <v>25.221614740178246</v>
      </c>
      <c r="R862">
        <f t="shared" si="323"/>
        <v>27.017393709678942</v>
      </c>
      <c r="S862">
        <f t="shared" si="323"/>
        <v>28.941032141808083</v>
      </c>
      <c r="T862">
        <f t="shared" si="323"/>
        <v>13.040698343323131</v>
      </c>
      <c r="U862">
        <f t="shared" si="323"/>
        <v>13.562326277056059</v>
      </c>
      <c r="V862">
        <f t="shared" si="323"/>
        <v>14.104819328138301</v>
      </c>
    </row>
    <row r="863" spans="2:22">
      <c r="G863"/>
      <c r="I863" s="21"/>
    </row>
    <row r="864" spans="2:22" ht="15.75">
      <c r="B864" s="15" t="s">
        <v>473</v>
      </c>
      <c r="G864"/>
      <c r="I864" s="21"/>
      <c r="J864">
        <f t="shared" ref="J864:V864" si="324">SUM(J873,J879,J884,J889)*J12</f>
        <v>13.932671235536409</v>
      </c>
      <c r="K864">
        <f t="shared" si="324"/>
        <v>14.894117107720605</v>
      </c>
      <c r="L864">
        <f t="shared" si="324"/>
        <v>15.922959454353339</v>
      </c>
      <c r="M864">
        <f t="shared" si="324"/>
        <v>17.02395985790756</v>
      </c>
      <c r="N864">
        <f t="shared" si="324"/>
        <v>18.202217628900524</v>
      </c>
      <c r="O864">
        <f t="shared" si="324"/>
        <v>19.463193806748567</v>
      </c>
      <c r="P864">
        <f t="shared" si="324"/>
        <v>20.812736867894387</v>
      </c>
      <c r="Q864">
        <f t="shared" si="324"/>
        <v>22.257110262708999</v>
      </c>
      <c r="R864">
        <f t="shared" si="324"/>
        <v>23.803021911319675</v>
      </c>
      <c r="S864">
        <f t="shared" si="324"/>
        <v>25.457655797779658</v>
      </c>
      <c r="T864">
        <f t="shared" si="324"/>
        <v>12.1389552897862</v>
      </c>
      <c r="U864">
        <f t="shared" si="324"/>
        <v>12.618442515010333</v>
      </c>
      <c r="V864">
        <f t="shared" si="324"/>
        <v>13.116903002889975</v>
      </c>
    </row>
    <row r="865" spans="2:22">
      <c r="B865" s="2" t="s">
        <v>579</v>
      </c>
      <c r="F865" s="58" t="s">
        <v>580</v>
      </c>
      <c r="G865"/>
      <c r="I865" s="22"/>
    </row>
    <row r="866" spans="2:22">
      <c r="B866" s="407" t="s">
        <v>516</v>
      </c>
      <c r="F866" s="30">
        <f>Input!J874</f>
        <v>0.29629731224</v>
      </c>
      <c r="G866" s="17" t="s">
        <v>315</v>
      </c>
    </row>
    <row r="867" spans="2:22">
      <c r="B867" s="28" t="s">
        <v>476</v>
      </c>
      <c r="C867" s="28"/>
      <c r="D867" s="28"/>
      <c r="E867" s="28"/>
      <c r="F867" s="28"/>
      <c r="G867" s="28"/>
      <c r="H867" s="28"/>
      <c r="I867" s="49">
        <f>SUM(J867:V867)</f>
        <v>3.851865059120001</v>
      </c>
      <c r="J867" s="47">
        <f t="shared" ref="J867:V867" si="325">$F$866*J12</f>
        <v>0.29629731224</v>
      </c>
      <c r="K867" s="47">
        <f t="shared" si="325"/>
        <v>0.29629731224</v>
      </c>
      <c r="L867" s="47">
        <f t="shared" si="325"/>
        <v>0.29629731224</v>
      </c>
      <c r="M867" s="47">
        <f t="shared" si="325"/>
        <v>0.29629731224</v>
      </c>
      <c r="N867" s="47">
        <f t="shared" si="325"/>
        <v>0.29629731224</v>
      </c>
      <c r="O867" s="47">
        <f t="shared" si="325"/>
        <v>0.29629731224</v>
      </c>
      <c r="P867" s="47">
        <f t="shared" si="325"/>
        <v>0.29629731224</v>
      </c>
      <c r="Q867" s="47">
        <f t="shared" si="325"/>
        <v>0.29629731224</v>
      </c>
      <c r="R867" s="47">
        <f t="shared" si="325"/>
        <v>0.29629731224</v>
      </c>
      <c r="S867" s="47">
        <f t="shared" si="325"/>
        <v>0.29629731224</v>
      </c>
      <c r="T867" s="47">
        <f t="shared" si="325"/>
        <v>0.29629731224</v>
      </c>
      <c r="U867" s="47">
        <f t="shared" si="325"/>
        <v>0.29629731224</v>
      </c>
      <c r="V867" s="47">
        <f t="shared" si="325"/>
        <v>0.29629731224</v>
      </c>
    </row>
    <row r="868" spans="2:22">
      <c r="G868"/>
    </row>
    <row r="869" spans="2:22">
      <c r="B869" s="2" t="s">
        <v>592</v>
      </c>
      <c r="G869"/>
    </row>
    <row r="870" spans="2:22" ht="15.75">
      <c r="B870" s="41"/>
      <c r="F870" s="19">
        <v>2023</v>
      </c>
      <c r="G870"/>
      <c r="I870">
        <v>1</v>
      </c>
      <c r="J870" s="70">
        <f>IF(J$8&lt;$F870,0,IF(J$8=$F870,1,I870*(1+Input!K870)*J$12))</f>
        <v>1</v>
      </c>
      <c r="K870" s="70">
        <f>IF(K$8&lt;$F870,0,IF(K$8=$F870,1,J870*(1+Input!L870)*K$12))</f>
        <v>1</v>
      </c>
      <c r="L870" s="70">
        <f>IF(L$8&lt;$F870,0,IF(L$8=$F870,1,K870*(1+Input!M870)*L$12))</f>
        <v>1</v>
      </c>
      <c r="M870" s="70">
        <f>IF(M$8&lt;$F870,0,IF(M$8=$F870,1,L870*(1+Input!N870)*M$12))</f>
        <v>1</v>
      </c>
      <c r="N870" s="70">
        <f>IF(N$8&lt;$F870,0,IF(N$8=$F870,1,M870*(1+Input!O870)*N$12))</f>
        <v>1</v>
      </c>
      <c r="O870" s="70">
        <f>IF(O$8&lt;$F870,0,IF(O$8=$F870,1,N870*(1+Input!P870)*O$12))</f>
        <v>1</v>
      </c>
      <c r="P870" s="70">
        <f>IF(P$8&lt;$F870,0,IF(P$8=$F870,1,O870*(1+Input!Q870)*P$12))</f>
        <v>1</v>
      </c>
      <c r="Q870" s="70">
        <f>IF(Q$8&lt;$F870,0,IF(Q$8=$F870,1,P870*(1+Input!R870)*Q$12))</f>
        <v>1</v>
      </c>
      <c r="R870" s="70">
        <f>IF(R$8&lt;$F870,0,IF(R$8=$F870,1,Q870*(1+Input!S870)*R$12))</f>
        <v>1</v>
      </c>
      <c r="S870" s="70">
        <f>IF(S$8&lt;$F870,0,IF(S$8=$F870,1,R870*(1+Input!T870)*S$12))</f>
        <v>1</v>
      </c>
      <c r="T870" s="70">
        <f>IF(T$8&lt;$F870,0,IF(T$8=$F870,1,S870*(1+Input!U870)*T$12))</f>
        <v>1</v>
      </c>
      <c r="U870" s="70">
        <f>IF(U$8&lt;$F870,0,IF(U$8=$F870,1,T870*(1+Input!V870)*U$12))</f>
        <v>1</v>
      </c>
      <c r="V870" s="70">
        <f>IF(V$8&lt;$F870,0,IF(V$8=$F870,1,U870*(1+Input!W870)*V$12))</f>
        <v>1</v>
      </c>
    </row>
    <row r="871" spans="2:22">
      <c r="B871" s="407" t="s">
        <v>472</v>
      </c>
      <c r="F871" s="16">
        <f>Input!J875</f>
        <v>1.7999000000000001E-2</v>
      </c>
      <c r="G871" s="17" t="s">
        <v>315</v>
      </c>
      <c r="J871">
        <f>J862</f>
        <v>15.584000000000003</v>
      </c>
      <c r="K871">
        <f t="shared" ref="K871:V871" si="326">K862</f>
        <v>16.693580800000003</v>
      </c>
      <c r="L871">
        <f t="shared" si="326"/>
        <v>17.882163752960004</v>
      </c>
      <c r="M871">
        <f t="shared" si="326"/>
        <v>19.155373812170758</v>
      </c>
      <c r="N871">
        <f t="shared" si="326"/>
        <v>20.519236427597317</v>
      </c>
      <c r="O871">
        <f t="shared" si="326"/>
        <v>21.980206061242242</v>
      </c>
      <c r="P871">
        <f t="shared" si="326"/>
        <v>23.545196732802694</v>
      </c>
      <c r="Q871">
        <f t="shared" si="326"/>
        <v>25.221614740178246</v>
      </c>
      <c r="R871">
        <f t="shared" si="326"/>
        <v>27.017393709678942</v>
      </c>
      <c r="S871">
        <f t="shared" si="326"/>
        <v>28.941032141808083</v>
      </c>
      <c r="T871">
        <f t="shared" si="326"/>
        <v>13.040698343323131</v>
      </c>
      <c r="U871">
        <f t="shared" si="326"/>
        <v>13.562326277056059</v>
      </c>
      <c r="V871">
        <f t="shared" si="326"/>
        <v>14.104819328138301</v>
      </c>
    </row>
    <row r="872" spans="2:22">
      <c r="B872" s="407" t="s">
        <v>465</v>
      </c>
      <c r="F872" s="39">
        <v>0.83903628405324537</v>
      </c>
      <c r="J872" s="74">
        <f>$F$872</f>
        <v>0.83903628405324537</v>
      </c>
      <c r="K872" s="74">
        <f t="shared" ref="K872:V872" si="327">$F$872</f>
        <v>0.83903628405324537</v>
      </c>
      <c r="L872" s="74">
        <f t="shared" si="327"/>
        <v>0.83903628405324537</v>
      </c>
      <c r="M872" s="74">
        <f t="shared" si="327"/>
        <v>0.83903628405324537</v>
      </c>
      <c r="N872" s="74">
        <f t="shared" si="327"/>
        <v>0.83903628405324537</v>
      </c>
      <c r="O872" s="74">
        <f t="shared" si="327"/>
        <v>0.83903628405324537</v>
      </c>
      <c r="P872" s="74">
        <f t="shared" si="327"/>
        <v>0.83903628405324537</v>
      </c>
      <c r="Q872" s="74">
        <f t="shared" si="327"/>
        <v>0.83903628405324537</v>
      </c>
      <c r="R872" s="74">
        <f t="shared" si="327"/>
        <v>0.83903628405324537</v>
      </c>
      <c r="S872" s="74">
        <f t="shared" si="327"/>
        <v>0.83903628405324537</v>
      </c>
      <c r="T872" s="74">
        <f t="shared" si="327"/>
        <v>0.83903628405324537</v>
      </c>
      <c r="U872" s="74">
        <f t="shared" si="327"/>
        <v>0.83903628405324537</v>
      </c>
      <c r="V872" s="74">
        <f t="shared" si="327"/>
        <v>0.83903628405324537</v>
      </c>
    </row>
    <row r="873" spans="2:22">
      <c r="B873" s="28" t="s">
        <v>9</v>
      </c>
      <c r="C873" s="28"/>
      <c r="D873" s="28"/>
      <c r="E873" s="28"/>
      <c r="F873" s="28"/>
      <c r="G873" s="28"/>
      <c r="H873" s="28"/>
      <c r="I873" s="48">
        <f>SUM(J873:V873)</f>
        <v>215.84010573166003</v>
      </c>
      <c r="J873" s="76">
        <f t="shared" ref="J873:V873" si="328">J872*J871</f>
        <v>13.075541450685778</v>
      </c>
      <c r="K873" s="76">
        <f t="shared" si="328"/>
        <v>14.006520001974605</v>
      </c>
      <c r="L873" s="76">
        <f t="shared" si="328"/>
        <v>15.003784226115199</v>
      </c>
      <c r="M873" s="76">
        <f t="shared" si="328"/>
        <v>16.072053663014604</v>
      </c>
      <c r="N873" s="76">
        <f t="shared" si="328"/>
        <v>17.216383883821241</v>
      </c>
      <c r="O873" s="76">
        <f t="shared" si="328"/>
        <v>18.442190416349312</v>
      </c>
      <c r="P873" s="76">
        <f t="shared" si="328"/>
        <v>19.755274373993387</v>
      </c>
      <c r="Q873" s="76">
        <f t="shared" si="328"/>
        <v>21.161849909421715</v>
      </c>
      <c r="R873" s="76">
        <f t="shared" si="328"/>
        <v>22.668573622972545</v>
      </c>
      <c r="S873" s="76">
        <f t="shared" si="328"/>
        <v>24.28257606492819</v>
      </c>
      <c r="T873" s="76">
        <f t="shared" si="328"/>
        <v>10.941619079441153</v>
      </c>
      <c r="U873" s="76">
        <f t="shared" si="328"/>
        <v>11.379283842618801</v>
      </c>
      <c r="V873" s="76">
        <f t="shared" si="328"/>
        <v>11.834455196323553</v>
      </c>
    </row>
    <row r="874" spans="2:22">
      <c r="G874"/>
    </row>
    <row r="875" spans="2:22">
      <c r="G875"/>
    </row>
    <row r="876" spans="2:22">
      <c r="B876" s="2" t="s">
        <v>584</v>
      </c>
      <c r="G876"/>
    </row>
    <row r="877" spans="2:22">
      <c r="B877" s="407" t="s">
        <v>478</v>
      </c>
      <c r="G877"/>
      <c r="I877" s="71">
        <v>1</v>
      </c>
      <c r="J877" s="16">
        <f>I877*(1+Input!K879)*J$12</f>
        <v>1.0349999999999999</v>
      </c>
      <c r="K877" s="16">
        <f>J877*(1+Input!L879)*K$12</f>
        <v>1.0712249999999999</v>
      </c>
      <c r="L877" s="16">
        <f>K877*(1+Input!M879)*L$12</f>
        <v>1.1087178749999997</v>
      </c>
      <c r="M877" s="16">
        <f>L877*(1+Input!N879)*M$12</f>
        <v>1.1475230006249997</v>
      </c>
      <c r="N877" s="16">
        <f>M877*(1+Input!O879)*N$12</f>
        <v>1.1876863056468745</v>
      </c>
      <c r="O877" s="16">
        <f>N877*(1+Input!P879)*O$12</f>
        <v>1.229255326344515</v>
      </c>
      <c r="P877" s="16">
        <f>O877*(1+Input!Q879)*P$12</f>
        <v>1.2722792627665729</v>
      </c>
      <c r="Q877" s="16">
        <f>P877*(1+Input!R879)*Q$12</f>
        <v>1.3168090369634029</v>
      </c>
      <c r="R877" s="16">
        <f>Q877*(1+Input!S879)*R$12</f>
        <v>1.3628973532571218</v>
      </c>
      <c r="S877" s="16">
        <f>R877*(1+Input!T879)*S$12</f>
        <v>1.410598760621121</v>
      </c>
      <c r="T877" s="16">
        <f>S877*(1+Input!U879)*T$12</f>
        <v>1.4599697172428601</v>
      </c>
      <c r="U877" s="16">
        <f>T877*(1+Input!V879)*U$12</f>
        <v>1.5110686573463601</v>
      </c>
      <c r="V877" s="16">
        <f>U877*(1+Input!W879)*V$12</f>
        <v>1.5639560603534826</v>
      </c>
    </row>
    <row r="878" spans="2:22">
      <c r="B878" t="s">
        <v>479</v>
      </c>
      <c r="F878" s="19">
        <f>Input!J884</f>
        <v>0.80716489632999999</v>
      </c>
      <c r="G878" s="17" t="s">
        <v>315</v>
      </c>
    </row>
    <row r="879" spans="2:22">
      <c r="B879" s="28" t="s">
        <v>584</v>
      </c>
      <c r="C879" s="28"/>
      <c r="D879" s="28"/>
      <c r="E879" s="28"/>
      <c r="F879" s="28"/>
      <c r="G879" s="28"/>
      <c r="H879" s="28"/>
      <c r="I879" s="28"/>
      <c r="J879" s="47">
        <f>$F878*J877</f>
        <v>0.83541566770154996</v>
      </c>
      <c r="K879" s="47">
        <f t="shared" ref="K879:V879" si="329">$F878*K877</f>
        <v>0.86465521607110418</v>
      </c>
      <c r="L879" s="47">
        <f t="shared" si="329"/>
        <v>0.89491814863359265</v>
      </c>
      <c r="M879" s="47">
        <f t="shared" si="329"/>
        <v>0.9262402838357684</v>
      </c>
      <c r="N879" s="47">
        <f t="shared" si="329"/>
        <v>0.95865869377002011</v>
      </c>
      <c r="O879" s="47">
        <f t="shared" si="329"/>
        <v>0.99221174805197077</v>
      </c>
      <c r="P879" s="47">
        <f t="shared" si="329"/>
        <v>1.0269391592337895</v>
      </c>
      <c r="Q879" s="47">
        <f t="shared" si="329"/>
        <v>1.0628820298069723</v>
      </c>
      <c r="R879" s="47">
        <f t="shared" si="329"/>
        <v>1.1000829008502162</v>
      </c>
      <c r="S879" s="47">
        <f t="shared" si="329"/>
        <v>1.1385858023799735</v>
      </c>
      <c r="T879" s="47">
        <f t="shared" si="329"/>
        <v>1.1784363054632725</v>
      </c>
      <c r="U879" s="47">
        <f t="shared" si="329"/>
        <v>1.219681576154487</v>
      </c>
      <c r="V879" s="47">
        <f t="shared" si="329"/>
        <v>1.262370431319894</v>
      </c>
    </row>
    <row r="880" spans="2:22">
      <c r="G880"/>
    </row>
    <row r="881" spans="2:22">
      <c r="B881" s="2" t="s">
        <v>585</v>
      </c>
      <c r="G881"/>
    </row>
    <row r="882" spans="2:22">
      <c r="B882" s="407" t="s">
        <v>472</v>
      </c>
      <c r="G882"/>
      <c r="J882">
        <f>J862</f>
        <v>15.584000000000003</v>
      </c>
      <c r="K882">
        <f t="shared" ref="K882:V882" si="330">K862</f>
        <v>16.693580800000003</v>
      </c>
      <c r="L882">
        <f t="shared" si="330"/>
        <v>17.882163752960004</v>
      </c>
      <c r="M882">
        <f t="shared" si="330"/>
        <v>19.155373812170758</v>
      </c>
      <c r="N882">
        <f t="shared" si="330"/>
        <v>20.519236427597317</v>
      </c>
      <c r="O882">
        <f t="shared" si="330"/>
        <v>21.980206061242242</v>
      </c>
      <c r="P882">
        <f t="shared" si="330"/>
        <v>23.545196732802694</v>
      </c>
      <c r="Q882">
        <f t="shared" si="330"/>
        <v>25.221614740178246</v>
      </c>
      <c r="R882">
        <f t="shared" si="330"/>
        <v>27.017393709678942</v>
      </c>
      <c r="S882">
        <f t="shared" si="330"/>
        <v>28.941032141808083</v>
      </c>
      <c r="T882">
        <f t="shared" si="330"/>
        <v>13.040698343323131</v>
      </c>
      <c r="U882">
        <f t="shared" si="330"/>
        <v>13.562326277056059</v>
      </c>
      <c r="V882">
        <f t="shared" si="330"/>
        <v>14.104819328138301</v>
      </c>
    </row>
    <row r="883" spans="2:22">
      <c r="B883" t="s">
        <v>479</v>
      </c>
      <c r="F883" s="39">
        <v>1.1065192600795278E-3</v>
      </c>
      <c r="G883" s="17" t="s">
        <v>315</v>
      </c>
    </row>
    <row r="884" spans="2:22">
      <c r="B884" s="28" t="s">
        <v>585</v>
      </c>
      <c r="C884" s="28"/>
      <c r="D884" s="28"/>
      <c r="E884" s="28"/>
      <c r="F884" s="28"/>
      <c r="G884" s="28"/>
      <c r="H884" s="28"/>
      <c r="I884" s="28"/>
      <c r="J884" s="47">
        <f>J882*$F$883</f>
        <v>1.7243996149079364E-2</v>
      </c>
      <c r="K884" s="47">
        <f t="shared" ref="K884:V884" si="331">K882*$F$883</f>
        <v>1.8471768674893814E-2</v>
      </c>
      <c r="L884" s="47">
        <f t="shared" si="331"/>
        <v>1.9786958604546257E-2</v>
      </c>
      <c r="M884" s="47">
        <f t="shared" si="331"/>
        <v>2.1195790057189953E-2</v>
      </c>
      <c r="N884" s="47">
        <f t="shared" si="331"/>
        <v>2.2704930309261878E-2</v>
      </c>
      <c r="O884" s="47">
        <f t="shared" si="331"/>
        <v>2.4321521347281317E-2</v>
      </c>
      <c r="P884" s="47">
        <f t="shared" si="331"/>
        <v>2.6053213667207753E-2</v>
      </c>
      <c r="Q884" s="47">
        <f t="shared" si="331"/>
        <v>2.7908202480312946E-2</v>
      </c>
      <c r="R884" s="47">
        <f t="shared" si="331"/>
        <v>2.9895266496911231E-2</v>
      </c>
      <c r="S884" s="47">
        <f t="shared" si="331"/>
        <v>3.2023809471491312E-2</v>
      </c>
      <c r="T884" s="47">
        <f t="shared" si="331"/>
        <v>1.4429783881774235E-2</v>
      </c>
      <c r="U884" s="47">
        <f t="shared" si="331"/>
        <v>1.5006975237045207E-2</v>
      </c>
      <c r="V884" s="47">
        <f t="shared" si="331"/>
        <v>1.5607254246527017E-2</v>
      </c>
    </row>
    <row r="885" spans="2:22">
      <c r="G885"/>
    </row>
    <row r="886" spans="2:22">
      <c r="B886" s="2" t="s">
        <v>586</v>
      </c>
      <c r="G886"/>
    </row>
    <row r="887" spans="2:22">
      <c r="B887" s="407" t="s">
        <v>478</v>
      </c>
      <c r="G887"/>
      <c r="I887" s="13">
        <v>1</v>
      </c>
      <c r="J887" s="13">
        <f>I887*(1+Input!K912)*J$12</f>
        <v>1</v>
      </c>
      <c r="K887" s="13">
        <f>J887*(1+Input!L912)*K$12</f>
        <v>1</v>
      </c>
      <c r="L887" s="13">
        <f>K887*(1+Input!M912)*L$12</f>
        <v>1</v>
      </c>
      <c r="M887" s="13">
        <f>L887*(1+Input!N912)*M$12</f>
        <v>1</v>
      </c>
      <c r="N887" s="13">
        <f>M887*(1+Input!O912)*N$12</f>
        <v>1</v>
      </c>
      <c r="O887" s="13">
        <f>N887*(1+Input!P912)*O$12</f>
        <v>1</v>
      </c>
      <c r="P887" s="13">
        <f>O887*(1+Input!Q912)*P$12</f>
        <v>1</v>
      </c>
      <c r="Q887" s="13">
        <f>P887*(1+Input!R912)*Q$12</f>
        <v>1</v>
      </c>
      <c r="R887" s="13">
        <f>Q887*(1+Input!S912)*R$12</f>
        <v>1</v>
      </c>
      <c r="S887" s="13">
        <f>R887*(1+Input!T912)*S$12</f>
        <v>1</v>
      </c>
      <c r="T887" s="13">
        <f>S887*(1+Input!U912)*T$12</f>
        <v>1</v>
      </c>
      <c r="U887" s="13">
        <f>T887*(1+Input!V912)*U$12</f>
        <v>1</v>
      </c>
      <c r="V887" s="13">
        <f>U887*(1+Input!W912)*V$12</f>
        <v>1</v>
      </c>
    </row>
    <row r="888" spans="2:22">
      <c r="B888" t="s">
        <v>479</v>
      </c>
      <c r="F888" s="19">
        <f>Input!J876</f>
        <v>4.4701209999999996E-3</v>
      </c>
      <c r="G888" s="17" t="s">
        <v>315</v>
      </c>
    </row>
    <row r="889" spans="2:22">
      <c r="B889" s="28" t="s">
        <v>585</v>
      </c>
      <c r="C889" s="28"/>
      <c r="D889" s="28"/>
      <c r="E889" s="28"/>
      <c r="F889" s="28"/>
      <c r="G889" s="28"/>
      <c r="H889" s="28"/>
      <c r="I889" s="28"/>
      <c r="J889" s="79">
        <f>$F888</f>
        <v>4.4701209999999996E-3</v>
      </c>
      <c r="K889" s="79">
        <f t="shared" ref="K889:V889" si="332">$F888</f>
        <v>4.4701209999999996E-3</v>
      </c>
      <c r="L889" s="79">
        <f t="shared" si="332"/>
        <v>4.4701209999999996E-3</v>
      </c>
      <c r="M889" s="79">
        <f t="shared" si="332"/>
        <v>4.4701209999999996E-3</v>
      </c>
      <c r="N889" s="79">
        <f t="shared" si="332"/>
        <v>4.4701209999999996E-3</v>
      </c>
      <c r="O889" s="79">
        <f t="shared" si="332"/>
        <v>4.4701209999999996E-3</v>
      </c>
      <c r="P889" s="79">
        <f t="shared" si="332"/>
        <v>4.4701209999999996E-3</v>
      </c>
      <c r="Q889" s="79">
        <f t="shared" si="332"/>
        <v>4.4701209999999996E-3</v>
      </c>
      <c r="R889" s="79">
        <f t="shared" si="332"/>
        <v>4.4701209999999996E-3</v>
      </c>
      <c r="S889" s="79">
        <f t="shared" si="332"/>
        <v>4.4701209999999996E-3</v>
      </c>
      <c r="T889" s="79">
        <f t="shared" si="332"/>
        <v>4.4701209999999996E-3</v>
      </c>
      <c r="U889" s="79">
        <f t="shared" si="332"/>
        <v>4.4701209999999996E-3</v>
      </c>
      <c r="V889" s="79">
        <f t="shared" si="332"/>
        <v>4.4701209999999996E-3</v>
      </c>
    </row>
    <row r="890" spans="2:22">
      <c r="G890"/>
    </row>
    <row r="891" spans="2:22" ht="15.75">
      <c r="B891" s="15" t="s">
        <v>535</v>
      </c>
      <c r="G891"/>
      <c r="J891" s="83">
        <f>SUM(J896,J901,J906,J911,J916,J921)</f>
        <v>0.15091428416329999</v>
      </c>
      <c r="K891" s="83">
        <f t="shared" ref="K891:V891" si="333">SUM(K896,K901,K906,K911,K916,K921)</f>
        <v>0.152423427004933</v>
      </c>
      <c r="L891" s="83">
        <f t="shared" si="333"/>
        <v>0.1539476612749823</v>
      </c>
      <c r="M891" s="83">
        <f t="shared" si="333"/>
        <v>0.15548713788773216</v>
      </c>
      <c r="N891" s="83">
        <f t="shared" si="333"/>
        <v>0.15704200926660944</v>
      </c>
      <c r="O891" s="83">
        <f t="shared" si="333"/>
        <v>0.15861242935927555</v>
      </c>
      <c r="P891" s="83">
        <f t="shared" si="333"/>
        <v>0.16019855365286828</v>
      </c>
      <c r="Q891" s="83">
        <f t="shared" si="333"/>
        <v>0.16180053918939702</v>
      </c>
      <c r="R891" s="83">
        <f t="shared" si="333"/>
        <v>0.16341854458129101</v>
      </c>
      <c r="S891" s="83">
        <f t="shared" si="333"/>
        <v>0.16505273002710388</v>
      </c>
      <c r="T891" s="83">
        <f t="shared" si="333"/>
        <v>0.1667032573273749</v>
      </c>
      <c r="U891" s="83">
        <f t="shared" si="333"/>
        <v>0.16837028990064867</v>
      </c>
      <c r="V891" s="83">
        <f t="shared" si="333"/>
        <v>0.17005399279965516</v>
      </c>
    </row>
    <row r="892" spans="2:22">
      <c r="G892"/>
    </row>
    <row r="893" spans="2:22">
      <c r="B893" s="2" t="s">
        <v>496</v>
      </c>
      <c r="G893"/>
    </row>
    <row r="894" spans="2:22">
      <c r="B894" s="407" t="s">
        <v>478</v>
      </c>
      <c r="G894"/>
      <c r="I894" s="13">
        <v>1</v>
      </c>
      <c r="J894" s="13">
        <f>I894*(1+Input!K888)*J$12</f>
        <v>1.01</v>
      </c>
      <c r="K894" s="13">
        <f>J894*(1+Input!L888)*K$12</f>
        <v>1.0201</v>
      </c>
      <c r="L894" s="13">
        <f>K894*(1+Input!M888)*L$12</f>
        <v>1.0303009999999999</v>
      </c>
      <c r="M894" s="13">
        <f>L894*(1+Input!N888)*M$12</f>
        <v>1.04060401</v>
      </c>
      <c r="N894" s="13">
        <f>M894*(1+Input!O888)*N$12</f>
        <v>1.0510100500999999</v>
      </c>
      <c r="O894" s="13">
        <f>N894*(1+Input!P888)*O$12</f>
        <v>1.0615201506009999</v>
      </c>
      <c r="P894" s="13">
        <f>O894*(1+Input!Q888)*P$12</f>
        <v>1.0721353521070098</v>
      </c>
      <c r="Q894" s="13">
        <f>P894*(1+Input!R888)*Q$12</f>
        <v>1.08285670562808</v>
      </c>
      <c r="R894" s="13">
        <f>Q894*(1+Input!S888)*R$12</f>
        <v>1.0936852726843609</v>
      </c>
      <c r="S894" s="13">
        <f>R894*(1+Input!T888)*S$12</f>
        <v>1.1046221254112045</v>
      </c>
      <c r="T894" s="13">
        <f>S894*(1+Input!U888)*T$12</f>
        <v>1.1156683466653166</v>
      </c>
      <c r="U894" s="13">
        <f>T894*(1+Input!V888)*U$12</f>
        <v>1.1268250301319698</v>
      </c>
      <c r="V894" s="13">
        <f>U894*(1+Input!W888)*V$12</f>
        <v>1.1380932804332895</v>
      </c>
    </row>
    <row r="895" spans="2:22">
      <c r="B895" t="s">
        <v>479</v>
      </c>
      <c r="F895" s="19">
        <f>Input!J893</f>
        <v>4.1260885999999997E-2</v>
      </c>
      <c r="G895" s="17" t="s">
        <v>315</v>
      </c>
    </row>
    <row r="896" spans="2:22">
      <c r="B896" s="28" t="s">
        <v>585</v>
      </c>
      <c r="C896" s="28"/>
      <c r="D896" s="28"/>
      <c r="E896" s="28"/>
      <c r="F896" s="28"/>
      <c r="G896" s="28"/>
      <c r="H896" s="28"/>
      <c r="I896" s="28"/>
      <c r="J896" s="47">
        <f>$F895*J894</f>
        <v>4.167349486E-2</v>
      </c>
      <c r="K896" s="47">
        <f t="shared" ref="K896:V896" si="334">$F895*K894</f>
        <v>4.2090229808599999E-2</v>
      </c>
      <c r="L896" s="47">
        <f t="shared" si="334"/>
        <v>4.2511132106685993E-2</v>
      </c>
      <c r="M896" s="47">
        <f t="shared" si="334"/>
        <v>4.293624342775286E-2</v>
      </c>
      <c r="N896" s="47">
        <f t="shared" si="334"/>
        <v>4.3365605862030379E-2</v>
      </c>
      <c r="O896" s="47">
        <f t="shared" si="334"/>
        <v>4.3799261920650687E-2</v>
      </c>
      <c r="P896" s="47">
        <f t="shared" si="334"/>
        <v>4.423725453985719E-2</v>
      </c>
      <c r="Q896" s="47">
        <f t="shared" si="334"/>
        <v>4.4679627085255767E-2</v>
      </c>
      <c r="R896" s="47">
        <f t="shared" si="334"/>
        <v>4.5126423356108322E-2</v>
      </c>
      <c r="S896" s="47">
        <f t="shared" si="334"/>
        <v>4.5577687589669409E-2</v>
      </c>
      <c r="T896" s="47">
        <f t="shared" si="334"/>
        <v>4.6033464465566103E-2</v>
      </c>
      <c r="U896" s="47">
        <f t="shared" si="334"/>
        <v>4.6493799110221765E-2</v>
      </c>
      <c r="V896" s="47">
        <f t="shared" si="334"/>
        <v>4.6958737101323984E-2</v>
      </c>
    </row>
    <row r="897" spans="2:22">
      <c r="G897"/>
    </row>
    <row r="898" spans="2:22">
      <c r="B898" s="2" t="s">
        <v>499</v>
      </c>
      <c r="G898"/>
    </row>
    <row r="899" spans="2:22">
      <c r="B899" s="407" t="s">
        <v>478</v>
      </c>
      <c r="G899"/>
      <c r="I899" s="13">
        <v>1</v>
      </c>
      <c r="J899" s="13">
        <f>I899*(1+Input!K895)*J$12</f>
        <v>1.01</v>
      </c>
      <c r="K899" s="13">
        <f>J899*(1+Input!L895)*K$12</f>
        <v>1.0201</v>
      </c>
      <c r="L899" s="13">
        <f>K899*(1+Input!M895)*L$12</f>
        <v>1.0303009999999999</v>
      </c>
      <c r="M899" s="13">
        <f>L899*(1+Input!N895)*M$12</f>
        <v>1.04060401</v>
      </c>
      <c r="N899" s="13">
        <f>M899*(1+Input!O895)*N$12</f>
        <v>1.0510100500999999</v>
      </c>
      <c r="O899" s="13">
        <f>N899*(1+Input!P895)*O$12</f>
        <v>1.0615201506009999</v>
      </c>
      <c r="P899" s="13">
        <f>O899*(1+Input!Q895)*P$12</f>
        <v>1.0721353521070098</v>
      </c>
      <c r="Q899" s="13">
        <f>P899*(1+Input!R895)*Q$12</f>
        <v>1.08285670562808</v>
      </c>
      <c r="R899" s="13">
        <f>Q899*(1+Input!S895)*R$12</f>
        <v>1.0936852726843609</v>
      </c>
      <c r="S899" s="13">
        <f>R899*(1+Input!T895)*S$12</f>
        <v>1.1046221254112045</v>
      </c>
      <c r="T899" s="13">
        <f>S899*(1+Input!U895)*T$12</f>
        <v>1.1156683466653166</v>
      </c>
      <c r="U899" s="13">
        <f>T899*(1+Input!V895)*U$12</f>
        <v>1.1268250301319698</v>
      </c>
      <c r="V899" s="13">
        <f>U899*(1+Input!W895)*V$12</f>
        <v>1.1380932804332895</v>
      </c>
    </row>
    <row r="900" spans="2:22">
      <c r="B900" t="s">
        <v>479</v>
      </c>
      <c r="F900" s="19">
        <f>Input!J900</f>
        <v>1.7500000000000002E-2</v>
      </c>
      <c r="G900" s="17" t="s">
        <v>315</v>
      </c>
    </row>
    <row r="901" spans="2:22">
      <c r="B901" s="28" t="s">
        <v>585</v>
      </c>
      <c r="C901" s="28"/>
      <c r="D901" s="28"/>
      <c r="E901" s="28"/>
      <c r="F901" s="28"/>
      <c r="G901" s="28"/>
      <c r="H901" s="28"/>
      <c r="I901" s="28"/>
      <c r="J901" s="79">
        <f t="shared" ref="J901:V901" si="335">$F900*J899</f>
        <v>1.7675000000000003E-2</v>
      </c>
      <c r="K901" s="79">
        <f t="shared" si="335"/>
        <v>1.7851750000000003E-2</v>
      </c>
      <c r="L901" s="79">
        <f t="shared" si="335"/>
        <v>1.8030267499999999E-2</v>
      </c>
      <c r="M901" s="79">
        <f t="shared" si="335"/>
        <v>1.8210570175000003E-2</v>
      </c>
      <c r="N901" s="79">
        <f t="shared" si="335"/>
        <v>1.839267587675E-2</v>
      </c>
      <c r="O901" s="79">
        <f t="shared" si="335"/>
        <v>1.8576602635517501E-2</v>
      </c>
      <c r="P901" s="79">
        <f t="shared" si="335"/>
        <v>1.8762368661872673E-2</v>
      </c>
      <c r="Q901" s="79">
        <f t="shared" si="335"/>
        <v>1.8949992348491401E-2</v>
      </c>
      <c r="R901" s="79">
        <f t="shared" si="335"/>
        <v>1.9139492271976317E-2</v>
      </c>
      <c r="S901" s="79">
        <f t="shared" si="335"/>
        <v>1.933088719469608E-2</v>
      </c>
      <c r="T901" s="79">
        <f t="shared" si="335"/>
        <v>1.9524196066643042E-2</v>
      </c>
      <c r="U901" s="79">
        <f t="shared" si="335"/>
        <v>1.9719438027309473E-2</v>
      </c>
      <c r="V901" s="79">
        <f t="shared" si="335"/>
        <v>1.9916632407582568E-2</v>
      </c>
    </row>
    <row r="902" spans="2:22">
      <c r="G902"/>
    </row>
    <row r="903" spans="2:22">
      <c r="B903" s="2" t="s">
        <v>569</v>
      </c>
      <c r="G903"/>
    </row>
    <row r="904" spans="2:22">
      <c r="B904" s="407" t="s">
        <v>478</v>
      </c>
      <c r="G904"/>
      <c r="I904" s="13">
        <v>1</v>
      </c>
      <c r="J904" s="13">
        <f>I904*(1+Input!K902)*J$12</f>
        <v>1.01</v>
      </c>
      <c r="K904" s="13">
        <f>J904*(1+Input!L902)*K$12</f>
        <v>1.0201</v>
      </c>
      <c r="L904" s="13">
        <f>K904*(1+Input!M902)*L$12</f>
        <v>1.0303009999999999</v>
      </c>
      <c r="M904" s="13">
        <f>L904*(1+Input!N902)*M$12</f>
        <v>1.04060401</v>
      </c>
      <c r="N904" s="13">
        <f>M904*(1+Input!O902)*N$12</f>
        <v>1.0510100500999999</v>
      </c>
      <c r="O904" s="13">
        <f>N904*(1+Input!P902)*O$12</f>
        <v>1.0615201506009999</v>
      </c>
      <c r="P904" s="13">
        <f>O904*(1+Input!Q902)*P$12</f>
        <v>1.0721353521070098</v>
      </c>
      <c r="Q904" s="13">
        <f>P904*(1+Input!R902)*Q$12</f>
        <v>1.08285670562808</v>
      </c>
      <c r="R904" s="13">
        <f>Q904*(1+Input!S902)*R$12</f>
        <v>1.0936852726843609</v>
      </c>
      <c r="S904" s="13">
        <f>R904*(1+Input!T902)*S$12</f>
        <v>1.1046221254112045</v>
      </c>
      <c r="T904" s="13">
        <f>S904*(1+Input!U902)*T$12</f>
        <v>1.1156683466653166</v>
      </c>
      <c r="U904" s="13">
        <f>T904*(1+Input!V902)*U$12</f>
        <v>1.1268250301319698</v>
      </c>
      <c r="V904" s="13">
        <f>U904*(1+Input!W902)*V$12</f>
        <v>1.1380932804332895</v>
      </c>
    </row>
    <row r="905" spans="2:22">
      <c r="B905" t="s">
        <v>479</v>
      </c>
      <c r="F905" s="19">
        <f>Input!J907</f>
        <v>3.0499999999999999E-2</v>
      </c>
      <c r="G905" s="17" t="s">
        <v>315</v>
      </c>
    </row>
    <row r="906" spans="2:22">
      <c r="B906" s="28" t="s">
        <v>585</v>
      </c>
      <c r="C906" s="28"/>
      <c r="D906" s="28"/>
      <c r="E906" s="28"/>
      <c r="F906" s="28"/>
      <c r="G906" s="28"/>
      <c r="H906" s="28"/>
      <c r="I906" s="28"/>
      <c r="J906" s="79">
        <f t="shared" ref="J906:V906" si="336">$F905*J904</f>
        <v>3.0804999999999999E-2</v>
      </c>
      <c r="K906" s="79">
        <f t="shared" si="336"/>
        <v>3.111305E-2</v>
      </c>
      <c r="L906" s="79">
        <f t="shared" si="336"/>
        <v>3.1424180499999996E-2</v>
      </c>
      <c r="M906" s="79">
        <f t="shared" si="336"/>
        <v>3.1738422305E-2</v>
      </c>
      <c r="N906" s="79">
        <f t="shared" si="336"/>
        <v>3.2055806528049999E-2</v>
      </c>
      <c r="O906" s="79">
        <f t="shared" si="336"/>
        <v>3.2376364593330494E-2</v>
      </c>
      <c r="P906" s="79">
        <f t="shared" si="336"/>
        <v>3.2700128239263798E-2</v>
      </c>
      <c r="Q906" s="79">
        <f t="shared" si="336"/>
        <v>3.3027129521656443E-2</v>
      </c>
      <c r="R906" s="79">
        <f t="shared" si="336"/>
        <v>3.3357400816873009E-2</v>
      </c>
      <c r="S906" s="79">
        <f t="shared" si="336"/>
        <v>3.3690974825041735E-2</v>
      </c>
      <c r="T906" s="79">
        <f t="shared" si="336"/>
        <v>3.4027884573292151E-2</v>
      </c>
      <c r="U906" s="79">
        <f t="shared" si="336"/>
        <v>3.4368163419025079E-2</v>
      </c>
      <c r="V906" s="79">
        <f t="shared" si="336"/>
        <v>3.4711845053215326E-2</v>
      </c>
    </row>
    <row r="907" spans="2:22">
      <c r="G907"/>
    </row>
    <row r="908" spans="2:22">
      <c r="B908" s="2" t="s">
        <v>501</v>
      </c>
      <c r="G908"/>
    </row>
    <row r="909" spans="2:22">
      <c r="B909" s="407" t="s">
        <v>478</v>
      </c>
      <c r="G909"/>
      <c r="I909" s="71">
        <v>1</v>
      </c>
      <c r="J909" s="71">
        <f>I909*(1+Input!K909)*J$12</f>
        <v>1.01</v>
      </c>
      <c r="K909" s="13">
        <f>J909*(1+Input!L909)*K$12</f>
        <v>1.0201</v>
      </c>
      <c r="L909" s="13">
        <f>K909*(1+Input!M909)*L$12</f>
        <v>1.0303009999999999</v>
      </c>
      <c r="M909" s="13">
        <f>L909*(1+Input!N909)*M$12</f>
        <v>1.04060401</v>
      </c>
      <c r="N909" s="13">
        <f>M909*(1+Input!O909)*N$12</f>
        <v>1.0510100500999999</v>
      </c>
      <c r="O909" s="13">
        <f>N909*(1+Input!P909)*O$12</f>
        <v>1.0615201506009999</v>
      </c>
      <c r="P909" s="13">
        <f>O909*(1+Input!Q909)*P$12</f>
        <v>1.0721353521070098</v>
      </c>
      <c r="Q909" s="13">
        <f>P909*(1+Input!R909)*Q$12</f>
        <v>1.08285670562808</v>
      </c>
      <c r="R909" s="13">
        <f>Q909*(1+Input!S909)*R$12</f>
        <v>1.0936852726843609</v>
      </c>
      <c r="S909" s="13">
        <f>R909*(1+Input!T909)*S$12</f>
        <v>1.1046221254112045</v>
      </c>
      <c r="T909" s="13">
        <f>S909*(1+Input!U909)*T$12</f>
        <v>1.1156683466653166</v>
      </c>
      <c r="U909" s="13">
        <f>T909*(1+Input!V909)*U$12</f>
        <v>1.1268250301319698</v>
      </c>
      <c r="V909" s="13">
        <f>U909*(1+Input!W909)*V$12</f>
        <v>1.1380932804332895</v>
      </c>
    </row>
    <row r="910" spans="2:22">
      <c r="B910" t="s">
        <v>479</v>
      </c>
      <c r="F910" s="19">
        <f>Input!J914</f>
        <v>5.0327157329999997E-2</v>
      </c>
      <c r="G910" s="17" t="s">
        <v>315</v>
      </c>
    </row>
    <row r="911" spans="2:22">
      <c r="B911" s="28" t="s">
        <v>585</v>
      </c>
      <c r="C911" s="28"/>
      <c r="D911" s="28"/>
      <c r="E911" s="28"/>
      <c r="F911" s="28"/>
      <c r="G911" s="28"/>
      <c r="H911" s="28"/>
      <c r="I911" s="28"/>
      <c r="J911" s="79">
        <f t="shared" ref="J911:V911" si="337">$F910*J909</f>
        <v>5.0830428903299994E-2</v>
      </c>
      <c r="K911" s="79">
        <f t="shared" si="337"/>
        <v>5.1338733192332994E-2</v>
      </c>
      <c r="L911" s="79">
        <f t="shared" si="337"/>
        <v>5.185212052425632E-2</v>
      </c>
      <c r="M911" s="79">
        <f t="shared" si="337"/>
        <v>5.2370641729498894E-2</v>
      </c>
      <c r="N911" s="79">
        <f t="shared" si="337"/>
        <v>5.2894348146793876E-2</v>
      </c>
      <c r="O911" s="79">
        <f t="shared" si="337"/>
        <v>5.3423291628261815E-2</v>
      </c>
      <c r="P911" s="79">
        <f t="shared" si="337"/>
        <v>5.395752454454443E-2</v>
      </c>
      <c r="Q911" s="79">
        <f t="shared" si="337"/>
        <v>5.4497099789989872E-2</v>
      </c>
      <c r="R911" s="79">
        <f t="shared" si="337"/>
        <v>5.504207078788978E-2</v>
      </c>
      <c r="S911" s="79">
        <f t="shared" si="337"/>
        <v>5.5592491495768677E-2</v>
      </c>
      <c r="T911" s="79">
        <f t="shared" si="337"/>
        <v>5.6148416410726362E-2</v>
      </c>
      <c r="U911" s="79">
        <f t="shared" si="337"/>
        <v>5.6709900574833633E-2</v>
      </c>
      <c r="V911" s="79">
        <f t="shared" si="337"/>
        <v>5.7276999580581966E-2</v>
      </c>
    </row>
    <row r="912" spans="2:22">
      <c r="G912"/>
    </row>
    <row r="913" spans="2:22">
      <c r="B913" s="2" t="s">
        <v>500</v>
      </c>
      <c r="G913"/>
    </row>
    <row r="914" spans="2:22">
      <c r="B914" s="407" t="s">
        <v>478</v>
      </c>
      <c r="G914"/>
      <c r="I914" s="13">
        <v>1</v>
      </c>
      <c r="J914" s="13">
        <f>I914*(1+Input!K916)*J$12</f>
        <v>1.01</v>
      </c>
      <c r="K914" s="13">
        <f>J914*(1+Input!L916)*K$12</f>
        <v>1.0201</v>
      </c>
      <c r="L914" s="13">
        <f>K914*(1+Input!M916)*L$12</f>
        <v>1.0303009999999999</v>
      </c>
      <c r="M914" s="13">
        <f>L914*(1+Input!N916)*M$12</f>
        <v>1.04060401</v>
      </c>
      <c r="N914" s="13">
        <f>M914*(1+Input!O916)*N$12</f>
        <v>1.0510100500999999</v>
      </c>
      <c r="O914" s="13">
        <f>N914*(1+Input!P916)*O$12</f>
        <v>1.0615201506009999</v>
      </c>
      <c r="P914" s="13">
        <f>O914*(1+Input!Q916)*P$12</f>
        <v>1.0721353521070098</v>
      </c>
      <c r="Q914" s="13">
        <f>P914*(1+Input!R916)*Q$12</f>
        <v>1.08285670562808</v>
      </c>
      <c r="R914" s="13">
        <f>Q914*(1+Input!S916)*R$12</f>
        <v>1.0936852726843609</v>
      </c>
      <c r="S914" s="13">
        <f>R914*(1+Input!T916)*S$12</f>
        <v>1.1046221254112045</v>
      </c>
      <c r="T914" s="13">
        <f>S914*(1+Input!U916)*T$12</f>
        <v>1.1156683466653166</v>
      </c>
      <c r="U914" s="13">
        <f>T914*(1+Input!V916)*U$12</f>
        <v>1.1268250301319698</v>
      </c>
      <c r="V914" s="13">
        <f>U914*(1+Input!W916)*V$12</f>
        <v>1.1380932804332895</v>
      </c>
    </row>
    <row r="915" spans="2:22">
      <c r="B915" t="s">
        <v>479</v>
      </c>
      <c r="F915" s="19">
        <f>Input!J921</f>
        <v>3.8320400000000001E-3</v>
      </c>
      <c r="G915" s="17" t="s">
        <v>315</v>
      </c>
    </row>
    <row r="916" spans="2:22">
      <c r="B916" s="28" t="s">
        <v>585</v>
      </c>
      <c r="C916" s="28"/>
      <c r="D916" s="28"/>
      <c r="E916" s="28"/>
      <c r="F916" s="28"/>
      <c r="G916" s="28"/>
      <c r="H916" s="28"/>
      <c r="I916" s="28"/>
      <c r="J916" s="79">
        <f t="shared" ref="J916:V916" si="338">$F915*J914</f>
        <v>3.8703604000000003E-3</v>
      </c>
      <c r="K916" s="79">
        <f t="shared" si="338"/>
        <v>3.9090640040000003E-3</v>
      </c>
      <c r="L916" s="79">
        <f t="shared" si="338"/>
        <v>3.9481546440399999E-3</v>
      </c>
      <c r="M916" s="79">
        <f t="shared" si="338"/>
        <v>3.9876361904803998E-3</v>
      </c>
      <c r="N916" s="79">
        <f t="shared" si="338"/>
        <v>4.027512552385204E-3</v>
      </c>
      <c r="O916" s="79">
        <f t="shared" si="338"/>
        <v>4.0677876779090559E-3</v>
      </c>
      <c r="P916" s="79">
        <f t="shared" si="338"/>
        <v>4.1084655546881465E-3</v>
      </c>
      <c r="Q916" s="79">
        <f t="shared" si="338"/>
        <v>4.1495502102350274E-3</v>
      </c>
      <c r="R916" s="79">
        <f t="shared" si="338"/>
        <v>4.1910457123373783E-3</v>
      </c>
      <c r="S916" s="79">
        <f t="shared" si="338"/>
        <v>4.2329561694607522E-3</v>
      </c>
      <c r="T916" s="79">
        <f t="shared" si="338"/>
        <v>4.2752857311553595E-3</v>
      </c>
      <c r="U916" s="79">
        <f t="shared" si="338"/>
        <v>4.3180385884669138E-3</v>
      </c>
      <c r="V916" s="79">
        <f t="shared" si="338"/>
        <v>4.361218974351583E-3</v>
      </c>
    </row>
    <row r="917" spans="2:22">
      <c r="G917"/>
    </row>
    <row r="918" spans="2:22">
      <c r="B918" s="2" t="s">
        <v>507</v>
      </c>
      <c r="G918"/>
    </row>
    <row r="919" spans="2:22">
      <c r="B919" s="407" t="s">
        <v>478</v>
      </c>
      <c r="G919"/>
      <c r="I919" s="13">
        <v>1</v>
      </c>
      <c r="J919" s="13">
        <f>I919*(1+Input!K923)*J$12</f>
        <v>1.01</v>
      </c>
      <c r="K919" s="13">
        <f>J919*(1+Input!L923)*K$12</f>
        <v>1.0201</v>
      </c>
      <c r="L919" s="13">
        <f>K919*(1+Input!M923)*L$12</f>
        <v>1.0303009999999999</v>
      </c>
      <c r="M919" s="13">
        <f>L919*(1+Input!N923)*M$12</f>
        <v>1.04060401</v>
      </c>
      <c r="N919" s="13">
        <f>M919*(1+Input!O923)*N$12</f>
        <v>1.0510100500999999</v>
      </c>
      <c r="O919" s="13">
        <f>N919*(1+Input!P923)*O$12</f>
        <v>1.0615201506009999</v>
      </c>
      <c r="P919" s="13">
        <f>O919*(1+Input!Q923)*P$12</f>
        <v>1.0721353521070098</v>
      </c>
      <c r="Q919" s="13">
        <f>P919*(1+Input!R923)*Q$12</f>
        <v>1.08285670562808</v>
      </c>
      <c r="R919" s="13">
        <f>Q919*(1+Input!S923)*R$12</f>
        <v>1.0936852726843609</v>
      </c>
      <c r="S919" s="13">
        <f>R919*(1+Input!T923)*S$12</f>
        <v>1.1046221254112045</v>
      </c>
      <c r="T919" s="13">
        <f>S919*(1+Input!U923)*T$12</f>
        <v>1.1156683466653166</v>
      </c>
      <c r="U919" s="13">
        <f>T919*(1+Input!V923)*U$12</f>
        <v>1.1268250301319698</v>
      </c>
      <c r="V919" s="13">
        <f>U919*(1+Input!W923)*V$12</f>
        <v>1.1380932804332895</v>
      </c>
    </row>
    <row r="920" spans="2:22">
      <c r="B920" t="s">
        <v>479</v>
      </c>
      <c r="F920" s="19">
        <f>Input!J928</f>
        <v>6.0000000000000001E-3</v>
      </c>
      <c r="G920" s="17" t="s">
        <v>315</v>
      </c>
    </row>
    <row r="921" spans="2:22">
      <c r="B921" s="28" t="s">
        <v>585</v>
      </c>
      <c r="C921" s="28"/>
      <c r="D921" s="28"/>
      <c r="E921" s="28"/>
      <c r="F921" s="28"/>
      <c r="G921" s="28"/>
      <c r="H921" s="28"/>
      <c r="I921" s="28"/>
      <c r="J921" s="79">
        <f t="shared" ref="J921:V921" si="339">$F920*J919</f>
        <v>6.0600000000000003E-3</v>
      </c>
      <c r="K921" s="79">
        <f t="shared" si="339"/>
        <v>6.1206000000000003E-3</v>
      </c>
      <c r="L921" s="79">
        <f t="shared" si="339"/>
        <v>6.1818059999999998E-3</v>
      </c>
      <c r="M921" s="79">
        <f t="shared" si="339"/>
        <v>6.2436240600000003E-3</v>
      </c>
      <c r="N921" s="79">
        <f t="shared" si="339"/>
        <v>6.3060603005999994E-3</v>
      </c>
      <c r="O921" s="79">
        <f t="shared" si="339"/>
        <v>6.3691209036059997E-3</v>
      </c>
      <c r="P921" s="79">
        <f t="shared" si="339"/>
        <v>6.4328121126420593E-3</v>
      </c>
      <c r="Q921" s="79">
        <f t="shared" si="339"/>
        <v>6.4971402337684805E-3</v>
      </c>
      <c r="R921" s="79">
        <f t="shared" si="339"/>
        <v>6.5621116361061658E-3</v>
      </c>
      <c r="S921" s="79">
        <f t="shared" si="339"/>
        <v>6.6277327524672273E-3</v>
      </c>
      <c r="T921" s="79">
        <f t="shared" si="339"/>
        <v>6.6940100799918996E-3</v>
      </c>
      <c r="U921" s="79">
        <f t="shared" si="339"/>
        <v>6.760950180791819E-3</v>
      </c>
      <c r="V921" s="79">
        <f t="shared" si="339"/>
        <v>6.8285596825997368E-3</v>
      </c>
    </row>
    <row r="922" spans="2:22">
      <c r="G922"/>
    </row>
    <row r="923" spans="2:22">
      <c r="G923"/>
    </row>
    <row r="924" spans="2:22" ht="24" thickBot="1">
      <c r="B924" s="14" t="s">
        <v>593</v>
      </c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</row>
    <row r="925" spans="2:22">
      <c r="G925"/>
    </row>
    <row r="926" spans="2:22">
      <c r="B926" t="s">
        <v>37</v>
      </c>
      <c r="F926" s="19">
        <v>2026</v>
      </c>
      <c r="G926"/>
      <c r="J926" s="13">
        <f>IF(J$8&lt;$F926,0,1)*J$12</f>
        <v>0</v>
      </c>
      <c r="K926" s="13">
        <f t="shared" ref="K926:V926" si="340">IF(K$8&lt;$F926,0,1)*K$12</f>
        <v>0</v>
      </c>
      <c r="L926" s="13">
        <f t="shared" si="340"/>
        <v>1</v>
      </c>
      <c r="M926" s="13">
        <f t="shared" si="340"/>
        <v>1</v>
      </c>
      <c r="N926" s="13">
        <f t="shared" si="340"/>
        <v>1</v>
      </c>
      <c r="O926" s="13">
        <f t="shared" si="340"/>
        <v>1</v>
      </c>
      <c r="P926" s="13">
        <f t="shared" si="340"/>
        <v>1</v>
      </c>
      <c r="Q926" s="13">
        <f t="shared" si="340"/>
        <v>1</v>
      </c>
      <c r="R926" s="13">
        <f t="shared" si="340"/>
        <v>1</v>
      </c>
      <c r="S926" s="13">
        <f t="shared" si="340"/>
        <v>1</v>
      </c>
      <c r="T926" s="13">
        <f t="shared" si="340"/>
        <v>1</v>
      </c>
      <c r="U926" s="13">
        <f t="shared" si="340"/>
        <v>1</v>
      </c>
      <c r="V926" s="13">
        <f t="shared" si="340"/>
        <v>1</v>
      </c>
    </row>
    <row r="927" spans="2:22">
      <c r="G927"/>
    </row>
    <row r="928" spans="2:22" ht="15.75">
      <c r="B928" s="15" t="s">
        <v>594</v>
      </c>
      <c r="G928"/>
    </row>
    <row r="929" spans="2:22" ht="15.75">
      <c r="B929" s="41" t="s">
        <v>595</v>
      </c>
      <c r="F929" s="19">
        <v>2023</v>
      </c>
      <c r="G929"/>
      <c r="I929">
        <v>1</v>
      </c>
      <c r="J929" s="77">
        <f>IF(J$8&lt;$F929,0,IF(J$8=$F929,1,I929*(1+Input!K935)*J$12))</f>
        <v>1</v>
      </c>
      <c r="K929" s="77">
        <f>IF(K$8&lt;$F929,0,IF(K$8=$F929,1,J929*(1+Input!L935)*K$12))</f>
        <v>1.05</v>
      </c>
      <c r="L929" s="77">
        <f>IF(L$8&lt;$F929,0,IF(L$8=$F929,1,K929*(1+Input!M935)*L$12))</f>
        <v>1.1025</v>
      </c>
      <c r="M929" s="77">
        <f>IF(M$8&lt;$F929,0,IF(M$8=$F929,1,L929*(1+Input!N935)*M$12))</f>
        <v>1.1576250000000001</v>
      </c>
      <c r="N929" s="77">
        <f>IF(N$8&lt;$F929,0,IF(N$8=$F929,1,M929*(1+Input!O935)*N$12))</f>
        <v>1.2155062500000002</v>
      </c>
      <c r="O929" s="77">
        <f>IF(O$8&lt;$F929,0,IF(O$8=$F929,1,N929*(1+Input!P935)*O$12))</f>
        <v>1.2762815625000004</v>
      </c>
      <c r="P929" s="77">
        <f>IF(P$8&lt;$F929,0,IF(P$8=$F929,1,O929*(1+Input!Q935)*P$12))</f>
        <v>1.3400956406250004</v>
      </c>
      <c r="Q929" s="77">
        <f>IF(Q$8&lt;$F929,0,IF(Q$8=$F929,1,P929*(1+Input!R935)*Q$12))</f>
        <v>1.4071004226562505</v>
      </c>
      <c r="R929" s="77">
        <f>IF(R$8&lt;$F929,0,IF(R$8=$F929,1,Q929*(1+Input!S935)*R$12))</f>
        <v>1.477455443789063</v>
      </c>
      <c r="S929" s="77">
        <f>IF(S$8&lt;$F929,0,IF(S$8=$F929,1,R929*(1+Input!T935)*S$12))</f>
        <v>1.5513282159785162</v>
      </c>
      <c r="T929" s="77">
        <f>IF(T$8&lt;$F929,0,IF(T$8=$F929,1,S929*(1+Input!U935)*T$12))</f>
        <v>1.628894626777442</v>
      </c>
      <c r="U929" s="77">
        <f>IF(U$8&lt;$F929,0,IF(U$8=$F929,1,T929*(1+Input!V935)*U$12))</f>
        <v>1.7103393581163142</v>
      </c>
      <c r="V929" s="77">
        <f>IF(V$8&lt;$F929,0,IF(V$8=$F929,1,U929*(1+Input!W935)*V$12))</f>
        <v>1.7958563260221301</v>
      </c>
    </row>
    <row r="930" spans="2:22">
      <c r="B930" s="407" t="s">
        <v>407</v>
      </c>
      <c r="F930" s="6">
        <f>Input!$J$940</f>
        <v>533360.00000000012</v>
      </c>
      <c r="G930" s="17" t="s">
        <v>315</v>
      </c>
      <c r="J930">
        <f t="shared" ref="J930:V930" si="341">$F930*J929</f>
        <v>533360.00000000012</v>
      </c>
      <c r="K930">
        <f t="shared" si="341"/>
        <v>560028.00000000012</v>
      </c>
      <c r="L930">
        <f t="shared" si="341"/>
        <v>588029.40000000014</v>
      </c>
      <c r="M930">
        <f t="shared" si="341"/>
        <v>617430.87000000023</v>
      </c>
      <c r="N930">
        <f t="shared" si="341"/>
        <v>648302.41350000026</v>
      </c>
      <c r="O930">
        <f t="shared" si="341"/>
        <v>680717.53417500039</v>
      </c>
      <c r="P930">
        <f t="shared" si="341"/>
        <v>714753.41088375042</v>
      </c>
      <c r="Q930">
        <f t="shared" si="341"/>
        <v>750491.08142793796</v>
      </c>
      <c r="R930">
        <f t="shared" si="341"/>
        <v>788015.63549933478</v>
      </c>
      <c r="S930">
        <f t="shared" si="341"/>
        <v>827416.41727430164</v>
      </c>
      <c r="T930">
        <f t="shared" si="341"/>
        <v>868787.23813801666</v>
      </c>
      <c r="U930">
        <f t="shared" si="341"/>
        <v>912226.60004491755</v>
      </c>
      <c r="V930">
        <f t="shared" si="341"/>
        <v>957837.93004716351</v>
      </c>
    </row>
    <row r="931" spans="2:22">
      <c r="B931" s="407" t="s">
        <v>465</v>
      </c>
      <c r="J931">
        <f>Input!K942</f>
        <v>14625.411202416168</v>
      </c>
      <c r="K931">
        <f>Input!L942</f>
        <v>15064.173538488652</v>
      </c>
      <c r="L931">
        <f>Input!M942</f>
        <v>15516.098744643312</v>
      </c>
      <c r="M931">
        <f>Input!N942</f>
        <v>15981.581706982612</v>
      </c>
      <c r="N931">
        <f>Input!O942</f>
        <v>16461.02915819209</v>
      </c>
      <c r="O931">
        <f>Input!P942</f>
        <v>16954.860032937853</v>
      </c>
      <c r="P931">
        <f>Input!Q942</f>
        <v>17463.505833925989</v>
      </c>
      <c r="Q931">
        <f>Input!R942</f>
        <v>17987.411008943767</v>
      </c>
      <c r="R931">
        <f>Input!S942</f>
        <v>18527.033339212081</v>
      </c>
      <c r="S931">
        <f>Input!T942</f>
        <v>19082.844339388444</v>
      </c>
      <c r="T931">
        <f>Input!U942</f>
        <v>19082.844339388444</v>
      </c>
      <c r="U931">
        <f>Input!V942</f>
        <v>19082.844339388444</v>
      </c>
      <c r="V931">
        <f>Input!W942</f>
        <v>19082.844339388444</v>
      </c>
    </row>
    <row r="932" spans="2:22">
      <c r="B932" s="28" t="s">
        <v>9</v>
      </c>
      <c r="C932" s="28"/>
      <c r="D932" s="28"/>
      <c r="E932" s="28"/>
      <c r="F932" s="28"/>
      <c r="G932" s="28"/>
      <c r="H932" s="28"/>
      <c r="I932" s="48">
        <f>SUM(J932:V932)</f>
        <v>166.07723238384685</v>
      </c>
      <c r="J932" s="76">
        <f>J930*J931/Billion</f>
        <v>7.8006093189206887</v>
      </c>
      <c r="K932" s="76">
        <f t="shared" ref="K932:V932" si="342">K930*K931/Billion</f>
        <v>8.4363589784127253</v>
      </c>
      <c r="L932" s="76">
        <f t="shared" si="342"/>
        <v>9.123922235153362</v>
      </c>
      <c r="M932" s="76">
        <f t="shared" si="342"/>
        <v>9.8675218973183636</v>
      </c>
      <c r="N932" s="76">
        <f t="shared" si="342"/>
        <v>10.671724931949811</v>
      </c>
      <c r="O932" s="76">
        <f t="shared" si="342"/>
        <v>11.541470513903722</v>
      </c>
      <c r="P932" s="76">
        <f t="shared" si="342"/>
        <v>12.482100360786875</v>
      </c>
      <c r="Q932" s="76">
        <f t="shared" si="342"/>
        <v>13.499391540191004</v>
      </c>
      <c r="R932" s="76">
        <f t="shared" si="342"/>
        <v>14.599591950716571</v>
      </c>
      <c r="S932" s="76">
        <f t="shared" si="342"/>
        <v>15.789458694699974</v>
      </c>
      <c r="T932" s="76">
        <f t="shared" si="342"/>
        <v>16.578931629434972</v>
      </c>
      <c r="U932" s="76">
        <f t="shared" si="342"/>
        <v>17.407878210906723</v>
      </c>
      <c r="V932" s="76">
        <f t="shared" si="342"/>
        <v>18.278272121452062</v>
      </c>
    </row>
    <row r="933" spans="2:22">
      <c r="G933"/>
      <c r="I933" s="21"/>
      <c r="K933" s="21"/>
      <c r="L933" s="21"/>
      <c r="M933" s="21"/>
      <c r="N933" s="21"/>
    </row>
    <row r="934" spans="2:22" ht="15.75">
      <c r="B934" s="41" t="s">
        <v>596</v>
      </c>
      <c r="F934" s="19">
        <v>2023</v>
      </c>
      <c r="G934"/>
      <c r="I934">
        <v>1</v>
      </c>
      <c r="J934" s="70">
        <f>IF(J$8&lt;$F934,0,IF(J$8=$F934,1,I934*(1+Input!K948)*J$12))</f>
        <v>1</v>
      </c>
      <c r="K934" s="70">
        <f>IF(K$8&lt;$F934,0,IF(K$8=$F934,1,J934*(1+Input!L948)*K$12))</f>
        <v>1.05</v>
      </c>
      <c r="L934" s="70">
        <f>IF(L$8&lt;$F934,0,IF(L$8=$F934,1,K934*(1+Input!M948)*L$12))</f>
        <v>1.1025</v>
      </c>
      <c r="M934" s="70">
        <f>IF(M$8&lt;$F934,0,IF(M$8=$F934,1,L934*(1+Input!N948)*M$12))</f>
        <v>1.1576250000000001</v>
      </c>
      <c r="N934" s="70">
        <f>IF(N$8&lt;$F934,0,IF(N$8=$F934,1,M934*(1+Input!O948)*N$12))</f>
        <v>1.2155062500000002</v>
      </c>
      <c r="O934" s="70">
        <f>IF(O$8&lt;$F934,0,IF(O$8=$F934,1,N934*(1+Input!P948)*O$12))</f>
        <v>1.2762815625000004</v>
      </c>
      <c r="P934" s="70">
        <f>IF(P$8&lt;$F934,0,IF(P$8=$F934,1,O934*(1+Input!Q948)*P$12))</f>
        <v>1.3400956406250004</v>
      </c>
      <c r="Q934" s="70">
        <f>IF(Q$8&lt;$F934,0,IF(Q$8=$F934,1,P934*(1+Input!R948)*Q$12))</f>
        <v>1.4071004226562505</v>
      </c>
      <c r="R934" s="70">
        <f>IF(R$8&lt;$F934,0,IF(R$8=$F934,1,Q934*(1+Input!S948)*R$12))</f>
        <v>1.477455443789063</v>
      </c>
      <c r="S934" s="70">
        <f>IF(S$8&lt;$F934,0,IF(S$8=$F934,1,R934*(1+Input!T948)*S$12))</f>
        <v>1.5513282159785162</v>
      </c>
      <c r="T934" s="70">
        <f>IF(T$8&lt;$F934,0,IF(T$8=$F934,1,S934*(1+Input!U948)*T$12))</f>
        <v>1.628894626777442</v>
      </c>
      <c r="U934" s="70">
        <f>IF(U$8&lt;$F934,0,IF(U$8=$F934,1,T934*(1+Input!V948)*U$12))</f>
        <v>1.7103393581163142</v>
      </c>
      <c r="V934" s="70">
        <f>IF(V$8&lt;$F934,0,IF(V$8=$F934,1,U934*(1+Input!W948)*V$12))</f>
        <v>1.7958563260221301</v>
      </c>
    </row>
    <row r="935" spans="2:22">
      <c r="B935" s="407" t="s">
        <v>407</v>
      </c>
      <c r="F935" s="16">
        <f>Input!J953</f>
        <v>214500</v>
      </c>
      <c r="G935" s="17" t="s">
        <v>315</v>
      </c>
      <c r="J935">
        <f t="shared" ref="J935:V935" si="343">$F935*J934</f>
        <v>214500</v>
      </c>
      <c r="K935">
        <f t="shared" si="343"/>
        <v>225225</v>
      </c>
      <c r="L935">
        <f t="shared" si="343"/>
        <v>236486.25</v>
      </c>
      <c r="M935">
        <f t="shared" si="343"/>
        <v>248310.56250000003</v>
      </c>
      <c r="N935">
        <f t="shared" si="343"/>
        <v>260726.09062500004</v>
      </c>
      <c r="O935">
        <f t="shared" si="343"/>
        <v>273762.3951562501</v>
      </c>
      <c r="P935">
        <f t="shared" si="343"/>
        <v>287450.51491406257</v>
      </c>
      <c r="Q935">
        <f t="shared" si="343"/>
        <v>301823.04065976571</v>
      </c>
      <c r="R935">
        <f t="shared" si="343"/>
        <v>316914.19269275403</v>
      </c>
      <c r="S935">
        <f t="shared" si="343"/>
        <v>332759.90232739173</v>
      </c>
      <c r="T935">
        <f t="shared" si="343"/>
        <v>349397.89744376129</v>
      </c>
      <c r="U935">
        <f t="shared" si="343"/>
        <v>366867.79231594939</v>
      </c>
      <c r="V935">
        <f t="shared" si="343"/>
        <v>385211.18193174689</v>
      </c>
    </row>
    <row r="936" spans="2:22">
      <c r="B936" s="407" t="s">
        <v>465</v>
      </c>
      <c r="J936">
        <f>Input!K955</f>
        <v>6500.0000000000018</v>
      </c>
      <c r="K936">
        <f>Input!L955</f>
        <v>6695.0000000000018</v>
      </c>
      <c r="L936">
        <f>Input!M955</f>
        <v>6895.8500000000022</v>
      </c>
      <c r="M936">
        <f>Input!N955</f>
        <v>7102.7255000000023</v>
      </c>
      <c r="N936">
        <f>Input!O955</f>
        <v>7315.8072650000022</v>
      </c>
      <c r="O936">
        <f>Input!P955</f>
        <v>7535.2814829500021</v>
      </c>
      <c r="P936">
        <f>Input!Q955</f>
        <v>7761.3399274385019</v>
      </c>
      <c r="Q936">
        <f>Input!R955</f>
        <v>7994.1801252616569</v>
      </c>
      <c r="R936">
        <f>Input!S955</f>
        <v>8234.0055290195069</v>
      </c>
      <c r="S936">
        <f>Input!T955</f>
        <v>8481.0256948900915</v>
      </c>
      <c r="T936">
        <f>Input!U955</f>
        <v>8481.0256948900915</v>
      </c>
      <c r="U936">
        <f>Input!V955</f>
        <v>8481.0256948900915</v>
      </c>
      <c r="V936">
        <f>Input!W955</f>
        <v>8481.0256948900915</v>
      </c>
    </row>
    <row r="937" spans="2:22">
      <c r="B937" s="28" t="s">
        <v>9</v>
      </c>
      <c r="C937" s="28"/>
      <c r="D937" s="28"/>
      <c r="E937" s="28"/>
      <c r="F937" s="28"/>
      <c r="G937" s="28"/>
      <c r="H937" s="28"/>
      <c r="I937" s="48">
        <f>SUM(J937:V937)</f>
        <v>29.683986440589585</v>
      </c>
      <c r="J937" s="76">
        <f>J935*J936/Billion</f>
        <v>1.3942500000000004</v>
      </c>
      <c r="K937" s="76">
        <f t="shared" ref="K937:V937" si="344">K935*K936/Billion</f>
        <v>1.5078813750000004</v>
      </c>
      <c r="L937" s="76">
        <f t="shared" si="344"/>
        <v>1.6307737070625006</v>
      </c>
      <c r="M937" s="76">
        <f t="shared" si="344"/>
        <v>1.7636817641880946</v>
      </c>
      <c r="N937" s="76">
        <f t="shared" si="344"/>
        <v>1.9074218279694242</v>
      </c>
      <c r="O937" s="76">
        <f t="shared" si="344"/>
        <v>2.0628767069489324</v>
      </c>
      <c r="P937" s="76">
        <f t="shared" si="344"/>
        <v>2.2310011585652703</v>
      </c>
      <c r="Q937" s="76">
        <f t="shared" si="344"/>
        <v>2.4128277529883397</v>
      </c>
      <c r="R937" s="76">
        <f t="shared" si="344"/>
        <v>2.60947321485689</v>
      </c>
      <c r="S937" s="76">
        <f t="shared" si="344"/>
        <v>2.8221452818677264</v>
      </c>
      <c r="T937" s="76">
        <f t="shared" si="344"/>
        <v>2.9632525459611125</v>
      </c>
      <c r="U937" s="76">
        <f t="shared" si="344"/>
        <v>3.1114151732591688</v>
      </c>
      <c r="V937" s="76">
        <f t="shared" si="344"/>
        <v>3.2669859319221271</v>
      </c>
    </row>
    <row r="938" spans="2:22">
      <c r="G938"/>
      <c r="I938" s="21"/>
      <c r="K938" s="21"/>
      <c r="L938" s="21"/>
      <c r="M938" s="21"/>
      <c r="N938" s="21"/>
    </row>
    <row r="939" spans="2:22">
      <c r="B939" t="s">
        <v>471</v>
      </c>
      <c r="G939"/>
      <c r="I939" s="21"/>
      <c r="J939">
        <f>SUM(J930,J935)</f>
        <v>747860.00000000012</v>
      </c>
      <c r="K939">
        <f t="shared" ref="K939:V939" si="345">SUM(K930,K935)</f>
        <v>785253.00000000012</v>
      </c>
      <c r="L939">
        <f t="shared" si="345"/>
        <v>824515.65000000014</v>
      </c>
      <c r="M939">
        <f t="shared" si="345"/>
        <v>865741.43250000023</v>
      </c>
      <c r="N939">
        <f t="shared" si="345"/>
        <v>909028.50412500033</v>
      </c>
      <c r="O939">
        <f t="shared" si="345"/>
        <v>954479.92933125049</v>
      </c>
      <c r="P939">
        <f t="shared" si="345"/>
        <v>1002203.925797813</v>
      </c>
      <c r="Q939">
        <f t="shared" si="345"/>
        <v>1052314.1220877036</v>
      </c>
      <c r="R939">
        <f t="shared" si="345"/>
        <v>1104929.8281920888</v>
      </c>
      <c r="S939">
        <f t="shared" si="345"/>
        <v>1160176.3196016934</v>
      </c>
      <c r="T939">
        <f t="shared" si="345"/>
        <v>1218185.1355817779</v>
      </c>
      <c r="U939">
        <f t="shared" si="345"/>
        <v>1279094.392360867</v>
      </c>
      <c r="V939">
        <f t="shared" si="345"/>
        <v>1343049.1119789104</v>
      </c>
    </row>
    <row r="940" spans="2:22">
      <c r="B940" t="s">
        <v>578</v>
      </c>
      <c r="G940"/>
      <c r="I940" s="21"/>
      <c r="J940">
        <f>SUM(J932,J937)</f>
        <v>9.1948593189206882</v>
      </c>
      <c r="K940">
        <f t="shared" ref="K940:V940" si="346">SUM(K932,K937)</f>
        <v>9.9442403534127255</v>
      </c>
      <c r="L940">
        <f t="shared" si="346"/>
        <v>10.754695942215863</v>
      </c>
      <c r="M940">
        <f t="shared" si="346"/>
        <v>11.631203661506458</v>
      </c>
      <c r="N940">
        <f t="shared" si="346"/>
        <v>12.579146759919235</v>
      </c>
      <c r="O940">
        <f t="shared" si="346"/>
        <v>13.604347220852654</v>
      </c>
      <c r="P940">
        <f t="shared" si="346"/>
        <v>14.713101519352145</v>
      </c>
      <c r="Q940">
        <f t="shared" si="346"/>
        <v>15.912219293179344</v>
      </c>
      <c r="R940">
        <f t="shared" si="346"/>
        <v>17.20906516557346</v>
      </c>
      <c r="S940">
        <f t="shared" si="346"/>
        <v>18.6116039765677</v>
      </c>
      <c r="T940">
        <f t="shared" si="346"/>
        <v>19.542184175396084</v>
      </c>
      <c r="U940">
        <f t="shared" si="346"/>
        <v>20.519293384165891</v>
      </c>
      <c r="V940">
        <f t="shared" si="346"/>
        <v>21.545258053374191</v>
      </c>
    </row>
    <row r="941" spans="2:22">
      <c r="G941"/>
      <c r="I941" s="21"/>
    </row>
    <row r="942" spans="2:22" ht="15.75">
      <c r="B942" s="15" t="s">
        <v>473</v>
      </c>
      <c r="G942"/>
      <c r="I942" s="21"/>
      <c r="J942">
        <f t="shared" ref="J942:V942" si="347">SUM(J951,J957,J962,J967)*J12</f>
        <v>7.2337100025868368</v>
      </c>
      <c r="K942">
        <f t="shared" si="347"/>
        <v>7.8069424754420353</v>
      </c>
      <c r="L942">
        <f t="shared" si="347"/>
        <v>8.4263299401753606</v>
      </c>
      <c r="M942">
        <f t="shared" si="347"/>
        <v>9.0956143077118021</v>
      </c>
      <c r="N942">
        <f t="shared" si="347"/>
        <v>9.8188417644847608</v>
      </c>
      <c r="O942">
        <f t="shared" si="347"/>
        <v>10.600387546731902</v>
      </c>
      <c r="P942">
        <f t="shared" si="347"/>
        <v>11.444982733050519</v>
      </c>
      <c r="Q942">
        <f t="shared" si="347"/>
        <v>12.357743219671075</v>
      </c>
      <c r="R942">
        <f t="shared" si="347"/>
        <v>13.34420105630978</v>
      </c>
      <c r="S942">
        <f t="shared" si="347"/>
        <v>14.410338334955664</v>
      </c>
      <c r="T942">
        <f t="shared" si="347"/>
        <v>15.123644917335865</v>
      </c>
      <c r="U942">
        <f t="shared" si="347"/>
        <v>15.872369109201461</v>
      </c>
      <c r="V942">
        <f t="shared" si="347"/>
        <v>16.658273120839546</v>
      </c>
    </row>
    <row r="943" spans="2:22">
      <c r="B943" s="2" t="s">
        <v>579</v>
      </c>
      <c r="F943" s="58" t="s">
        <v>580</v>
      </c>
      <c r="G943"/>
      <c r="I943" s="22"/>
    </row>
    <row r="944" spans="2:22">
      <c r="B944" s="407" t="s">
        <v>516</v>
      </c>
      <c r="F944" s="30">
        <f>Input!J965</f>
        <v>8.3321613719999993E-2</v>
      </c>
      <c r="G944" s="17" t="s">
        <v>315</v>
      </c>
    </row>
    <row r="945" spans="2:22">
      <c r="B945" s="28" t="s">
        <v>476</v>
      </c>
      <c r="C945" s="28"/>
      <c r="D945" s="28"/>
      <c r="E945" s="28"/>
      <c r="F945" s="28"/>
      <c r="G945" s="28"/>
      <c r="H945" s="28"/>
      <c r="I945" s="49">
        <f>SUM(J945:V945)</f>
        <v>1.0831809783600002</v>
      </c>
      <c r="J945" s="47">
        <f t="shared" ref="J945:V945" si="348">$F944*J12</f>
        <v>8.3321613719999993E-2</v>
      </c>
      <c r="K945" s="47">
        <f t="shared" si="348"/>
        <v>8.3321613719999993E-2</v>
      </c>
      <c r="L945" s="47">
        <f t="shared" si="348"/>
        <v>8.3321613719999993E-2</v>
      </c>
      <c r="M945" s="47">
        <f t="shared" si="348"/>
        <v>8.3321613719999993E-2</v>
      </c>
      <c r="N945" s="47">
        <f t="shared" si="348"/>
        <v>8.3321613719999993E-2</v>
      </c>
      <c r="O945" s="47">
        <f t="shared" si="348"/>
        <v>8.3321613719999993E-2</v>
      </c>
      <c r="P945" s="47">
        <f t="shared" si="348"/>
        <v>8.3321613719999993E-2</v>
      </c>
      <c r="Q945" s="47">
        <f t="shared" si="348"/>
        <v>8.3321613719999993E-2</v>
      </c>
      <c r="R945" s="47">
        <f t="shared" si="348"/>
        <v>8.3321613719999993E-2</v>
      </c>
      <c r="S945" s="47">
        <f t="shared" si="348"/>
        <v>8.3321613719999993E-2</v>
      </c>
      <c r="T945" s="47">
        <f t="shared" si="348"/>
        <v>8.3321613719999993E-2</v>
      </c>
      <c r="U945" s="47">
        <f t="shared" si="348"/>
        <v>8.3321613719999993E-2</v>
      </c>
      <c r="V945" s="47">
        <f t="shared" si="348"/>
        <v>8.3321613719999993E-2</v>
      </c>
    </row>
    <row r="946" spans="2:22">
      <c r="G946"/>
    </row>
    <row r="947" spans="2:22">
      <c r="B947" s="2" t="s">
        <v>592</v>
      </c>
      <c r="G947"/>
    </row>
    <row r="948" spans="2:22" ht="15.75">
      <c r="B948" s="41"/>
      <c r="F948" s="19">
        <v>2023</v>
      </c>
      <c r="G948"/>
      <c r="I948">
        <v>1</v>
      </c>
      <c r="J948" s="70">
        <f>IF(J$8&lt;$F948,0,IF(J$8=$F948,1,I948*(1+Input!K948)*J$12))</f>
        <v>1</v>
      </c>
      <c r="K948" s="70">
        <f>IF(K$8&lt;$F948,0,IF(K$8=$F948,1,J948*(1+Input!L948)*K$12))</f>
        <v>1.05</v>
      </c>
      <c r="L948" s="70">
        <f>IF(L$8&lt;$F948,0,IF(L$8=$F948,1,K948*(1+Input!M948)*L$12))</f>
        <v>1.1025</v>
      </c>
      <c r="M948" s="70">
        <f>IF(M$8&lt;$F948,0,IF(M$8=$F948,1,L948*(1+Input!N948)*M$12))</f>
        <v>1.1576250000000001</v>
      </c>
      <c r="N948" s="70">
        <f>IF(N$8&lt;$F948,0,IF(N$8=$F948,1,M948*(1+Input!O948)*N$12))</f>
        <v>1.2155062500000002</v>
      </c>
      <c r="O948" s="70">
        <f>IF(O$8&lt;$F948,0,IF(O$8=$F948,1,N948*(1+Input!P948)*O$12))</f>
        <v>1.2762815625000004</v>
      </c>
      <c r="P948" s="70">
        <f>IF(P$8&lt;$F948,0,IF(P$8=$F948,1,O948*(1+Input!Q948)*P$12))</f>
        <v>1.3400956406250004</v>
      </c>
      <c r="Q948" s="70">
        <f>IF(Q$8&lt;$F948,0,IF(Q$8=$F948,1,P948*(1+Input!R948)*Q$12))</f>
        <v>1.4071004226562505</v>
      </c>
      <c r="R948" s="70">
        <f>IF(R$8&lt;$F948,0,IF(R$8=$F948,1,Q948*(1+Input!S948)*R$12))</f>
        <v>1.477455443789063</v>
      </c>
      <c r="S948" s="70">
        <f>IF(S$8&lt;$F948,0,IF(S$8=$F948,1,R948*(1+Input!T948)*S$12))</f>
        <v>1.5513282159785162</v>
      </c>
      <c r="T948" s="70">
        <f>IF(T$8&lt;$F948,0,IF(T$8=$F948,1,S948*(1+Input!U948)*T$12))</f>
        <v>1.628894626777442</v>
      </c>
      <c r="U948" s="70">
        <f>IF(U$8&lt;$F948,0,IF(U$8=$F948,1,T948*(1+Input!V948)*U$12))</f>
        <v>1.7103393581163142</v>
      </c>
      <c r="V948" s="70">
        <f>IF(V$8&lt;$F948,0,IF(V$8=$F948,1,U948*(1+Input!W948)*V$12))</f>
        <v>1.7958563260221301</v>
      </c>
    </row>
    <row r="949" spans="2:22">
      <c r="B949" s="407" t="s">
        <v>472</v>
      </c>
      <c r="G949" s="17" t="s">
        <v>315</v>
      </c>
      <c r="J949">
        <f>J940</f>
        <v>9.1948593189206882</v>
      </c>
      <c r="K949">
        <f t="shared" ref="K949:V949" si="349">K940</f>
        <v>9.9442403534127255</v>
      </c>
      <c r="L949">
        <f t="shared" si="349"/>
        <v>10.754695942215863</v>
      </c>
      <c r="M949">
        <f t="shared" si="349"/>
        <v>11.631203661506458</v>
      </c>
      <c r="N949">
        <f t="shared" si="349"/>
        <v>12.579146759919235</v>
      </c>
      <c r="O949">
        <f t="shared" si="349"/>
        <v>13.604347220852654</v>
      </c>
      <c r="P949">
        <f t="shared" si="349"/>
        <v>14.713101519352145</v>
      </c>
      <c r="Q949">
        <f t="shared" si="349"/>
        <v>15.912219293179344</v>
      </c>
      <c r="R949">
        <f t="shared" si="349"/>
        <v>17.20906516557346</v>
      </c>
      <c r="S949">
        <f t="shared" si="349"/>
        <v>18.6116039765677</v>
      </c>
      <c r="T949">
        <f t="shared" si="349"/>
        <v>19.542184175396084</v>
      </c>
      <c r="U949">
        <f t="shared" si="349"/>
        <v>20.519293384165891</v>
      </c>
      <c r="V949">
        <f t="shared" si="349"/>
        <v>21.545258053374191</v>
      </c>
    </row>
    <row r="950" spans="2:22">
      <c r="B950" s="407" t="s">
        <v>465</v>
      </c>
      <c r="F950" s="39">
        <v>0.74876623324901359</v>
      </c>
      <c r="J950" s="74">
        <f>$F950</f>
        <v>0.74876623324901359</v>
      </c>
      <c r="K950" s="74">
        <f t="shared" ref="K950:V950" si="350">$F950</f>
        <v>0.74876623324901359</v>
      </c>
      <c r="L950" s="74">
        <f t="shared" si="350"/>
        <v>0.74876623324901359</v>
      </c>
      <c r="M950" s="74">
        <f t="shared" si="350"/>
        <v>0.74876623324901359</v>
      </c>
      <c r="N950" s="74">
        <f t="shared" si="350"/>
        <v>0.74876623324901359</v>
      </c>
      <c r="O950" s="74">
        <f t="shared" si="350"/>
        <v>0.74876623324901359</v>
      </c>
      <c r="P950" s="74">
        <f t="shared" si="350"/>
        <v>0.74876623324901359</v>
      </c>
      <c r="Q950" s="74">
        <f t="shared" si="350"/>
        <v>0.74876623324901359</v>
      </c>
      <c r="R950" s="74">
        <f t="shared" si="350"/>
        <v>0.74876623324901359</v>
      </c>
      <c r="S950" s="74">
        <f t="shared" si="350"/>
        <v>0.74876623324901359</v>
      </c>
      <c r="T950" s="74">
        <f t="shared" si="350"/>
        <v>0.74876623324901359</v>
      </c>
      <c r="U950" s="74">
        <f t="shared" si="350"/>
        <v>0.74876623324901359</v>
      </c>
      <c r="V950" s="74">
        <f t="shared" si="350"/>
        <v>0.74876623324901359</v>
      </c>
    </row>
    <row r="951" spans="2:22">
      <c r="B951" s="28" t="s">
        <v>9</v>
      </c>
      <c r="C951" s="28"/>
      <c r="D951" s="28"/>
      <c r="E951" s="28"/>
      <c r="F951" s="28"/>
      <c r="G951" s="28"/>
      <c r="H951" s="28"/>
      <c r="I951" s="48">
        <f>SUM(J951:V951)</f>
        <v>146.57939043540918</v>
      </c>
      <c r="J951" s="76">
        <f t="shared" ref="J951:V951" si="351">J950*J949</f>
        <v>6.884800177482834</v>
      </c>
      <c r="K951" s="76">
        <f t="shared" si="351"/>
        <v>7.4459113919476865</v>
      </c>
      <c r="L951" s="76">
        <f t="shared" si="351"/>
        <v>8.0527531703914228</v>
      </c>
      <c r="M951" s="76">
        <f t="shared" si="351"/>
        <v>8.7090525537783261</v>
      </c>
      <c r="N951" s="76">
        <f t="shared" si="351"/>
        <v>9.4188403369112592</v>
      </c>
      <c r="O951" s="76">
        <f t="shared" si="351"/>
        <v>10.186475824369529</v>
      </c>
      <c r="P951" s="76">
        <f t="shared" si="351"/>
        <v>11.016673604055645</v>
      </c>
      <c r="Q951" s="76">
        <f t="shared" si="351"/>
        <v>11.914532502786178</v>
      </c>
      <c r="R951" s="76">
        <f t="shared" si="351"/>
        <v>12.885566901763251</v>
      </c>
      <c r="S951" s="76">
        <f t="shared" si="351"/>
        <v>13.93574060425696</v>
      </c>
      <c r="T951" s="76">
        <f t="shared" si="351"/>
        <v>14.632527634469806</v>
      </c>
      <c r="U951" s="76">
        <f t="shared" si="351"/>
        <v>15.364154016193298</v>
      </c>
      <c r="V951" s="76">
        <f t="shared" si="351"/>
        <v>16.132361717002969</v>
      </c>
    </row>
    <row r="952" spans="2:22">
      <c r="G952"/>
    </row>
    <row r="953" spans="2:22">
      <c r="G953"/>
    </row>
    <row r="954" spans="2:22">
      <c r="B954" s="2" t="s">
        <v>584</v>
      </c>
      <c r="G954"/>
    </row>
    <row r="955" spans="2:22">
      <c r="B955" s="407" t="s">
        <v>478</v>
      </c>
      <c r="G955"/>
      <c r="I955" s="71">
        <v>1</v>
      </c>
      <c r="J955" s="16">
        <f>I955*(1+Input!K974)*J$12</f>
        <v>1.0349999999999999</v>
      </c>
      <c r="K955" s="16">
        <f>J955*(1+Input!L974)*K$12</f>
        <v>1.0712249999999999</v>
      </c>
      <c r="L955" s="16">
        <f>K955*(1+Input!M974)*L$12</f>
        <v>1.1087178749999997</v>
      </c>
      <c r="M955" s="16">
        <f>L955*(1+Input!N974)*M$12</f>
        <v>1.1475230006249997</v>
      </c>
      <c r="N955" s="16">
        <f>M955*(1+Input!O974)*N$12</f>
        <v>1.1876863056468745</v>
      </c>
      <c r="O955" s="16">
        <f>N955*(1+Input!P974)*O$12</f>
        <v>1.229255326344515</v>
      </c>
      <c r="P955" s="16">
        <f>O955*(1+Input!Q974)*P$12</f>
        <v>1.2722792627665729</v>
      </c>
      <c r="Q955" s="16">
        <f>P955*(1+Input!R974)*Q$12</f>
        <v>1.3168090369634029</v>
      </c>
      <c r="R955" s="16">
        <f>Q955*(1+Input!S974)*R$12</f>
        <v>1.3628973532571218</v>
      </c>
      <c r="S955" s="16">
        <f>R955*(1+Input!T974)*S$12</f>
        <v>1.410598760621121</v>
      </c>
      <c r="T955" s="16">
        <f>S955*(1+Input!U974)*T$12</f>
        <v>1.4599697172428601</v>
      </c>
      <c r="U955" s="16">
        <f>T955*(1+Input!V974)*U$12</f>
        <v>1.5110686573463601</v>
      </c>
      <c r="V955" s="16">
        <f>U955*(1+Input!W974)*V$12</f>
        <v>1.5639560603534826</v>
      </c>
    </row>
    <row r="956" spans="2:22">
      <c r="B956" t="s">
        <v>479</v>
      </c>
      <c r="F956" s="19">
        <f>Input!J979</f>
        <v>0.33450115960999999</v>
      </c>
      <c r="G956" s="17" t="s">
        <v>315</v>
      </c>
    </row>
    <row r="957" spans="2:22">
      <c r="B957" s="28" t="s">
        <v>584</v>
      </c>
      <c r="C957" s="28"/>
      <c r="D957" s="28"/>
      <c r="E957" s="28"/>
      <c r="F957" s="28"/>
      <c r="G957" s="28"/>
      <c r="H957" s="28"/>
      <c r="I957" s="28"/>
      <c r="J957" s="47">
        <f>$F956*J955</f>
        <v>0.34620870019634997</v>
      </c>
      <c r="K957" s="47">
        <f t="shared" ref="K957:V957" si="352">$F956*K955</f>
        <v>0.35832600470322218</v>
      </c>
      <c r="L957" s="47">
        <f t="shared" si="352"/>
        <v>0.37086741486783492</v>
      </c>
      <c r="M957" s="47">
        <f t="shared" si="352"/>
        <v>0.38384777438820911</v>
      </c>
      <c r="N957" s="47">
        <f t="shared" si="352"/>
        <v>0.39728244649179639</v>
      </c>
      <c r="O957" s="47">
        <f t="shared" si="352"/>
        <v>0.41118733211900921</v>
      </c>
      <c r="P957" s="47">
        <f t="shared" si="352"/>
        <v>0.42557888874317451</v>
      </c>
      <c r="Q957" s="47">
        <f t="shared" si="352"/>
        <v>0.44047414984918559</v>
      </c>
      <c r="R957" s="47">
        <f t="shared" si="352"/>
        <v>0.45589074509390703</v>
      </c>
      <c r="S957" s="47">
        <f t="shared" si="352"/>
        <v>0.47184692117219373</v>
      </c>
      <c r="T957" s="47">
        <f t="shared" si="352"/>
        <v>0.48836156341322051</v>
      </c>
      <c r="U957" s="47">
        <f t="shared" si="352"/>
        <v>0.50545421813268321</v>
      </c>
      <c r="V957" s="47">
        <f t="shared" si="352"/>
        <v>0.52314511576732703</v>
      </c>
    </row>
    <row r="958" spans="2:22">
      <c r="G958"/>
    </row>
    <row r="959" spans="2:22">
      <c r="B959" s="2" t="s">
        <v>585</v>
      </c>
      <c r="G959"/>
    </row>
    <row r="960" spans="2:22">
      <c r="B960" s="407" t="s">
        <v>472</v>
      </c>
      <c r="G960"/>
      <c r="J960">
        <f>J940</f>
        <v>9.1948593189206882</v>
      </c>
      <c r="K960">
        <f t="shared" ref="K960:V960" si="353">K940</f>
        <v>9.9442403534127255</v>
      </c>
      <c r="L960">
        <f t="shared" si="353"/>
        <v>10.754695942215863</v>
      </c>
      <c r="M960">
        <f t="shared" si="353"/>
        <v>11.631203661506458</v>
      </c>
      <c r="N960">
        <f t="shared" si="353"/>
        <v>12.579146759919235</v>
      </c>
      <c r="O960">
        <f t="shared" si="353"/>
        <v>13.604347220852654</v>
      </c>
      <c r="P960">
        <f t="shared" si="353"/>
        <v>14.713101519352145</v>
      </c>
      <c r="Q960">
        <f t="shared" si="353"/>
        <v>15.912219293179344</v>
      </c>
      <c r="R960">
        <f t="shared" si="353"/>
        <v>17.20906516557346</v>
      </c>
      <c r="S960">
        <f t="shared" si="353"/>
        <v>18.6116039765677</v>
      </c>
      <c r="T960">
        <f t="shared" si="353"/>
        <v>19.542184175396084</v>
      </c>
      <c r="U960">
        <f t="shared" si="353"/>
        <v>20.519293384165891</v>
      </c>
      <c r="V960">
        <f t="shared" si="353"/>
        <v>21.545258053374191</v>
      </c>
    </row>
    <row r="961" spans="2:22">
      <c r="B961" t="s">
        <v>479</v>
      </c>
      <c r="F961" s="39">
        <v>1.1065192600795278E-3</v>
      </c>
      <c r="G961" s="17" t="s">
        <v>315</v>
      </c>
      <c r="J961" s="80">
        <f>Input!K969*J12</f>
        <v>5.2761990118853996E-6</v>
      </c>
      <c r="K961" s="80">
        <f>Input!L969*K12</f>
        <v>5.2761990118853996E-6</v>
      </c>
      <c r="L961" s="80">
        <f>Input!M969*L12</f>
        <v>5.2761990118853996E-6</v>
      </c>
      <c r="M961" s="80">
        <f>Input!N969*M12</f>
        <v>5.2761990118853996E-6</v>
      </c>
      <c r="N961" s="80">
        <f>Input!O969*N12</f>
        <v>5.2761990118853996E-6</v>
      </c>
      <c r="O961" s="80">
        <f>Input!P969*O12</f>
        <v>5.2761990118853996E-6</v>
      </c>
      <c r="P961" s="80">
        <f>Input!Q969*P12</f>
        <v>5.2761990118853996E-6</v>
      </c>
      <c r="Q961" s="80">
        <f>Input!R969*Q12</f>
        <v>5.2761990118853996E-6</v>
      </c>
      <c r="R961" s="80">
        <f>Input!S969*R12</f>
        <v>5.2761990118853996E-6</v>
      </c>
      <c r="S961" s="80">
        <f>Input!T969*S12</f>
        <v>5.2761990118853996E-6</v>
      </c>
      <c r="T961" s="80">
        <f>Input!U969*T12</f>
        <v>5.2761990118853996E-6</v>
      </c>
      <c r="U961" s="80">
        <f>Input!V969*U12</f>
        <v>5.2761990118853996E-6</v>
      </c>
      <c r="V961" s="80">
        <f>Input!W969*V12</f>
        <v>5.2761990118853996E-6</v>
      </c>
    </row>
    <row r="962" spans="2:22">
      <c r="B962" s="28" t="s">
        <v>585</v>
      </c>
      <c r="C962" s="28"/>
      <c r="D962" s="28"/>
      <c r="E962" s="28"/>
      <c r="F962" s="28"/>
      <c r="G962" s="28"/>
      <c r="H962" s="28"/>
      <c r="I962" s="28"/>
      <c r="J962" s="82">
        <f>J960*J961</f>
        <v>4.8513907652914594E-5</v>
      </c>
      <c r="K962" s="82">
        <f t="shared" ref="K962:V962" si="354">K960*K961</f>
        <v>5.2467791126627138E-5</v>
      </c>
      <c r="L962" s="82">
        <f t="shared" si="354"/>
        <v>5.6743916103447254E-5</v>
      </c>
      <c r="M962" s="82">
        <f t="shared" si="354"/>
        <v>6.1368545265878211E-5</v>
      </c>
      <c r="N962" s="82">
        <f t="shared" si="354"/>
        <v>6.6370081705047299E-5</v>
      </c>
      <c r="O962" s="82">
        <f t="shared" si="354"/>
        <v>7.1779243364008651E-5</v>
      </c>
      <c r="P962" s="82">
        <f t="shared" si="354"/>
        <v>7.7629251698175362E-5</v>
      </c>
      <c r="Q962" s="82">
        <f t="shared" si="354"/>
        <v>8.3956035711576647E-5</v>
      </c>
      <c r="R962" s="82">
        <f t="shared" si="354"/>
        <v>9.0798452622070134E-5</v>
      </c>
      <c r="S962" s="82">
        <f t="shared" si="354"/>
        <v>9.8198526510768873E-5</v>
      </c>
      <c r="T962" s="82">
        <f t="shared" si="354"/>
        <v>1.0310845283630731E-4</v>
      </c>
      <c r="U962" s="82">
        <f t="shared" si="354"/>
        <v>1.082638754781227E-4</v>
      </c>
      <c r="V962" s="82">
        <f t="shared" si="354"/>
        <v>1.1367706925202885E-4</v>
      </c>
    </row>
    <row r="963" spans="2:22">
      <c r="G963"/>
    </row>
    <row r="964" spans="2:22">
      <c r="B964" s="2" t="s">
        <v>586</v>
      </c>
      <c r="G964"/>
    </row>
    <row r="965" spans="2:22">
      <c r="B965" s="407" t="s">
        <v>478</v>
      </c>
      <c r="G965"/>
      <c r="I965" s="13">
        <v>1</v>
      </c>
      <c r="J965" s="13">
        <f>I965*(1+Input!K990)*J$12</f>
        <v>1.01</v>
      </c>
      <c r="K965" s="13">
        <f>J965*(1+Input!L990)*K$12</f>
        <v>1.0201</v>
      </c>
      <c r="L965" s="13">
        <f>K965*(1+Input!M990)*L$12</f>
        <v>1.0303009999999999</v>
      </c>
      <c r="M965" s="13">
        <f>L965*(1+Input!N990)*M$12</f>
        <v>1.04060401</v>
      </c>
      <c r="N965" s="13">
        <f>M965*(1+Input!O990)*N$12</f>
        <v>1.0510100500999999</v>
      </c>
      <c r="O965" s="13">
        <f>N965*(1+Input!P990)*O$12</f>
        <v>1.0615201506009999</v>
      </c>
      <c r="P965" s="13">
        <f>O965*(1+Input!Q990)*P$12</f>
        <v>1.0721353521070098</v>
      </c>
      <c r="Q965" s="13">
        <f>P965*(1+Input!R990)*Q$12</f>
        <v>1.08285670562808</v>
      </c>
      <c r="R965" s="13">
        <f>Q965*(1+Input!S990)*R$12</f>
        <v>1.0936852726843609</v>
      </c>
      <c r="S965" s="13">
        <f>R965*(1+Input!T990)*S$12</f>
        <v>1.1046221254112045</v>
      </c>
      <c r="T965" s="13">
        <f>S965*(1+Input!U990)*T$12</f>
        <v>1.1156683466653166</v>
      </c>
      <c r="U965" s="13">
        <f>T965*(1+Input!V990)*U$12</f>
        <v>1.1268250301319698</v>
      </c>
      <c r="V965" s="13">
        <f>U965*(1+Input!W990)*V$12</f>
        <v>1.1380932804332895</v>
      </c>
    </row>
    <row r="966" spans="2:22">
      <c r="B966" t="s">
        <v>479</v>
      </c>
      <c r="F966" s="19">
        <f>Input!J971</f>
        <v>2.652611E-3</v>
      </c>
      <c r="G966" s="17" t="s">
        <v>315</v>
      </c>
    </row>
    <row r="967" spans="2:22">
      <c r="B967" s="28" t="s">
        <v>585</v>
      </c>
      <c r="C967" s="28"/>
      <c r="D967" s="28"/>
      <c r="E967" s="28"/>
      <c r="F967" s="28"/>
      <c r="G967" s="28"/>
      <c r="H967" s="28"/>
      <c r="I967" s="28"/>
      <c r="J967" s="79">
        <f t="shared" ref="J967:V967" si="355">$F966</f>
        <v>2.652611E-3</v>
      </c>
      <c r="K967" s="79">
        <f t="shared" si="355"/>
        <v>2.652611E-3</v>
      </c>
      <c r="L967" s="79">
        <f t="shared" si="355"/>
        <v>2.652611E-3</v>
      </c>
      <c r="M967" s="79">
        <f t="shared" si="355"/>
        <v>2.652611E-3</v>
      </c>
      <c r="N967" s="79">
        <f t="shared" si="355"/>
        <v>2.652611E-3</v>
      </c>
      <c r="O967" s="79">
        <f t="shared" si="355"/>
        <v>2.652611E-3</v>
      </c>
      <c r="P967" s="79">
        <f t="shared" si="355"/>
        <v>2.652611E-3</v>
      </c>
      <c r="Q967" s="79">
        <f t="shared" si="355"/>
        <v>2.652611E-3</v>
      </c>
      <c r="R967" s="79">
        <f t="shared" si="355"/>
        <v>2.652611E-3</v>
      </c>
      <c r="S967" s="79">
        <f t="shared" si="355"/>
        <v>2.652611E-3</v>
      </c>
      <c r="T967" s="79">
        <f t="shared" si="355"/>
        <v>2.652611E-3</v>
      </c>
      <c r="U967" s="79">
        <f t="shared" si="355"/>
        <v>2.652611E-3</v>
      </c>
      <c r="V967" s="79">
        <f t="shared" si="355"/>
        <v>2.652611E-3</v>
      </c>
    </row>
    <row r="968" spans="2:22">
      <c r="G968"/>
    </row>
    <row r="969" spans="2:22" ht="15.75">
      <c r="B969" s="15" t="s">
        <v>535</v>
      </c>
      <c r="G969"/>
      <c r="J969" s="83">
        <f>SUM(J974,J979,J984,J989,J994,J999)</f>
        <v>8.2754052736800005E-2</v>
      </c>
      <c r="K969" s="83">
        <f t="shared" ref="K969:V969" si="356">SUM(K974,K979,K984,K989,K994,K999)</f>
        <v>8.3581593264168003E-2</v>
      </c>
      <c r="L969" s="83">
        <f t="shared" si="356"/>
        <v>8.4417409196809665E-2</v>
      </c>
      <c r="M969" s="83">
        <f t="shared" si="356"/>
        <v>8.5261583288777781E-2</v>
      </c>
      <c r="N969" s="83">
        <f t="shared" si="356"/>
        <v>8.6114199121665541E-2</v>
      </c>
      <c r="O969" s="83">
        <f t="shared" si="356"/>
        <v>8.6975341112882215E-2</v>
      </c>
      <c r="P969" s="83">
        <f t="shared" si="356"/>
        <v>8.7845094524011028E-2</v>
      </c>
      <c r="Q969" s="83">
        <f t="shared" si="356"/>
        <v>8.8723545469251139E-2</v>
      </c>
      <c r="R969" s="83">
        <f t="shared" si="356"/>
        <v>8.9610780923943645E-2</v>
      </c>
      <c r="S969" s="83">
        <f t="shared" si="356"/>
        <v>9.0506888733183091E-2</v>
      </c>
      <c r="T969" s="83">
        <f t="shared" si="356"/>
        <v>9.1411957620514933E-2</v>
      </c>
      <c r="U969" s="83">
        <f t="shared" si="356"/>
        <v>9.2326077196720063E-2</v>
      </c>
      <c r="V969" s="83">
        <f t="shared" si="356"/>
        <v>9.3249337968687285E-2</v>
      </c>
    </row>
    <row r="970" spans="2:22">
      <c r="G970"/>
    </row>
    <row r="971" spans="2:22">
      <c r="B971" s="2" t="s">
        <v>496</v>
      </c>
      <c r="G971"/>
    </row>
    <row r="972" spans="2:22">
      <c r="B972" s="407" t="s">
        <v>478</v>
      </c>
      <c r="G972"/>
      <c r="I972" s="13">
        <v>1</v>
      </c>
      <c r="J972" s="13">
        <f>I972*(1+Input!K983)*J$12</f>
        <v>1.01</v>
      </c>
      <c r="K972" s="13">
        <f>J972*(1+Input!L983)*K$12</f>
        <v>1.0201</v>
      </c>
      <c r="L972" s="13">
        <f>K972*(1+Input!M983)*L$12</f>
        <v>1.0303009999999999</v>
      </c>
      <c r="M972" s="13">
        <f>L972*(1+Input!N983)*M$12</f>
        <v>1.04060401</v>
      </c>
      <c r="N972" s="13">
        <f>M972*(1+Input!O983)*N$12</f>
        <v>1.0510100500999999</v>
      </c>
      <c r="O972" s="13">
        <f>N972*(1+Input!P983)*O$12</f>
        <v>1.0615201506009999</v>
      </c>
      <c r="P972" s="13">
        <f>O972*(1+Input!Q983)*P$12</f>
        <v>1.0721353521070098</v>
      </c>
      <c r="Q972" s="13">
        <f>P972*(1+Input!R983)*Q$12</f>
        <v>1.08285670562808</v>
      </c>
      <c r="R972" s="13">
        <f>Q972*(1+Input!S983)*R$12</f>
        <v>1.0936852726843609</v>
      </c>
      <c r="S972" s="13">
        <f>R972*(1+Input!T983)*S$12</f>
        <v>1.1046221254112045</v>
      </c>
      <c r="T972" s="13">
        <f>S972*(1+Input!U983)*T$12</f>
        <v>1.1156683466653166</v>
      </c>
      <c r="U972" s="13">
        <f>T972*(1+Input!V983)*U$12</f>
        <v>1.1268250301319698</v>
      </c>
      <c r="V972" s="13">
        <f>U972*(1+Input!W983)*V$12</f>
        <v>1.1380932804332895</v>
      </c>
    </row>
    <row r="973" spans="2:22">
      <c r="B973" t="s">
        <v>479</v>
      </c>
      <c r="F973" s="19">
        <f>Input!J988</f>
        <v>3.800000001E-2</v>
      </c>
      <c r="G973" s="17" t="s">
        <v>315</v>
      </c>
    </row>
    <row r="974" spans="2:22">
      <c r="B974" s="28" t="s">
        <v>585</v>
      </c>
      <c r="C974" s="28"/>
      <c r="D974" s="28"/>
      <c r="E974" s="28"/>
      <c r="F974" s="28"/>
      <c r="G974" s="28"/>
      <c r="H974" s="28"/>
      <c r="I974" s="28"/>
      <c r="J974" s="47">
        <f>$F973*J972</f>
        <v>3.8380000010100002E-2</v>
      </c>
      <c r="K974" s="47">
        <f t="shared" ref="K974:V974" si="357">$F973*K972</f>
        <v>3.8763800010201001E-2</v>
      </c>
      <c r="L974" s="47">
        <f t="shared" si="357"/>
        <v>3.9151438010303005E-2</v>
      </c>
      <c r="M974" s="47">
        <f t="shared" si="357"/>
        <v>3.954295239040604E-2</v>
      </c>
      <c r="N974" s="47">
        <f t="shared" si="357"/>
        <v>3.9938381914310095E-2</v>
      </c>
      <c r="O974" s="47">
        <f t="shared" si="357"/>
        <v>4.0337765733453199E-2</v>
      </c>
      <c r="P974" s="47">
        <f t="shared" si="357"/>
        <v>4.0741143390787729E-2</v>
      </c>
      <c r="Q974" s="47">
        <f t="shared" si="357"/>
        <v>4.1148554824695607E-2</v>
      </c>
      <c r="R974" s="47">
        <f t="shared" si="357"/>
        <v>4.1560040372942565E-2</v>
      </c>
      <c r="S974" s="47">
        <f t="shared" si="357"/>
        <v>4.1975640776671992E-2</v>
      </c>
      <c r="T974" s="47">
        <f t="shared" si="357"/>
        <v>4.2395397184438716E-2</v>
      </c>
      <c r="U974" s="47">
        <f t="shared" si="357"/>
        <v>4.2819351156283103E-2</v>
      </c>
      <c r="V974" s="47">
        <f t="shared" si="357"/>
        <v>4.3247544667845937E-2</v>
      </c>
    </row>
    <row r="975" spans="2:22">
      <c r="G975"/>
    </row>
    <row r="976" spans="2:22">
      <c r="B976" s="2" t="s">
        <v>499</v>
      </c>
      <c r="G976"/>
    </row>
    <row r="977" spans="2:22">
      <c r="B977" s="407" t="s">
        <v>478</v>
      </c>
      <c r="G977"/>
      <c r="I977" s="13">
        <v>1</v>
      </c>
      <c r="J977" s="13">
        <f>I977*(1+Input!K990)*J$12</f>
        <v>1.01</v>
      </c>
      <c r="K977" s="13">
        <f>J977*(1+Input!L990)*K$12</f>
        <v>1.0201</v>
      </c>
      <c r="L977" s="13">
        <f>K977*(1+Input!M990)*L$12</f>
        <v>1.0303009999999999</v>
      </c>
      <c r="M977" s="13">
        <f>L977*(1+Input!N990)*M$12</f>
        <v>1.04060401</v>
      </c>
      <c r="N977" s="13">
        <f>M977*(1+Input!O990)*N$12</f>
        <v>1.0510100500999999</v>
      </c>
      <c r="O977" s="13">
        <f>N977*(1+Input!P990)*O$12</f>
        <v>1.0615201506009999</v>
      </c>
      <c r="P977" s="13">
        <f>O977*(1+Input!Q990)*P$12</f>
        <v>1.0721353521070098</v>
      </c>
      <c r="Q977" s="13">
        <f>P977*(1+Input!R990)*Q$12</f>
        <v>1.08285670562808</v>
      </c>
      <c r="R977" s="13">
        <f>Q977*(1+Input!S990)*R$12</f>
        <v>1.0936852726843609</v>
      </c>
      <c r="S977" s="13">
        <f>R977*(1+Input!T990)*S$12</f>
        <v>1.1046221254112045</v>
      </c>
      <c r="T977" s="13">
        <f>S977*(1+Input!U990)*T$12</f>
        <v>1.1156683466653166</v>
      </c>
      <c r="U977" s="13">
        <f>T977*(1+Input!V990)*U$12</f>
        <v>1.1268250301319698</v>
      </c>
      <c r="V977" s="13">
        <f>U977*(1+Input!W990)*V$12</f>
        <v>1.1380932804332895</v>
      </c>
    </row>
    <row r="978" spans="2:22">
      <c r="B978" t="s">
        <v>479</v>
      </c>
      <c r="F978" s="19">
        <f>Input!J995</f>
        <v>1.8822505E-2</v>
      </c>
      <c r="G978" s="17" t="s">
        <v>315</v>
      </c>
    </row>
    <row r="979" spans="2:22">
      <c r="B979" s="28" t="s">
        <v>585</v>
      </c>
      <c r="C979" s="28"/>
      <c r="D979" s="28"/>
      <c r="E979" s="28"/>
      <c r="F979" s="28"/>
      <c r="G979" s="28"/>
      <c r="H979" s="28"/>
      <c r="I979" s="28"/>
      <c r="J979" s="79">
        <f t="shared" ref="J979:V979" si="358">$F978*J977</f>
        <v>1.9010730050000001E-2</v>
      </c>
      <c r="K979" s="79">
        <f t="shared" si="358"/>
        <v>1.9200837350499999E-2</v>
      </c>
      <c r="L979" s="79">
        <f t="shared" si="358"/>
        <v>1.9392845724004997E-2</v>
      </c>
      <c r="M979" s="79">
        <f t="shared" si="358"/>
        <v>1.9586774181245051E-2</v>
      </c>
      <c r="N979" s="79">
        <f t="shared" si="358"/>
        <v>1.9782641923057499E-2</v>
      </c>
      <c r="O979" s="79">
        <f t="shared" si="358"/>
        <v>1.9980468342288074E-2</v>
      </c>
      <c r="P979" s="79">
        <f t="shared" si="358"/>
        <v>2.0180273025710953E-2</v>
      </c>
      <c r="Q979" s="79">
        <f t="shared" si="358"/>
        <v>2.0382075755968065E-2</v>
      </c>
      <c r="R979" s="79">
        <f t="shared" si="358"/>
        <v>2.0585896513527747E-2</v>
      </c>
      <c r="S979" s="79">
        <f t="shared" si="358"/>
        <v>2.0791755478663024E-2</v>
      </c>
      <c r="T979" s="79">
        <f t="shared" si="358"/>
        <v>2.0999673033449653E-2</v>
      </c>
      <c r="U979" s="79">
        <f t="shared" si="358"/>
        <v>2.1209669763784151E-2</v>
      </c>
      <c r="V979" s="79">
        <f t="shared" si="358"/>
        <v>2.1421766461421993E-2</v>
      </c>
    </row>
    <row r="980" spans="2:22">
      <c r="G980"/>
    </row>
    <row r="981" spans="2:22">
      <c r="B981" s="2" t="s">
        <v>569</v>
      </c>
      <c r="G981"/>
    </row>
    <row r="982" spans="2:22">
      <c r="B982" s="407" t="s">
        <v>478</v>
      </c>
      <c r="G982"/>
      <c r="I982" s="13">
        <v>1</v>
      </c>
      <c r="J982" s="13">
        <f>I982*(1+Input!K980)*J$12</f>
        <v>1</v>
      </c>
      <c r="K982" s="13">
        <f>J982*(1+Input!L980)*K$12</f>
        <v>1</v>
      </c>
      <c r="L982" s="13">
        <f>K982*(1+Input!M980)*L$12</f>
        <v>1</v>
      </c>
      <c r="M982" s="13">
        <f>L982*(1+Input!N980)*M$12</f>
        <v>1</v>
      </c>
      <c r="N982" s="13">
        <f>M982*(1+Input!O980)*N$12</f>
        <v>1</v>
      </c>
      <c r="O982" s="13">
        <f>N982*(1+Input!P980)*O$12</f>
        <v>1</v>
      </c>
      <c r="P982" s="13">
        <f>O982*(1+Input!Q980)*P$12</f>
        <v>1</v>
      </c>
      <c r="Q982" s="13">
        <f>P982*(1+Input!R980)*Q$12</f>
        <v>1</v>
      </c>
      <c r="R982" s="13">
        <f>Q982*(1+Input!S980)*R$12</f>
        <v>1</v>
      </c>
      <c r="S982" s="13">
        <f>R982*(1+Input!T980)*S$12</f>
        <v>1</v>
      </c>
      <c r="T982" s="13">
        <f>S982*(1+Input!U980)*T$12</f>
        <v>1</v>
      </c>
      <c r="U982" s="13">
        <f>T982*(1+Input!V980)*U$12</f>
        <v>1</v>
      </c>
      <c r="V982" s="13">
        <f>U982*(1+Input!W980)*V$12</f>
        <v>1</v>
      </c>
    </row>
    <row r="983" spans="2:22">
      <c r="B983" t="s">
        <v>479</v>
      </c>
      <c r="F983" s="19"/>
      <c r="G983" s="17" t="s">
        <v>315</v>
      </c>
    </row>
    <row r="984" spans="2:22">
      <c r="B984" s="28" t="s">
        <v>585</v>
      </c>
      <c r="C984" s="28"/>
      <c r="D984" s="28"/>
      <c r="E984" s="28"/>
      <c r="F984" s="28"/>
      <c r="G984" s="28"/>
      <c r="H984" s="28"/>
      <c r="I984" s="28"/>
      <c r="J984" s="79">
        <f t="shared" ref="J984:V984" si="359">$F983*J982</f>
        <v>0</v>
      </c>
      <c r="K984" s="79">
        <f t="shared" si="359"/>
        <v>0</v>
      </c>
      <c r="L984" s="79">
        <f t="shared" si="359"/>
        <v>0</v>
      </c>
      <c r="M984" s="79">
        <f t="shared" si="359"/>
        <v>0</v>
      </c>
      <c r="N984" s="79">
        <f t="shared" si="359"/>
        <v>0</v>
      </c>
      <c r="O984" s="79">
        <f t="shared" si="359"/>
        <v>0</v>
      </c>
      <c r="P984" s="79">
        <f t="shared" si="359"/>
        <v>0</v>
      </c>
      <c r="Q984" s="79">
        <f t="shared" si="359"/>
        <v>0</v>
      </c>
      <c r="R984" s="79">
        <f t="shared" si="359"/>
        <v>0</v>
      </c>
      <c r="S984" s="79">
        <f t="shared" si="359"/>
        <v>0</v>
      </c>
      <c r="T984" s="79">
        <f t="shared" si="359"/>
        <v>0</v>
      </c>
      <c r="U984" s="79">
        <f t="shared" si="359"/>
        <v>0</v>
      </c>
      <c r="V984" s="79">
        <f t="shared" si="359"/>
        <v>0</v>
      </c>
    </row>
    <row r="985" spans="2:22">
      <c r="G985"/>
    </row>
    <row r="986" spans="2:22">
      <c r="B986" s="2" t="s">
        <v>501</v>
      </c>
      <c r="G986"/>
    </row>
    <row r="987" spans="2:22">
      <c r="B987" s="407" t="s">
        <v>478</v>
      </c>
      <c r="G987"/>
      <c r="I987" s="71">
        <v>1</v>
      </c>
      <c r="J987" s="16">
        <f>I987*(1+Input!K997)*J$12</f>
        <v>1.01</v>
      </c>
      <c r="K987" s="16">
        <f>J987*(1+Input!L997)*K$12</f>
        <v>1.0201</v>
      </c>
      <c r="L987" s="16">
        <f>K987*(1+Input!M997)*L$12</f>
        <v>1.0303009999999999</v>
      </c>
      <c r="M987" s="16">
        <f>L987*(1+Input!N997)*M$12</f>
        <v>1.04060401</v>
      </c>
      <c r="N987" s="16">
        <f>M987*(1+Input!O997)*N$12</f>
        <v>1.0510100500999999</v>
      </c>
      <c r="O987" s="16">
        <f>N987*(1+Input!P997)*O$12</f>
        <v>1.0615201506009999</v>
      </c>
      <c r="P987" s="16">
        <f>O987*(1+Input!Q997)*P$12</f>
        <v>1.0721353521070098</v>
      </c>
      <c r="Q987" s="16">
        <f>P987*(1+Input!R997)*Q$12</f>
        <v>1.08285670562808</v>
      </c>
      <c r="R987" s="16">
        <f>Q987*(1+Input!S997)*R$12</f>
        <v>1.0936852726843609</v>
      </c>
      <c r="S987" s="16">
        <f>R987*(1+Input!T997)*S$12</f>
        <v>1.1046221254112045</v>
      </c>
      <c r="T987" s="16">
        <f>S987*(1+Input!U997)*T$12</f>
        <v>1.1156683466653166</v>
      </c>
      <c r="U987" s="16">
        <f>T987*(1+Input!V997)*U$12</f>
        <v>1.1268250301319698</v>
      </c>
      <c r="V987" s="16">
        <f>U987*(1+Input!W997)*V$12</f>
        <v>1.1380932804332895</v>
      </c>
    </row>
    <row r="988" spans="2:22">
      <c r="B988" t="s">
        <v>479</v>
      </c>
      <c r="F988" s="19">
        <f>Input!J1002</f>
        <v>1.5713000670000001E-2</v>
      </c>
      <c r="G988" s="17" t="s">
        <v>315</v>
      </c>
    </row>
    <row r="989" spans="2:22">
      <c r="B989" s="28" t="s">
        <v>585</v>
      </c>
      <c r="C989" s="28"/>
      <c r="D989" s="28"/>
      <c r="E989" s="28"/>
      <c r="F989" s="28"/>
      <c r="G989" s="28"/>
      <c r="H989" s="28"/>
      <c r="I989" s="28"/>
      <c r="J989" s="79">
        <f t="shared" ref="J989:V989" si="360">$F988*J987</f>
        <v>1.5870130676700001E-2</v>
      </c>
      <c r="K989" s="79">
        <f t="shared" si="360"/>
        <v>1.6028831983467003E-2</v>
      </c>
      <c r="L989" s="79">
        <f t="shared" si="360"/>
        <v>1.618912030330167E-2</v>
      </c>
      <c r="M989" s="79">
        <f t="shared" si="360"/>
        <v>1.6351011506334688E-2</v>
      </c>
      <c r="N989" s="79">
        <f t="shared" si="360"/>
        <v>1.6514521621398034E-2</v>
      </c>
      <c r="O989" s="79">
        <f t="shared" si="360"/>
        <v>1.6679666837612014E-2</v>
      </c>
      <c r="P989" s="79">
        <f t="shared" si="360"/>
        <v>1.6846463505988132E-2</v>
      </c>
      <c r="Q989" s="79">
        <f t="shared" si="360"/>
        <v>1.7014928141048016E-2</v>
      </c>
      <c r="R989" s="79">
        <f t="shared" si="360"/>
        <v>1.7185077422458495E-2</v>
      </c>
      <c r="S989" s="79">
        <f t="shared" si="360"/>
        <v>1.7356928196683084E-2</v>
      </c>
      <c r="T989" s="79">
        <f t="shared" si="360"/>
        <v>1.7530497478649914E-2</v>
      </c>
      <c r="U989" s="79">
        <f t="shared" si="360"/>
        <v>1.7705802453436413E-2</v>
      </c>
      <c r="V989" s="79">
        <f t="shared" si="360"/>
        <v>1.7882860477970778E-2</v>
      </c>
    </row>
    <row r="990" spans="2:22">
      <c r="G990"/>
    </row>
    <row r="991" spans="2:22">
      <c r="B991" s="2" t="s">
        <v>500</v>
      </c>
      <c r="G991"/>
    </row>
    <row r="992" spans="2:22">
      <c r="B992" s="407" t="s">
        <v>478</v>
      </c>
      <c r="G992"/>
      <c r="I992" s="13">
        <v>1</v>
      </c>
      <c r="J992" s="13">
        <f>I992*(1+Input!K1004)*J$12</f>
        <v>1.01</v>
      </c>
      <c r="K992" s="13">
        <f>J992*(1+Input!L1004)*K$12</f>
        <v>1.0201</v>
      </c>
      <c r="L992" s="13">
        <f>K992*(1+Input!M1004)*L$12</f>
        <v>1.0303009999999999</v>
      </c>
      <c r="M992" s="13">
        <f>L992*(1+Input!N1004)*M$12</f>
        <v>1.04060401</v>
      </c>
      <c r="N992" s="13">
        <f>M992*(1+Input!O1004)*N$12</f>
        <v>1.0510100500999999</v>
      </c>
      <c r="O992" s="13">
        <f>N992*(1+Input!P1004)*O$12</f>
        <v>1.0615201506009999</v>
      </c>
      <c r="P992" s="13">
        <f>O992*(1+Input!Q1004)*P$12</f>
        <v>1.0721353521070098</v>
      </c>
      <c r="Q992" s="13">
        <f>P992*(1+Input!R1004)*Q$12</f>
        <v>1.08285670562808</v>
      </c>
      <c r="R992" s="13">
        <f>Q992*(1+Input!S1004)*R$12</f>
        <v>1.0936852726843609</v>
      </c>
      <c r="S992" s="13">
        <f>R992*(1+Input!T1004)*S$12</f>
        <v>1.1046221254112045</v>
      </c>
      <c r="T992" s="13">
        <f>S992*(1+Input!U1004)*T$12</f>
        <v>1.1156683466653166</v>
      </c>
      <c r="U992" s="13">
        <f>T992*(1+Input!V1004)*U$12</f>
        <v>1.1268250301319698</v>
      </c>
      <c r="V992" s="13">
        <f>U992*(1+Input!W1004)*V$12</f>
        <v>1.1380932804332895</v>
      </c>
    </row>
    <row r="993" spans="2:22">
      <c r="B993" t="s">
        <v>479</v>
      </c>
      <c r="F993" s="19">
        <f>Input!J1009</f>
        <v>9.3991999999999999E-3</v>
      </c>
      <c r="G993" s="17" t="s">
        <v>315</v>
      </c>
    </row>
    <row r="994" spans="2:22">
      <c r="B994" s="28" t="s">
        <v>585</v>
      </c>
      <c r="C994" s="28"/>
      <c r="D994" s="28"/>
      <c r="E994" s="28"/>
      <c r="F994" s="28"/>
      <c r="G994" s="28"/>
      <c r="H994" s="28"/>
      <c r="I994" s="28"/>
      <c r="J994" s="79">
        <f t="shared" ref="J994:V994" si="361">$F993*J992</f>
        <v>9.4931919999999993E-3</v>
      </c>
      <c r="K994" s="79">
        <f t="shared" si="361"/>
        <v>9.5881239200000003E-3</v>
      </c>
      <c r="L994" s="79">
        <f t="shared" si="361"/>
        <v>9.6840051591999994E-3</v>
      </c>
      <c r="M994" s="79">
        <f t="shared" si="361"/>
        <v>9.780845210792E-3</v>
      </c>
      <c r="N994" s="79">
        <f t="shared" si="361"/>
        <v>9.8786536628999184E-3</v>
      </c>
      <c r="O994" s="79">
        <f t="shared" si="361"/>
        <v>9.9774401995289183E-3</v>
      </c>
      <c r="P994" s="79">
        <f t="shared" si="361"/>
        <v>1.0077214601524206E-2</v>
      </c>
      <c r="Q994" s="79">
        <f t="shared" si="361"/>
        <v>1.0177986747539449E-2</v>
      </c>
      <c r="R994" s="79">
        <f t="shared" si="361"/>
        <v>1.0279766615014846E-2</v>
      </c>
      <c r="S994" s="79">
        <f t="shared" si="361"/>
        <v>1.0382564281164993E-2</v>
      </c>
      <c r="T994" s="79">
        <f t="shared" si="361"/>
        <v>1.0486389923976644E-2</v>
      </c>
      <c r="U994" s="79">
        <f t="shared" si="361"/>
        <v>1.059125382321641E-2</v>
      </c>
      <c r="V994" s="79">
        <f t="shared" si="361"/>
        <v>1.0697166361448575E-2</v>
      </c>
    </row>
    <row r="995" spans="2:22">
      <c r="G995"/>
    </row>
    <row r="996" spans="2:22">
      <c r="B996" s="2" t="s">
        <v>507</v>
      </c>
      <c r="G996"/>
    </row>
    <row r="997" spans="2:22">
      <c r="B997" s="407" t="s">
        <v>478</v>
      </c>
      <c r="G997"/>
      <c r="I997" s="13">
        <v>1</v>
      </c>
      <c r="J997" s="13">
        <f>I997*(1+Input!K1001)*J$12</f>
        <v>1</v>
      </c>
      <c r="K997" s="13">
        <f>J997*(1+Input!L1001)*K$12</f>
        <v>1</v>
      </c>
      <c r="L997" s="13">
        <f>K997*(1+Input!M1001)*L$12</f>
        <v>1</v>
      </c>
      <c r="M997" s="13">
        <f>L997*(1+Input!N1001)*M$12</f>
        <v>1</v>
      </c>
      <c r="N997" s="13">
        <f>M997*(1+Input!O1001)*N$12</f>
        <v>1</v>
      </c>
      <c r="O997" s="13">
        <f>N997*(1+Input!P1001)*O$12</f>
        <v>1</v>
      </c>
      <c r="P997" s="13">
        <f>O997*(1+Input!Q1001)*P$12</f>
        <v>1</v>
      </c>
      <c r="Q997" s="13">
        <f>P997*(1+Input!R1001)*Q$12</f>
        <v>1</v>
      </c>
      <c r="R997" s="13">
        <f>Q997*(1+Input!S1001)*R$12</f>
        <v>1</v>
      </c>
      <c r="S997" s="13">
        <f>R997*(1+Input!T1001)*S$12</f>
        <v>1</v>
      </c>
      <c r="T997" s="13">
        <f>S997*(1+Input!U1001)*T$12</f>
        <v>1</v>
      </c>
      <c r="U997" s="13">
        <f>T997*(1+Input!V1001)*U$12</f>
        <v>1</v>
      </c>
      <c r="V997" s="13">
        <f>U997*(1+Input!W1001)*V$12</f>
        <v>1</v>
      </c>
    </row>
    <row r="998" spans="2:22">
      <c r="B998" t="s">
        <v>479</v>
      </c>
      <c r="F998" s="19">
        <v>0</v>
      </c>
      <c r="G998" s="17" t="s">
        <v>315</v>
      </c>
    </row>
    <row r="999" spans="2:22">
      <c r="B999" s="28" t="s">
        <v>585</v>
      </c>
      <c r="C999" s="28"/>
      <c r="D999" s="28"/>
      <c r="E999" s="28"/>
      <c r="F999" s="28"/>
      <c r="G999" s="28"/>
      <c r="H999" s="28"/>
      <c r="I999" s="28"/>
      <c r="J999" s="79">
        <f t="shared" ref="J999:V999" si="362">$F998*J997</f>
        <v>0</v>
      </c>
      <c r="K999" s="79">
        <f t="shared" si="362"/>
        <v>0</v>
      </c>
      <c r="L999" s="79">
        <f t="shared" si="362"/>
        <v>0</v>
      </c>
      <c r="M999" s="79">
        <f t="shared" si="362"/>
        <v>0</v>
      </c>
      <c r="N999" s="79">
        <f t="shared" si="362"/>
        <v>0</v>
      </c>
      <c r="O999" s="79">
        <f t="shared" si="362"/>
        <v>0</v>
      </c>
      <c r="P999" s="79">
        <f t="shared" si="362"/>
        <v>0</v>
      </c>
      <c r="Q999" s="79">
        <f t="shared" si="362"/>
        <v>0</v>
      </c>
      <c r="R999" s="79">
        <f t="shared" si="362"/>
        <v>0</v>
      </c>
      <c r="S999" s="79">
        <f t="shared" si="362"/>
        <v>0</v>
      </c>
      <c r="T999" s="79">
        <f t="shared" si="362"/>
        <v>0</v>
      </c>
      <c r="U999" s="79">
        <f t="shared" si="362"/>
        <v>0</v>
      </c>
      <c r="V999" s="79">
        <f t="shared" si="362"/>
        <v>0</v>
      </c>
    </row>
    <row r="1000" spans="2:22">
      <c r="G1000"/>
    </row>
    <row r="1001" spans="2:22" ht="24" thickBot="1">
      <c r="B1001" s="14" t="s">
        <v>597</v>
      </c>
      <c r="C1001" s="14"/>
      <c r="D1001" s="14"/>
      <c r="E1001" s="14"/>
      <c r="F1001" s="14"/>
      <c r="G1001" s="14"/>
      <c r="H1001" s="14"/>
      <c r="I1001" s="14"/>
      <c r="J1001" s="14"/>
      <c r="K1001" s="14"/>
      <c r="L1001" s="14"/>
      <c r="M1001" s="14"/>
      <c r="N1001" s="14"/>
      <c r="O1001" s="14"/>
      <c r="P1001" s="14"/>
      <c r="Q1001" s="14"/>
      <c r="R1001" s="14"/>
      <c r="S1001" s="14"/>
      <c r="T1001" s="14"/>
      <c r="U1001" s="14"/>
      <c r="V1001" s="14"/>
    </row>
    <row r="1002" spans="2:22">
      <c r="G1002"/>
    </row>
    <row r="1003" spans="2:22">
      <c r="B1003" t="s">
        <v>37</v>
      </c>
      <c r="F1003" s="19">
        <v>2026</v>
      </c>
      <c r="G1003"/>
      <c r="J1003" s="13">
        <f>IF(J$8&lt;$F1003,0,1)*J$12</f>
        <v>0</v>
      </c>
      <c r="K1003" s="13">
        <f t="shared" ref="K1003:V1003" si="363">IF(K$8&lt;$F1003,0,1)*K$12</f>
        <v>0</v>
      </c>
      <c r="L1003" s="13">
        <f t="shared" si="363"/>
        <v>1</v>
      </c>
      <c r="M1003" s="13">
        <f t="shared" si="363"/>
        <v>1</v>
      </c>
      <c r="N1003" s="13">
        <f t="shared" si="363"/>
        <v>1</v>
      </c>
      <c r="O1003" s="13">
        <f t="shared" si="363"/>
        <v>1</v>
      </c>
      <c r="P1003" s="13">
        <f t="shared" si="363"/>
        <v>1</v>
      </c>
      <c r="Q1003" s="13">
        <f t="shared" si="363"/>
        <v>1</v>
      </c>
      <c r="R1003" s="13">
        <f t="shared" si="363"/>
        <v>1</v>
      </c>
      <c r="S1003" s="13">
        <f t="shared" si="363"/>
        <v>1</v>
      </c>
      <c r="T1003" s="13">
        <f t="shared" si="363"/>
        <v>1</v>
      </c>
      <c r="U1003" s="13">
        <f t="shared" si="363"/>
        <v>1</v>
      </c>
      <c r="V1003" s="13">
        <f t="shared" si="363"/>
        <v>1</v>
      </c>
    </row>
    <row r="1004" spans="2:22">
      <c r="G1004"/>
    </row>
    <row r="1005" spans="2:22" ht="15.75">
      <c r="B1005" s="15" t="s">
        <v>598</v>
      </c>
      <c r="G1005"/>
    </row>
    <row r="1006" spans="2:22" ht="15.75">
      <c r="B1006" s="41" t="s">
        <v>573</v>
      </c>
      <c r="F1006" s="19">
        <v>2026</v>
      </c>
      <c r="G1006"/>
      <c r="I1006">
        <v>1</v>
      </c>
      <c r="J1006" s="77">
        <f>IF(J$8&lt;$F1006,0,IF(J$8=$F1006,1,I1006*(1+Input!K1016)*J$12))</f>
        <v>0</v>
      </c>
      <c r="K1006" s="77">
        <f>IF(K$8&lt;$F1006,0,IF(K$8=$F1006,1,J1006*(1+Input!L1016)*K$12))</f>
        <v>0</v>
      </c>
      <c r="L1006" s="77">
        <f>IF(L$8&lt;$F1006,0,IF(L$8=$F1006,1,K1006*(1+Input!M1016)*L$12))</f>
        <v>1</v>
      </c>
      <c r="M1006" s="77">
        <f>IF(M$8&lt;$F1006,0,IF(M$8=$F1006,1,L1006*(1+Input!N1016)*M$12))</f>
        <v>1.05</v>
      </c>
      <c r="N1006" s="77">
        <f>IF(N$8&lt;$F1006,0,IF(N$8=$F1006,1,M1006*(1+Input!O1016)*N$12))</f>
        <v>1.1025</v>
      </c>
      <c r="O1006" s="77">
        <f>IF(O$8&lt;$F1006,0,IF(O$8=$F1006,1,N1006*(1+Input!P1016)*O$12))</f>
        <v>1.1576250000000001</v>
      </c>
      <c r="P1006" s="77">
        <f>IF(P$8&lt;$F1006,0,IF(P$8=$F1006,1,O1006*(1+Input!Q1016)*P$12))</f>
        <v>1.2155062500000002</v>
      </c>
      <c r="Q1006" s="77">
        <f>IF(Q$8&lt;$F1006,0,IF(Q$8=$F1006,1,P1006*(1+Input!R1016)*Q$12))</f>
        <v>1.2762815625000004</v>
      </c>
      <c r="R1006" s="77">
        <f>IF(R$8&lt;$F1006,0,IF(R$8=$F1006,1,Q1006*(1+Input!S1016)*R$12))</f>
        <v>1.3400956406250004</v>
      </c>
      <c r="S1006" s="77">
        <f>IF(S$8&lt;$F1006,0,IF(S$8=$F1006,1,R1006*(1+Input!T1016)*S$12))</f>
        <v>1.4071004226562505</v>
      </c>
      <c r="T1006" s="77">
        <f>IF(T$8&lt;$F1006,0,IF(T$8=$F1006,1,S1006*(1+Input!U1016)*T$12))</f>
        <v>1.477455443789063</v>
      </c>
      <c r="U1006" s="77">
        <f>IF(U$8&lt;$F1006,0,IF(U$8=$F1006,1,T1006*(1+Input!V1016)*U$12))</f>
        <v>1.5513282159785162</v>
      </c>
      <c r="V1006" s="77">
        <f>IF(V$8&lt;$F1006,0,IF(V$8=$F1006,1,U1006*(1+Input!W1016)*V$12))</f>
        <v>1.628894626777442</v>
      </c>
    </row>
    <row r="1007" spans="2:22">
      <c r="B1007" s="407" t="s">
        <v>407</v>
      </c>
      <c r="F1007" s="6">
        <f>Input!M1021</f>
        <v>100000</v>
      </c>
      <c r="G1007" s="17" t="s">
        <v>315</v>
      </c>
      <c r="J1007">
        <f>$F1007*J1006*J1003</f>
        <v>0</v>
      </c>
      <c r="K1007">
        <f t="shared" ref="K1007:V1007" si="364">$F1007*K1006*K1003</f>
        <v>0</v>
      </c>
      <c r="L1007">
        <f t="shared" si="364"/>
        <v>100000</v>
      </c>
      <c r="M1007">
        <f t="shared" si="364"/>
        <v>105000</v>
      </c>
      <c r="N1007">
        <f t="shared" si="364"/>
        <v>110250</v>
      </c>
      <c r="O1007">
        <f t="shared" si="364"/>
        <v>115762.50000000001</v>
      </c>
      <c r="P1007">
        <f t="shared" si="364"/>
        <v>121550.62500000003</v>
      </c>
      <c r="Q1007">
        <f t="shared" si="364"/>
        <v>127628.15625000003</v>
      </c>
      <c r="R1007">
        <f t="shared" si="364"/>
        <v>134009.56406250005</v>
      </c>
      <c r="S1007">
        <f t="shared" si="364"/>
        <v>140710.04226562506</v>
      </c>
      <c r="T1007">
        <f t="shared" si="364"/>
        <v>147745.54437890631</v>
      </c>
      <c r="U1007">
        <f t="shared" si="364"/>
        <v>155132.82159785161</v>
      </c>
      <c r="V1007">
        <f t="shared" si="364"/>
        <v>162889.46267774419</v>
      </c>
    </row>
    <row r="1008" spans="2:22">
      <c r="B1008" s="407" t="s">
        <v>465</v>
      </c>
      <c r="J1008">
        <f>Input!K1023</f>
        <v>0</v>
      </c>
      <c r="K1008">
        <f>Input!L1023</f>
        <v>0</v>
      </c>
      <c r="L1008">
        <f>Input!M1023</f>
        <v>16189.178284696094</v>
      </c>
      <c r="M1008">
        <f>Input!N1023</f>
        <v>16674.853633236977</v>
      </c>
      <c r="N1008">
        <f>Input!O1023</f>
        <v>17175.099242234086</v>
      </c>
      <c r="O1008">
        <f>Input!P1023</f>
        <v>17690.35221950111</v>
      </c>
      <c r="P1008">
        <f>Input!Q1023</f>
        <v>18221.062786086142</v>
      </c>
      <c r="Q1008">
        <f>Input!R1023</f>
        <v>18767.694669668726</v>
      </c>
      <c r="R1008">
        <f>Input!S1023</f>
        <v>19330.725509758788</v>
      </c>
      <c r="S1008">
        <f>Input!T1023</f>
        <v>19910.64727505155</v>
      </c>
      <c r="T1008">
        <f>Input!U1023</f>
        <v>19910.64727505155</v>
      </c>
      <c r="U1008">
        <f>Input!V1023</f>
        <v>19910.64727505155</v>
      </c>
      <c r="V1008">
        <f>Input!W1023</f>
        <v>19910.64727505155</v>
      </c>
    </row>
    <row r="1009" spans="2:22">
      <c r="B1009" s="28" t="s">
        <v>9</v>
      </c>
      <c r="C1009" s="28"/>
      <c r="D1009" s="28"/>
      <c r="E1009" s="28"/>
      <c r="F1009" s="28"/>
      <c r="G1009" s="28"/>
      <c r="H1009" s="28"/>
      <c r="I1009" s="48">
        <f>SUM(J1009:V1009)</f>
        <v>26.587148454381101</v>
      </c>
      <c r="J1009" s="76">
        <f>J1007*J1008/Billion</f>
        <v>0</v>
      </c>
      <c r="K1009" s="76">
        <f t="shared" ref="K1009:V1009" si="365">K1007*K1008/Billion</f>
        <v>0</v>
      </c>
      <c r="L1009" s="76">
        <f t="shared" si="365"/>
        <v>1.6189178284696095</v>
      </c>
      <c r="M1009" s="76">
        <f t="shared" si="365"/>
        <v>1.7508596314898826</v>
      </c>
      <c r="N1009" s="76">
        <f t="shared" si="365"/>
        <v>1.8935546914563079</v>
      </c>
      <c r="O1009" s="76">
        <f t="shared" si="365"/>
        <v>2.0478793988099975</v>
      </c>
      <c r="P1009" s="76">
        <f t="shared" si="365"/>
        <v>2.2147815698130127</v>
      </c>
      <c r="Q1009" s="76">
        <f t="shared" si="365"/>
        <v>2.3952862677527729</v>
      </c>
      <c r="R1009" s="76">
        <f t="shared" si="365"/>
        <v>2.5905020985746239</v>
      </c>
      <c r="S1009" s="76">
        <f t="shared" si="365"/>
        <v>2.8016280196084562</v>
      </c>
      <c r="T1009" s="76">
        <f t="shared" si="365"/>
        <v>2.9417094205888787</v>
      </c>
      <c r="U1009" s="76">
        <f t="shared" si="365"/>
        <v>3.0887948916183223</v>
      </c>
      <c r="V1009" s="76">
        <f t="shared" si="365"/>
        <v>3.2432346361992384</v>
      </c>
    </row>
    <row r="1010" spans="2:22">
      <c r="G1010"/>
      <c r="I1010" s="21"/>
      <c r="K1010" s="21"/>
      <c r="L1010" s="21"/>
      <c r="M1010" s="21"/>
      <c r="N1010" s="21"/>
    </row>
    <row r="1011" spans="2:22" ht="15.75">
      <c r="B1011" s="41" t="s">
        <v>574</v>
      </c>
      <c r="F1011" s="19">
        <v>2023</v>
      </c>
      <c r="G1011"/>
      <c r="I1011">
        <v>1</v>
      </c>
      <c r="J1011" s="70">
        <f>IF(J$8&lt;$F1011,0,IF(J$8=$F1011,1,I1011*(1+Input!K1029)*J$12))</f>
        <v>1</v>
      </c>
      <c r="K1011" s="70">
        <f>IF(K$8&lt;$F1011,0,IF(K$8=$F1011,1,J1011*(1+Input!L1029)*K$12))</f>
        <v>1.05</v>
      </c>
      <c r="L1011" s="70">
        <f>IF(L$8&lt;$F1011,0,IF(L$8=$F1011,1,K1011*(1+Input!M1029)*L$12))</f>
        <v>1.1025</v>
      </c>
      <c r="M1011" s="70">
        <f>IF(M$8&lt;$F1011,0,IF(M$8=$F1011,1,L1011*(1+Input!N1029)*M$12))</f>
        <v>1.1576250000000001</v>
      </c>
      <c r="N1011" s="70">
        <f>IF(N$8&lt;$F1011,0,IF(N$8=$F1011,1,M1011*(1+Input!O1029)*N$12))</f>
        <v>1.2155062500000002</v>
      </c>
      <c r="O1011" s="70">
        <f>IF(O$8&lt;$F1011,0,IF(O$8=$F1011,1,N1011*(1+Input!P1029)*O$12))</f>
        <v>1.2762815625000004</v>
      </c>
      <c r="P1011" s="70">
        <f>IF(P$8&lt;$F1011,0,IF(P$8=$F1011,1,O1011*(1+Input!Q1029)*P$12))</f>
        <v>1.3400956406250004</v>
      </c>
      <c r="Q1011" s="70">
        <f>IF(Q$8&lt;$F1011,0,IF(Q$8=$F1011,1,P1011*(1+Input!R1029)*Q$12))</f>
        <v>1.4071004226562505</v>
      </c>
      <c r="R1011" s="70">
        <f>IF(R$8&lt;$F1011,0,IF(R$8=$F1011,1,Q1011*(1+Input!S1029)*R$12))</f>
        <v>1.477455443789063</v>
      </c>
      <c r="S1011" s="70">
        <f>IF(S$8&lt;$F1011,0,IF(S$8=$F1011,1,R1011*(1+Input!T1029)*S$12))</f>
        <v>1.5513282159785162</v>
      </c>
      <c r="T1011" s="70">
        <f>IF(T$8&lt;$F1011,0,IF(T$8=$F1011,1,S1011*(1+Input!U1029)*T$12))</f>
        <v>1.628894626777442</v>
      </c>
      <c r="U1011" s="70">
        <f>IF(U$8&lt;$F1011,0,IF(U$8=$F1011,1,T1011*(1+Input!V1029)*U$12))</f>
        <v>1.7103393581163142</v>
      </c>
      <c r="V1011" s="70">
        <f>IF(V$8&lt;$F1011,0,IF(V$8=$F1011,1,U1011*(1+Input!W1029)*V$12))</f>
        <v>1.7958563260221301</v>
      </c>
    </row>
    <row r="1012" spans="2:22">
      <c r="B1012" s="407" t="s">
        <v>407</v>
      </c>
      <c r="F1012" s="16">
        <f>Input!K1034</f>
        <v>771624</v>
      </c>
      <c r="G1012" s="17" t="s">
        <v>315</v>
      </c>
      <c r="J1012">
        <f t="shared" ref="J1012:V1012" si="366">$F1012*J1011</f>
        <v>771624</v>
      </c>
      <c r="K1012">
        <f t="shared" si="366"/>
        <v>810205.20000000007</v>
      </c>
      <c r="L1012">
        <f t="shared" si="366"/>
        <v>850715.46000000008</v>
      </c>
      <c r="M1012">
        <f t="shared" si="366"/>
        <v>893251.23300000012</v>
      </c>
      <c r="N1012">
        <f t="shared" si="366"/>
        <v>937913.79465000017</v>
      </c>
      <c r="O1012">
        <f t="shared" si="366"/>
        <v>984809.48438250029</v>
      </c>
      <c r="P1012">
        <f t="shared" si="366"/>
        <v>1034049.9586016253</v>
      </c>
      <c r="Q1012">
        <f t="shared" si="366"/>
        <v>1085752.4565317065</v>
      </c>
      <c r="R1012">
        <f t="shared" si="366"/>
        <v>1140040.079358292</v>
      </c>
      <c r="S1012">
        <f t="shared" si="366"/>
        <v>1197042.0833262065</v>
      </c>
      <c r="T1012">
        <f t="shared" si="366"/>
        <v>1256894.1874925168</v>
      </c>
      <c r="U1012">
        <f t="shared" si="366"/>
        <v>1319738.8968671428</v>
      </c>
      <c r="V1012">
        <f t="shared" si="366"/>
        <v>1385725.8417105002</v>
      </c>
    </row>
    <row r="1013" spans="2:22">
      <c r="B1013" s="407" t="s">
        <v>465</v>
      </c>
      <c r="J1013">
        <f>Input!K1036</f>
        <v>14300.28815172633</v>
      </c>
      <c r="K1013">
        <f>Input!L1036</f>
        <v>14729.29679627812</v>
      </c>
      <c r="L1013">
        <f>Input!M1036</f>
        <v>15171.175700166465</v>
      </c>
      <c r="M1013">
        <f>Input!N1036</f>
        <v>15626.310971171459</v>
      </c>
      <c r="N1013">
        <f>Input!O1036</f>
        <v>16095.100300306602</v>
      </c>
      <c r="O1013">
        <f>Input!P1036</f>
        <v>16577.953309315799</v>
      </c>
      <c r="P1013">
        <f>Input!Q1036</f>
        <v>17075.291908595274</v>
      </c>
      <c r="Q1013">
        <f>Input!R1036</f>
        <v>17587.550665853134</v>
      </c>
      <c r="R1013">
        <f>Input!S1036</f>
        <v>18115.177185828728</v>
      </c>
      <c r="S1013">
        <f>Input!T1036</f>
        <v>18658.63250140359</v>
      </c>
      <c r="T1013">
        <f>Input!U1036</f>
        <v>18658.63250140359</v>
      </c>
      <c r="U1013">
        <f>Input!V1036</f>
        <v>18658.63250140359</v>
      </c>
      <c r="V1013">
        <f>Input!W1036</f>
        <v>18658.63250140359</v>
      </c>
    </row>
    <row r="1014" spans="2:22">
      <c r="B1014" s="28" t="s">
        <v>9</v>
      </c>
      <c r="C1014" s="28"/>
      <c r="D1014" s="28"/>
      <c r="E1014" s="28"/>
      <c r="F1014" s="28"/>
      <c r="G1014" s="28"/>
      <c r="H1014" s="28"/>
      <c r="I1014" s="48">
        <f>SUM(J1014:V1014)</f>
        <v>234.92654253605994</v>
      </c>
      <c r="J1014" s="76">
        <f>J1012*J1013/Billion</f>
        <v>11.034445544787678</v>
      </c>
      <c r="K1014" s="76">
        <f t="shared" ref="K1014:V1014" si="367">K1012*K1013/Billion</f>
        <v>11.933752856687876</v>
      </c>
      <c r="L1014" s="76">
        <f t="shared" si="367"/>
        <v>12.906353714507937</v>
      </c>
      <c r="M1014" s="76">
        <f t="shared" si="367"/>
        <v>13.958221542240336</v>
      </c>
      <c r="N1014" s="76">
        <f t="shared" si="367"/>
        <v>15.095816597932922</v>
      </c>
      <c r="O1014" s="76">
        <f t="shared" si="367"/>
        <v>16.326125650664455</v>
      </c>
      <c r="P1014" s="76">
        <f t="shared" si="367"/>
        <v>17.656704891193613</v>
      </c>
      <c r="Q1014" s="76">
        <f t="shared" si="367"/>
        <v>19.095726339825891</v>
      </c>
      <c r="R1014" s="76">
        <f t="shared" si="367"/>
        <v>20.652028036521706</v>
      </c>
      <c r="S1014" s="76">
        <f t="shared" si="367"/>
        <v>22.335168321498223</v>
      </c>
      <c r="T1014" s="76">
        <f t="shared" si="367"/>
        <v>23.451926737573132</v>
      </c>
      <c r="U1014" s="76">
        <f t="shared" si="367"/>
        <v>24.62452307445179</v>
      </c>
      <c r="V1014" s="76">
        <f t="shared" si="367"/>
        <v>25.855749228174385</v>
      </c>
    </row>
    <row r="1015" spans="2:22">
      <c r="G1015"/>
      <c r="I1015" s="21"/>
      <c r="K1015" s="21"/>
      <c r="L1015" s="21"/>
      <c r="M1015" s="21"/>
      <c r="N1015" s="21"/>
    </row>
    <row r="1016" spans="2:22" ht="15.75">
      <c r="B1016" s="41" t="s">
        <v>575</v>
      </c>
      <c r="F1016" s="19">
        <v>2026</v>
      </c>
      <c r="G1016"/>
      <c r="I1016">
        <v>1</v>
      </c>
      <c r="J1016" s="77">
        <f>IF(J$8&lt;$F1016,0,IF(J$8=$F1016,1,I1016*(1+Input!K1042)*J$12))</f>
        <v>0</v>
      </c>
      <c r="K1016" s="77">
        <f>IF(K$8&lt;$F1016,0,IF(K$8=$F1016,1,J1016*(1+Input!L1042)*K$12))</f>
        <v>0</v>
      </c>
      <c r="L1016" s="77">
        <f>IF(L$8&lt;$F1016,0,IF(L$8=$F1016,1,K1016*(1+Input!M1042)*L$12))</f>
        <v>1</v>
      </c>
      <c r="M1016" s="77">
        <f>IF(M$8&lt;$F1016,0,IF(M$8=$F1016,1,L1016*(1+Input!N1042)*M$12))</f>
        <v>1.05</v>
      </c>
      <c r="N1016" s="77">
        <f>IF(N$8&lt;$F1016,0,IF(N$8=$F1016,1,M1016*(1+Input!O1042)*N$12))</f>
        <v>1.1025</v>
      </c>
      <c r="O1016" s="77">
        <f>IF(O$8&lt;$F1016,0,IF(O$8=$F1016,1,N1016*(1+Input!P1042)*O$12))</f>
        <v>1.1576250000000001</v>
      </c>
      <c r="P1016" s="77">
        <f>IF(P$8&lt;$F1016,0,IF(P$8=$F1016,1,O1016*(1+Input!Q1042)*P$12))</f>
        <v>1.2155062500000002</v>
      </c>
      <c r="Q1016" s="77">
        <f>IF(Q$8&lt;$F1016,0,IF(Q$8=$F1016,1,P1016*(1+Input!R1042)*Q$12))</f>
        <v>1.2762815625000004</v>
      </c>
      <c r="R1016" s="77">
        <f>IF(R$8&lt;$F1016,0,IF(R$8=$F1016,1,Q1016*(1+Input!S1042)*R$12))</f>
        <v>1.3400956406250004</v>
      </c>
      <c r="S1016" s="77">
        <f>IF(S$8&lt;$F1016,0,IF(S$8=$F1016,1,R1016*(1+Input!T1042)*S$12))</f>
        <v>1.4071004226562505</v>
      </c>
      <c r="T1016" s="77">
        <f>IF(T$8&lt;$F1016,0,IF(T$8=$F1016,1,S1016*(1+Input!U1042)*T$12))</f>
        <v>1.477455443789063</v>
      </c>
      <c r="U1016" s="77">
        <f>IF(U$8&lt;$F1016,0,IF(U$8=$F1016,1,T1016*(1+Input!V1042)*U$12))</f>
        <v>1.5513282159785162</v>
      </c>
      <c r="V1016" s="77">
        <f>IF(V$8&lt;$F1016,0,IF(V$8=$F1016,1,U1016*(1+Input!W1042)*V$12))</f>
        <v>1.628894626777442</v>
      </c>
    </row>
    <row r="1017" spans="2:22">
      <c r="B1017" s="407" t="s">
        <v>407</v>
      </c>
      <c r="F1017" s="6">
        <f>Input!M1047</f>
        <v>200000</v>
      </c>
      <c r="G1017" s="17" t="s">
        <v>315</v>
      </c>
      <c r="J1017">
        <f t="shared" ref="J1017:V1017" si="368">$F1017*J1016</f>
        <v>0</v>
      </c>
      <c r="K1017">
        <f t="shared" si="368"/>
        <v>0</v>
      </c>
      <c r="L1017">
        <f t="shared" si="368"/>
        <v>200000</v>
      </c>
      <c r="M1017">
        <f t="shared" si="368"/>
        <v>210000</v>
      </c>
      <c r="N1017">
        <f t="shared" si="368"/>
        <v>220500</v>
      </c>
      <c r="O1017">
        <f t="shared" si="368"/>
        <v>231525.00000000003</v>
      </c>
      <c r="P1017">
        <f t="shared" si="368"/>
        <v>243101.25000000006</v>
      </c>
      <c r="Q1017">
        <f t="shared" si="368"/>
        <v>255256.31250000006</v>
      </c>
      <c r="R1017">
        <f t="shared" si="368"/>
        <v>268019.1281250001</v>
      </c>
      <c r="S1017">
        <f t="shared" si="368"/>
        <v>281420.08453125012</v>
      </c>
      <c r="T1017">
        <f t="shared" si="368"/>
        <v>295491.08875781263</v>
      </c>
      <c r="U1017">
        <f t="shared" si="368"/>
        <v>310265.64319570322</v>
      </c>
      <c r="V1017">
        <f t="shared" si="368"/>
        <v>325778.92535548838</v>
      </c>
    </row>
    <row r="1018" spans="2:22">
      <c r="B1018" s="407" t="s">
        <v>465</v>
      </c>
      <c r="J1018">
        <f>Input!K1049</f>
        <v>0</v>
      </c>
      <c r="K1018">
        <f>Input!L1049</f>
        <v>0</v>
      </c>
      <c r="L1018">
        <f>Input!M1049</f>
        <v>16189.178284696094</v>
      </c>
      <c r="M1018">
        <f>Input!N1049</f>
        <v>16674.853633236977</v>
      </c>
      <c r="N1018">
        <f>Input!O1049</f>
        <v>17175.099242234086</v>
      </c>
      <c r="O1018">
        <f>Input!P1049</f>
        <v>17690.35221950111</v>
      </c>
      <c r="P1018">
        <f>Input!Q1049</f>
        <v>18221.062786086142</v>
      </c>
      <c r="Q1018">
        <f>Input!R1049</f>
        <v>18767.694669668726</v>
      </c>
      <c r="R1018">
        <f>Input!S1049</f>
        <v>19330.725509758788</v>
      </c>
      <c r="S1018">
        <f>Input!T1049</f>
        <v>19910.64727505155</v>
      </c>
      <c r="T1018">
        <f>Input!U1049</f>
        <v>19910.64727505155</v>
      </c>
      <c r="U1018">
        <f>Input!V1049</f>
        <v>19910.64727505155</v>
      </c>
      <c r="V1018">
        <f>Input!W1049</f>
        <v>19910.64727505155</v>
      </c>
    </row>
    <row r="1019" spans="2:22">
      <c r="B1019" s="28" t="s">
        <v>9</v>
      </c>
      <c r="C1019" s="28"/>
      <c r="D1019" s="28"/>
      <c r="E1019" s="28"/>
      <c r="F1019" s="28"/>
      <c r="G1019" s="28"/>
      <c r="H1019" s="28"/>
      <c r="I1019" s="48">
        <f>SUM(J1019:V1019)</f>
        <v>53.174296908762201</v>
      </c>
      <c r="J1019" s="76">
        <f>J1017*J1018/Billion</f>
        <v>0</v>
      </c>
      <c r="K1019" s="76">
        <f t="shared" ref="K1019:V1019" si="369">K1017*K1018/Billion</f>
        <v>0</v>
      </c>
      <c r="L1019" s="76">
        <f t="shared" si="369"/>
        <v>3.237835656939219</v>
      </c>
      <c r="M1019" s="76">
        <f t="shared" si="369"/>
        <v>3.5017192629797651</v>
      </c>
      <c r="N1019" s="76">
        <f t="shared" si="369"/>
        <v>3.7871093829126159</v>
      </c>
      <c r="O1019" s="76">
        <f t="shared" si="369"/>
        <v>4.095758797619995</v>
      </c>
      <c r="P1019" s="76">
        <f t="shared" si="369"/>
        <v>4.4295631396260253</v>
      </c>
      <c r="Q1019" s="76">
        <f t="shared" si="369"/>
        <v>4.7905725355055457</v>
      </c>
      <c r="R1019" s="76">
        <f t="shared" si="369"/>
        <v>5.1810041971492478</v>
      </c>
      <c r="S1019" s="76">
        <f t="shared" si="369"/>
        <v>5.6032560392169124</v>
      </c>
      <c r="T1019" s="76">
        <f t="shared" si="369"/>
        <v>5.8834188411777575</v>
      </c>
      <c r="U1019" s="76">
        <f t="shared" si="369"/>
        <v>6.1775897832366446</v>
      </c>
      <c r="V1019" s="76">
        <f t="shared" si="369"/>
        <v>6.4864692723984767</v>
      </c>
    </row>
    <row r="1020" spans="2:22">
      <c r="G1020"/>
      <c r="I1020" s="21"/>
      <c r="K1020" s="21"/>
      <c r="L1020" s="21"/>
      <c r="M1020" s="21"/>
      <c r="N1020" s="21"/>
    </row>
    <row r="1021" spans="2:22" ht="15.75">
      <c r="B1021" s="41" t="s">
        <v>599</v>
      </c>
      <c r="F1021" s="19">
        <v>2023</v>
      </c>
      <c r="G1021"/>
      <c r="I1021">
        <v>1</v>
      </c>
      <c r="J1021" s="70">
        <f>IF(J$8&lt;$F1021,0,IF(J$8=$F1021,1,I1021*(1+Input!K1055)*J$12))</f>
        <v>1</v>
      </c>
      <c r="K1021" s="70">
        <f>IF(K$8&lt;$F1021,0,IF(K$8=$F1021,1,J1021*(1+Input!L1055)*K$12))</f>
        <v>1.05</v>
      </c>
      <c r="L1021" s="70">
        <f>IF(L$8&lt;$F1021,0,IF(L$8=$F1021,1,K1021*(1+Input!M1055)*L$12))</f>
        <v>1.1025</v>
      </c>
      <c r="M1021" s="70">
        <f>IF(M$8&lt;$F1021,0,IF(M$8=$F1021,1,L1021*(1+Input!N1055)*M$12))</f>
        <v>1.1576250000000001</v>
      </c>
      <c r="N1021" s="70">
        <f>IF(N$8&lt;$F1021,0,IF(N$8=$F1021,1,M1021*(1+Input!O1055)*N$12))</f>
        <v>1.2155062500000002</v>
      </c>
      <c r="O1021" s="70">
        <f>IF(O$8&lt;$F1021,0,IF(O$8=$F1021,1,N1021*(1+Input!P1055)*O$12))</f>
        <v>1.2762815625000004</v>
      </c>
      <c r="P1021" s="70">
        <f>IF(P$8&lt;$F1021,0,IF(P$8=$F1021,1,O1021*(1+Input!Q1055)*P$12))</f>
        <v>1.3400956406250004</v>
      </c>
      <c r="Q1021" s="70">
        <f>IF(Q$8&lt;$F1021,0,IF(Q$8=$F1021,1,P1021*(1+Input!R1055)*Q$12))</f>
        <v>1.4071004226562505</v>
      </c>
      <c r="R1021" s="70">
        <f>IF(R$8&lt;$F1021,0,IF(R$8=$F1021,1,Q1021*(1+Input!S1055)*R$12))</f>
        <v>1.477455443789063</v>
      </c>
      <c r="S1021" s="70">
        <f>IF(S$8&lt;$F1021,0,IF(S$8=$F1021,1,R1021*(1+Input!T1055)*S$12))</f>
        <v>1.5513282159785162</v>
      </c>
      <c r="T1021" s="70">
        <f>IF(T$8&lt;$F1021,0,IF(T$8=$F1021,1,S1021*(1+Input!U1055)*T$12))</f>
        <v>1.628894626777442</v>
      </c>
      <c r="U1021" s="70">
        <f>IF(U$8&lt;$F1021,0,IF(U$8=$F1021,1,T1021*(1+Input!V1055)*U$12))</f>
        <v>1.7103393581163142</v>
      </c>
      <c r="V1021" s="70">
        <f>IF(V$8&lt;$F1021,0,IF(V$8=$F1021,1,U1021*(1+Input!W1055)*V$12))</f>
        <v>1.7958563260221301</v>
      </c>
    </row>
    <row r="1022" spans="2:22">
      <c r="B1022" s="407" t="s">
        <v>407</v>
      </c>
      <c r="F1022" s="16">
        <f>Input!K1060</f>
        <v>490000</v>
      </c>
      <c r="G1022" s="17" t="s">
        <v>315</v>
      </c>
      <c r="J1022">
        <f t="shared" ref="J1022:V1022" si="370">$F1022*J1021</f>
        <v>490000</v>
      </c>
      <c r="K1022">
        <f t="shared" si="370"/>
        <v>514500</v>
      </c>
      <c r="L1022">
        <f t="shared" si="370"/>
        <v>540225</v>
      </c>
      <c r="M1022">
        <f t="shared" si="370"/>
        <v>567236.25000000012</v>
      </c>
      <c r="N1022">
        <f t="shared" si="370"/>
        <v>595598.06250000012</v>
      </c>
      <c r="O1022">
        <f t="shared" si="370"/>
        <v>625377.96562500019</v>
      </c>
      <c r="P1022">
        <f t="shared" si="370"/>
        <v>656646.86390625022</v>
      </c>
      <c r="Q1022">
        <f t="shared" si="370"/>
        <v>689479.20710156276</v>
      </c>
      <c r="R1022">
        <f t="shared" si="370"/>
        <v>723953.16745664086</v>
      </c>
      <c r="S1022">
        <f t="shared" si="370"/>
        <v>760150.82582947297</v>
      </c>
      <c r="T1022">
        <f t="shared" si="370"/>
        <v>798158.36712094664</v>
      </c>
      <c r="U1022">
        <f t="shared" si="370"/>
        <v>838066.285476994</v>
      </c>
      <c r="V1022">
        <f t="shared" si="370"/>
        <v>879969.59975084371</v>
      </c>
    </row>
    <row r="1023" spans="2:22">
      <c r="B1023" s="407" t="s">
        <v>465</v>
      </c>
      <c r="J1023">
        <f>Input!K1062</f>
        <v>15259.853223391548</v>
      </c>
      <c r="K1023">
        <f>Input!L1062</f>
        <v>15717.648820093294</v>
      </c>
      <c r="L1023">
        <f>Input!M1062</f>
        <v>16189.178284696094</v>
      </c>
      <c r="M1023">
        <f>Input!N1062</f>
        <v>16674.853633236977</v>
      </c>
      <c r="N1023">
        <f>Input!O1062</f>
        <v>17175.099242234086</v>
      </c>
      <c r="O1023">
        <f>Input!P1062</f>
        <v>17690.35221950111</v>
      </c>
      <c r="P1023">
        <f>Input!Q1062</f>
        <v>18221.062786086142</v>
      </c>
      <c r="Q1023">
        <f>Input!R1062</f>
        <v>18767.694669668726</v>
      </c>
      <c r="R1023">
        <f>Input!S1062</f>
        <v>19330.725509758788</v>
      </c>
      <c r="S1023">
        <f>Input!T1062</f>
        <v>19910.64727505155</v>
      </c>
      <c r="T1023">
        <f>Input!U1062</f>
        <v>19910.64727505155</v>
      </c>
      <c r="U1023">
        <f>Input!V1062</f>
        <v>19910.64727505155</v>
      </c>
      <c r="V1023">
        <f>Input!W1062</f>
        <v>19910.64727505155</v>
      </c>
    </row>
    <row r="1024" spans="2:22">
      <c r="B1024" s="28" t="s">
        <v>9</v>
      </c>
      <c r="C1024" s="28"/>
      <c r="D1024" s="28"/>
      <c r="E1024" s="28"/>
      <c r="F1024" s="28"/>
      <c r="G1024" s="28"/>
      <c r="H1024" s="28"/>
      <c r="I1024" s="48">
        <f>SUM(J1024:V1024)</f>
        <v>159.1944811350802</v>
      </c>
      <c r="J1024" s="76">
        <f>J1022*J1023/Billion</f>
        <v>7.4773280794618584</v>
      </c>
      <c r="K1024" s="76">
        <f t="shared" ref="K1024:V1024" si="371">K1022*K1023/Billion</f>
        <v>8.0867303179380006</v>
      </c>
      <c r="L1024" s="76">
        <f t="shared" si="371"/>
        <v>8.7457988388499466</v>
      </c>
      <c r="M1024" s="76">
        <f t="shared" si="371"/>
        <v>9.4585814442162217</v>
      </c>
      <c r="N1024" s="76">
        <f t="shared" si="371"/>
        <v>10.229455831919841</v>
      </c>
      <c r="O1024" s="76">
        <f t="shared" si="371"/>
        <v>11.063156482221311</v>
      </c>
      <c r="P1024" s="76">
        <f t="shared" si="371"/>
        <v>11.964803735522349</v>
      </c>
      <c r="Q1024" s="76">
        <f t="shared" si="371"/>
        <v>12.939935239967419</v>
      </c>
      <c r="R1024" s="76">
        <f t="shared" si="371"/>
        <v>13.994539962024763</v>
      </c>
      <c r="S1024" s="76">
        <f t="shared" si="371"/>
        <v>15.135094968929781</v>
      </c>
      <c r="T1024" s="76">
        <f t="shared" si="371"/>
        <v>15.891849717376271</v>
      </c>
      <c r="U1024" s="76">
        <f t="shared" si="371"/>
        <v>16.686442203245086</v>
      </c>
      <c r="V1024" s="76">
        <f t="shared" si="371"/>
        <v>17.520764313407337</v>
      </c>
    </row>
    <row r="1025" spans="2:22">
      <c r="G1025"/>
      <c r="I1025" s="21"/>
      <c r="K1025" s="21"/>
      <c r="L1025" s="21"/>
      <c r="M1025" s="21"/>
      <c r="N1025" s="21"/>
    </row>
    <row r="1026" spans="2:22">
      <c r="G1026"/>
      <c r="I1026" s="21"/>
      <c r="K1026" s="21"/>
      <c r="L1026" s="21"/>
      <c r="M1026" s="21"/>
      <c r="N1026" s="21"/>
    </row>
    <row r="1027" spans="2:22">
      <c r="B1027" t="s">
        <v>471</v>
      </c>
      <c r="G1027"/>
      <c r="I1027" s="21"/>
      <c r="J1027">
        <f>SUM(J1007,J1012,J1017,J1022)</f>
        <v>1261624</v>
      </c>
      <c r="K1027">
        <f t="shared" ref="K1027:V1027" si="372">SUM(K1007,K1012,K1017,K1022)</f>
        <v>1324705.2000000002</v>
      </c>
      <c r="L1027">
        <f t="shared" si="372"/>
        <v>1690940.46</v>
      </c>
      <c r="M1027">
        <f t="shared" si="372"/>
        <v>1775487.483</v>
      </c>
      <c r="N1027">
        <f t="shared" si="372"/>
        <v>1864261.8571500001</v>
      </c>
      <c r="O1027">
        <f t="shared" si="372"/>
        <v>1957474.9500075006</v>
      </c>
      <c r="P1027">
        <f t="shared" si="372"/>
        <v>2055348.6975078755</v>
      </c>
      <c r="Q1027">
        <f t="shared" si="372"/>
        <v>2158116.1323832693</v>
      </c>
      <c r="R1027">
        <f t="shared" si="372"/>
        <v>2266021.9390024329</v>
      </c>
      <c r="S1027">
        <f t="shared" si="372"/>
        <v>2379323.0359525546</v>
      </c>
      <c r="T1027">
        <f t="shared" si="372"/>
        <v>2498289.1877501826</v>
      </c>
      <c r="U1027">
        <f t="shared" si="372"/>
        <v>2623203.6471376913</v>
      </c>
      <c r="V1027">
        <f t="shared" si="372"/>
        <v>2754363.8294945764</v>
      </c>
    </row>
    <row r="1028" spans="2:22">
      <c r="B1028" t="s">
        <v>578</v>
      </c>
      <c r="G1028"/>
      <c r="I1028" s="21"/>
      <c r="J1028" s="23">
        <f>SUM(J1009,J1014,J1019,J1024)</f>
        <v>18.511773624249535</v>
      </c>
      <c r="K1028" s="23">
        <f t="shared" ref="K1028:V1028" si="373">SUM(K1009,K1014,K1019,K1024)</f>
        <v>20.020483174625877</v>
      </c>
      <c r="L1028" s="23">
        <f t="shared" si="373"/>
        <v>26.50890603876671</v>
      </c>
      <c r="M1028" s="23">
        <f t="shared" si="373"/>
        <v>28.669381880926206</v>
      </c>
      <c r="N1028" s="23">
        <f t="shared" si="373"/>
        <v>31.005936504221687</v>
      </c>
      <c r="O1028" s="23">
        <f t="shared" si="373"/>
        <v>33.532920329315758</v>
      </c>
      <c r="P1028" s="23">
        <f t="shared" si="373"/>
        <v>36.265853336155004</v>
      </c>
      <c r="Q1028" s="23">
        <f t="shared" si="373"/>
        <v>39.221520383051626</v>
      </c>
      <c r="R1028" s="23">
        <f t="shared" si="373"/>
        <v>42.41807429427034</v>
      </c>
      <c r="S1028" s="23">
        <f t="shared" si="373"/>
        <v>45.875147349253375</v>
      </c>
      <c r="T1028" s="23">
        <f t="shared" si="373"/>
        <v>48.168904716716042</v>
      </c>
      <c r="U1028" s="23">
        <f t="shared" si="373"/>
        <v>50.577349952551849</v>
      </c>
      <c r="V1028" s="23">
        <f t="shared" si="373"/>
        <v>53.106217450179443</v>
      </c>
    </row>
    <row r="1029" spans="2:22">
      <c r="G1029"/>
      <c r="I1029" s="21"/>
    </row>
    <row r="1030" spans="2:22" ht="15.75">
      <c r="B1030" s="15" t="s">
        <v>473</v>
      </c>
      <c r="G1030"/>
      <c r="I1030" s="21"/>
      <c r="J1030">
        <f>SUM(J1039,J1045,J1050,J1055)</f>
        <v>9.3151188748294285</v>
      </c>
      <c r="K1030">
        <f t="shared" ref="K1030:V1030" si="374">SUM(K1039,K1045,K1050,K1055)</f>
        <v>10.061949460445287</v>
      </c>
      <c r="L1030">
        <f t="shared" si="374"/>
        <v>13.243441646842074</v>
      </c>
      <c r="M1030">
        <f t="shared" si="374"/>
        <v>14.309550795475888</v>
      </c>
      <c r="N1030">
        <f t="shared" si="374"/>
        <v>15.462084742627914</v>
      </c>
      <c r="O1030">
        <f t="shared" si="374"/>
        <v>16.708070900979063</v>
      </c>
      <c r="P1030">
        <f t="shared" si="374"/>
        <v>18.055108850049781</v>
      </c>
      <c r="Q1030">
        <f t="shared" si="374"/>
        <v>19.511416947942177</v>
      </c>
      <c r="R1030">
        <f t="shared" si="374"/>
        <v>21.085882741244284</v>
      </c>
      <c r="S1030">
        <f t="shared" si="374"/>
        <v>22.788117482622077</v>
      </c>
      <c r="T1030">
        <f t="shared" si="374"/>
        <v>23.922093044945182</v>
      </c>
      <c r="U1030">
        <f t="shared" si="374"/>
        <v>25.112577324471165</v>
      </c>
      <c r="V1030">
        <f t="shared" si="374"/>
        <v>26.362389104928202</v>
      </c>
    </row>
    <row r="1031" spans="2:22">
      <c r="B1031" s="2" t="s">
        <v>579</v>
      </c>
      <c r="F1031" s="58" t="s">
        <v>580</v>
      </c>
      <c r="G1031"/>
      <c r="I1031" s="22"/>
    </row>
    <row r="1032" spans="2:22">
      <c r="B1032" s="407" t="s">
        <v>516</v>
      </c>
      <c r="F1032" s="30">
        <f>Input!J1072</f>
        <v>1.6419999970000002E-2</v>
      </c>
      <c r="G1032" s="17" t="s">
        <v>315</v>
      </c>
    </row>
    <row r="1033" spans="2:22">
      <c r="B1033" s="28" t="s">
        <v>476</v>
      </c>
      <c r="C1033" s="28"/>
      <c r="D1033" s="28"/>
      <c r="E1033" s="28"/>
      <c r="F1033" s="28"/>
      <c r="G1033" s="28"/>
      <c r="H1033" s="28"/>
      <c r="I1033" s="49">
        <f>SUM(J1033:V1033)</f>
        <v>0.21345999960999995</v>
      </c>
      <c r="J1033" s="47">
        <f>$F1032*J$12</f>
        <v>1.6419999970000002E-2</v>
      </c>
      <c r="K1033" s="47">
        <f t="shared" ref="K1033:V1033" si="375">$F1032*K$12</f>
        <v>1.6419999970000002E-2</v>
      </c>
      <c r="L1033" s="47">
        <f t="shared" si="375"/>
        <v>1.6419999970000002E-2</v>
      </c>
      <c r="M1033" s="47">
        <f t="shared" si="375"/>
        <v>1.6419999970000002E-2</v>
      </c>
      <c r="N1033" s="47">
        <f t="shared" si="375"/>
        <v>1.6419999970000002E-2</v>
      </c>
      <c r="O1033" s="47">
        <f t="shared" si="375"/>
        <v>1.6419999970000002E-2</v>
      </c>
      <c r="P1033" s="47">
        <f t="shared" si="375"/>
        <v>1.6419999970000002E-2</v>
      </c>
      <c r="Q1033" s="47">
        <f t="shared" si="375"/>
        <v>1.6419999970000002E-2</v>
      </c>
      <c r="R1033" s="47">
        <f t="shared" si="375"/>
        <v>1.6419999970000002E-2</v>
      </c>
      <c r="S1033" s="47">
        <f t="shared" si="375"/>
        <v>1.6419999970000002E-2</v>
      </c>
      <c r="T1033" s="47">
        <f t="shared" si="375"/>
        <v>1.6419999970000002E-2</v>
      </c>
      <c r="U1033" s="47">
        <f t="shared" si="375"/>
        <v>1.6419999970000002E-2</v>
      </c>
      <c r="V1033" s="47">
        <f t="shared" si="375"/>
        <v>1.6419999970000002E-2</v>
      </c>
    </row>
    <row r="1034" spans="2:22">
      <c r="G1034"/>
    </row>
    <row r="1035" spans="2:22">
      <c r="B1035" s="2" t="s">
        <v>592</v>
      </c>
      <c r="G1035"/>
    </row>
    <row r="1036" spans="2:22" ht="15.75">
      <c r="B1036" s="41"/>
      <c r="F1036" s="19">
        <v>2023</v>
      </c>
      <c r="G1036"/>
      <c r="I1036">
        <v>1</v>
      </c>
      <c r="J1036" s="70">
        <f>IF(J$8&lt;$F1036,0,IF(J$8=$F1036,1,I1036*(1+Input!K1025)*J$12))</f>
        <v>1</v>
      </c>
      <c r="K1036" s="70">
        <f>IF(K$8&lt;$F1036,0,IF(K$8=$F1036,1,J1036*(1+Input!L1025)*K$12))</f>
        <v>1</v>
      </c>
      <c r="L1036" s="70">
        <f>IF(L$8&lt;$F1036,0,IF(L$8=$F1036,1,K1036*(1+Input!M1025)*L$12))</f>
        <v>1</v>
      </c>
      <c r="M1036" s="70">
        <f>IF(M$8&lt;$F1036,0,IF(M$8=$F1036,1,L1036*(1+Input!N1025)*M$12))</f>
        <v>1</v>
      </c>
      <c r="N1036" s="70">
        <f>IF(N$8&lt;$F1036,0,IF(N$8=$F1036,1,M1036*(1+Input!O1025)*N$12))</f>
        <v>1</v>
      </c>
      <c r="O1036" s="70">
        <f>IF(O$8&lt;$F1036,0,IF(O$8=$F1036,1,N1036*(1+Input!P1025)*O$12))</f>
        <v>1</v>
      </c>
      <c r="P1036" s="70">
        <f>IF(P$8&lt;$F1036,0,IF(P$8=$F1036,1,O1036*(1+Input!Q1025)*P$12))</f>
        <v>1</v>
      </c>
      <c r="Q1036" s="70">
        <f>IF(Q$8&lt;$F1036,0,IF(Q$8=$F1036,1,P1036*(1+Input!R1025)*Q$12))</f>
        <v>1</v>
      </c>
      <c r="R1036" s="70">
        <f>IF(R$8&lt;$F1036,0,IF(R$8=$F1036,1,Q1036*(1+Input!S1025)*R$12))</f>
        <v>1</v>
      </c>
      <c r="S1036" s="70">
        <f>IF(S$8&lt;$F1036,0,IF(S$8=$F1036,1,R1036*(1+Input!T1025)*S$12))</f>
        <v>1</v>
      </c>
      <c r="T1036" s="70">
        <f>IF(T$8&lt;$F1036,0,IF(T$8=$F1036,1,S1036*(1+Input!U1025)*T$12))</f>
        <v>1</v>
      </c>
      <c r="U1036" s="70">
        <f>IF(U$8&lt;$F1036,0,IF(U$8=$F1036,1,T1036*(1+Input!V1025)*U$12))</f>
        <v>1</v>
      </c>
      <c r="V1036" s="70">
        <f>IF(V$8&lt;$F1036,0,IF(V$8=$F1036,1,U1036*(1+Input!W1025)*V$12))</f>
        <v>1</v>
      </c>
    </row>
    <row r="1037" spans="2:22">
      <c r="B1037" s="407" t="s">
        <v>472</v>
      </c>
      <c r="G1037" s="17" t="s">
        <v>315</v>
      </c>
      <c r="J1037">
        <f>J1028</f>
        <v>18.511773624249535</v>
      </c>
      <c r="K1037">
        <f t="shared" ref="K1037:V1037" si="376">K1028</f>
        <v>20.020483174625877</v>
      </c>
      <c r="L1037">
        <f t="shared" si="376"/>
        <v>26.50890603876671</v>
      </c>
      <c r="M1037">
        <f t="shared" si="376"/>
        <v>28.669381880926206</v>
      </c>
      <c r="N1037">
        <f t="shared" si="376"/>
        <v>31.005936504221687</v>
      </c>
      <c r="O1037">
        <f t="shared" si="376"/>
        <v>33.532920329315758</v>
      </c>
      <c r="P1037">
        <f t="shared" si="376"/>
        <v>36.265853336155004</v>
      </c>
      <c r="Q1037">
        <f t="shared" si="376"/>
        <v>39.221520383051626</v>
      </c>
      <c r="R1037">
        <f t="shared" si="376"/>
        <v>42.41807429427034</v>
      </c>
      <c r="S1037">
        <f t="shared" si="376"/>
        <v>45.875147349253375</v>
      </c>
      <c r="T1037">
        <f t="shared" si="376"/>
        <v>48.168904716716042</v>
      </c>
      <c r="U1037">
        <f t="shared" si="376"/>
        <v>50.577349952551849</v>
      </c>
      <c r="V1037">
        <f t="shared" si="376"/>
        <v>53.106217450179443</v>
      </c>
    </row>
    <row r="1038" spans="2:22">
      <c r="B1038" s="407" t="s">
        <v>465</v>
      </c>
      <c r="F1038" s="39">
        <v>0.48880442370025479</v>
      </c>
      <c r="J1038" s="74">
        <f>$F1038</f>
        <v>0.48880442370025479</v>
      </c>
      <c r="K1038" s="74">
        <f t="shared" ref="K1038:V1038" si="377">$F1038</f>
        <v>0.48880442370025479</v>
      </c>
      <c r="L1038" s="74">
        <f t="shared" si="377"/>
        <v>0.48880442370025479</v>
      </c>
      <c r="M1038" s="74">
        <f t="shared" si="377"/>
        <v>0.48880442370025479</v>
      </c>
      <c r="N1038" s="74">
        <f t="shared" si="377"/>
        <v>0.48880442370025479</v>
      </c>
      <c r="O1038" s="74">
        <f t="shared" si="377"/>
        <v>0.48880442370025479</v>
      </c>
      <c r="P1038" s="74">
        <f t="shared" si="377"/>
        <v>0.48880442370025479</v>
      </c>
      <c r="Q1038" s="74">
        <f t="shared" si="377"/>
        <v>0.48880442370025479</v>
      </c>
      <c r="R1038" s="74">
        <f t="shared" si="377"/>
        <v>0.48880442370025479</v>
      </c>
      <c r="S1038" s="74">
        <f t="shared" si="377"/>
        <v>0.48880442370025479</v>
      </c>
      <c r="T1038" s="74">
        <f t="shared" si="377"/>
        <v>0.48880442370025479</v>
      </c>
      <c r="U1038" s="74">
        <f t="shared" si="377"/>
        <v>0.48880442370025479</v>
      </c>
      <c r="V1038" s="74">
        <f t="shared" si="377"/>
        <v>0.48880442370025479</v>
      </c>
    </row>
    <row r="1039" spans="2:22">
      <c r="B1039" s="28" t="s">
        <v>9</v>
      </c>
      <c r="C1039" s="28"/>
      <c r="D1039" s="28"/>
      <c r="E1039" s="28"/>
      <c r="F1039" s="28"/>
      <c r="G1039" s="28"/>
      <c r="H1039" s="28"/>
      <c r="I1039" s="48">
        <f>SUM(J1039:V1039)</f>
        <v>231.63584717795678</v>
      </c>
      <c r="J1039" s="76">
        <f t="shared" ref="J1039:V1039" si="378">J1038*J1037</f>
        <v>9.0486368380708715</v>
      </c>
      <c r="K1039" s="76">
        <f t="shared" si="378"/>
        <v>9.7861007403736497</v>
      </c>
      <c r="L1039" s="76">
        <f t="shared" si="378"/>
        <v>12.957670539203566</v>
      </c>
      <c r="M1039" s="76">
        <f t="shared" si="378"/>
        <v>14.013720688148661</v>
      </c>
      <c r="N1039" s="76">
        <f t="shared" si="378"/>
        <v>15.155838924232775</v>
      </c>
      <c r="O1039" s="76">
        <f t="shared" si="378"/>
        <v>16.391039796557745</v>
      </c>
      <c r="P1039" s="76">
        <f t="shared" si="378"/>
        <v>17.726909539977211</v>
      </c>
      <c r="Q1039" s="76">
        <f t="shared" si="378"/>
        <v>19.171652667485347</v>
      </c>
      <c r="R1039" s="76">
        <f t="shared" si="378"/>
        <v>20.734142359885407</v>
      </c>
      <c r="S1039" s="76">
        <f t="shared" si="378"/>
        <v>22.423974962216068</v>
      </c>
      <c r="T1039" s="76">
        <f t="shared" si="378"/>
        <v>23.545173710326871</v>
      </c>
      <c r="U1039" s="76">
        <f t="shared" si="378"/>
        <v>24.722432395843214</v>
      </c>
      <c r="V1039" s="76">
        <f t="shared" si="378"/>
        <v>25.958554015635375</v>
      </c>
    </row>
    <row r="1040" spans="2:22">
      <c r="G1040"/>
    </row>
    <row r="1041" spans="2:22">
      <c r="G1041"/>
    </row>
    <row r="1042" spans="2:22">
      <c r="B1042" s="2" t="s">
        <v>584</v>
      </c>
      <c r="G1042"/>
    </row>
    <row r="1043" spans="2:22">
      <c r="B1043" s="407" t="s">
        <v>478</v>
      </c>
      <c r="G1043"/>
      <c r="I1043" s="71">
        <v>1</v>
      </c>
      <c r="J1043" s="16">
        <f>I1043*(1+Input!K1077)*J$12</f>
        <v>1.0349999999999999</v>
      </c>
      <c r="K1043" s="16">
        <f>J1043*(1+Input!L1077)*K$12</f>
        <v>1.0712249999999999</v>
      </c>
      <c r="L1043" s="16">
        <f>K1043*(1+Input!M1077)*L$12</f>
        <v>1.1087178749999997</v>
      </c>
      <c r="M1043" s="16">
        <f>L1043*(1+Input!N1077)*M$12</f>
        <v>1.1475230006249997</v>
      </c>
      <c r="N1043" s="16">
        <f>M1043*(1+Input!O1077)*N$12</f>
        <v>1.1876863056468745</v>
      </c>
      <c r="O1043" s="16">
        <f>N1043*(1+Input!P1077)*O$12</f>
        <v>1.229255326344515</v>
      </c>
      <c r="P1043" s="16">
        <f>O1043*(1+Input!Q1077)*P$12</f>
        <v>1.2722792627665729</v>
      </c>
      <c r="Q1043" s="16">
        <f>P1043*(1+Input!R1077)*Q$12</f>
        <v>1.3168090369634029</v>
      </c>
      <c r="R1043" s="16">
        <f>Q1043*(1+Input!S1077)*R$12</f>
        <v>1.3628973532571218</v>
      </c>
      <c r="S1043" s="16">
        <f>R1043*(1+Input!T1077)*S$12</f>
        <v>1.410598760621121</v>
      </c>
      <c r="T1043" s="16">
        <f>S1043*(1+Input!U1077)*T$12</f>
        <v>1.4599697172428601</v>
      </c>
      <c r="U1043" s="16">
        <f>T1043*(1+Input!V1077)*U$12</f>
        <v>1.5110686573463601</v>
      </c>
      <c r="V1043" s="16">
        <f>U1043*(1+Input!W1077)*V$12</f>
        <v>1.5639560603534826</v>
      </c>
    </row>
    <row r="1044" spans="2:22">
      <c r="B1044" t="s">
        <v>479</v>
      </c>
      <c r="F1044" s="19">
        <f>Input!J1082</f>
        <v>0.25664334700000002</v>
      </c>
      <c r="G1044" s="17" t="s">
        <v>315</v>
      </c>
    </row>
    <row r="1045" spans="2:22">
      <c r="B1045" s="28" t="s">
        <v>584</v>
      </c>
      <c r="C1045" s="28"/>
      <c r="D1045" s="28"/>
      <c r="E1045" s="28"/>
      <c r="F1045" s="28"/>
      <c r="G1045" s="28"/>
      <c r="H1045" s="28"/>
      <c r="I1045" s="28"/>
      <c r="J1045" s="47">
        <f>$F1044*J1043</f>
        <v>0.265625864145</v>
      </c>
      <c r="K1045" s="47">
        <f t="shared" ref="K1045:V1045" si="379">$F1044*K1043</f>
        <v>0.27492276939007498</v>
      </c>
      <c r="L1045" s="47">
        <f t="shared" si="379"/>
        <v>0.28454506631872756</v>
      </c>
      <c r="M1045" s="47">
        <f t="shared" si="379"/>
        <v>0.29450414363988303</v>
      </c>
      <c r="N1045" s="47">
        <f t="shared" si="379"/>
        <v>0.30481178866727887</v>
      </c>
      <c r="O1045" s="47">
        <f t="shared" si="379"/>
        <v>0.31548020127063364</v>
      </c>
      <c r="P1045" s="47">
        <f t="shared" si="379"/>
        <v>0.32652200831510575</v>
      </c>
      <c r="Q1045" s="47">
        <f t="shared" si="379"/>
        <v>0.33795027860613447</v>
      </c>
      <c r="R1045" s="47">
        <f t="shared" si="379"/>
        <v>0.34977853835734912</v>
      </c>
      <c r="S1045" s="47">
        <f t="shared" si="379"/>
        <v>0.36202078719985631</v>
      </c>
      <c r="T1045" s="47">
        <f t="shared" si="379"/>
        <v>0.37469151475185125</v>
      </c>
      <c r="U1045" s="47">
        <f t="shared" si="379"/>
        <v>0.38780571776816603</v>
      </c>
      <c r="V1045" s="47">
        <f t="shared" si="379"/>
        <v>0.40137891789005181</v>
      </c>
    </row>
    <row r="1046" spans="2:22">
      <c r="G1046"/>
    </row>
    <row r="1047" spans="2:22">
      <c r="B1047" s="2" t="s">
        <v>585</v>
      </c>
      <c r="G1047"/>
    </row>
    <row r="1048" spans="2:22">
      <c r="B1048" s="407" t="s">
        <v>472</v>
      </c>
      <c r="G1048"/>
      <c r="J1048">
        <f>J1028</f>
        <v>18.511773624249535</v>
      </c>
      <c r="K1048">
        <f t="shared" ref="K1048:V1048" si="380">K1028</f>
        <v>20.020483174625877</v>
      </c>
      <c r="L1048">
        <f t="shared" si="380"/>
        <v>26.50890603876671</v>
      </c>
      <c r="M1048">
        <f t="shared" si="380"/>
        <v>28.669381880926206</v>
      </c>
      <c r="N1048">
        <f t="shared" si="380"/>
        <v>31.005936504221687</v>
      </c>
      <c r="O1048">
        <f t="shared" si="380"/>
        <v>33.532920329315758</v>
      </c>
      <c r="P1048">
        <f t="shared" si="380"/>
        <v>36.265853336155004</v>
      </c>
      <c r="Q1048">
        <f t="shared" si="380"/>
        <v>39.221520383051626</v>
      </c>
      <c r="R1048">
        <f t="shared" si="380"/>
        <v>42.41807429427034</v>
      </c>
      <c r="S1048">
        <f t="shared" si="380"/>
        <v>45.875147349253375</v>
      </c>
      <c r="T1048">
        <f t="shared" si="380"/>
        <v>48.168904716716042</v>
      </c>
      <c r="U1048">
        <f t="shared" si="380"/>
        <v>50.577349952551849</v>
      </c>
      <c r="V1048">
        <f t="shared" si="380"/>
        <v>53.106217450179443</v>
      </c>
    </row>
    <row r="1049" spans="2:22">
      <c r="B1049" t="s">
        <v>479</v>
      </c>
      <c r="F1049" s="39">
        <v>4.6250166566207664E-5</v>
      </c>
      <c r="G1049" s="17" t="s">
        <v>315</v>
      </c>
      <c r="J1049" s="80">
        <f>$F1049</f>
        <v>4.6250166566207664E-5</v>
      </c>
      <c r="K1049" s="80">
        <f t="shared" ref="K1049:V1049" si="381">$F1049</f>
        <v>4.6250166566207664E-5</v>
      </c>
      <c r="L1049" s="80">
        <f t="shared" si="381"/>
        <v>4.6250166566207664E-5</v>
      </c>
      <c r="M1049" s="80">
        <f t="shared" si="381"/>
        <v>4.6250166566207664E-5</v>
      </c>
      <c r="N1049" s="80">
        <f t="shared" si="381"/>
        <v>4.6250166566207664E-5</v>
      </c>
      <c r="O1049" s="80">
        <f t="shared" si="381"/>
        <v>4.6250166566207664E-5</v>
      </c>
      <c r="P1049" s="80">
        <f t="shared" si="381"/>
        <v>4.6250166566207664E-5</v>
      </c>
      <c r="Q1049" s="80">
        <f t="shared" si="381"/>
        <v>4.6250166566207664E-5</v>
      </c>
      <c r="R1049" s="80">
        <f t="shared" si="381"/>
        <v>4.6250166566207664E-5</v>
      </c>
      <c r="S1049" s="80">
        <f t="shared" si="381"/>
        <v>4.6250166566207664E-5</v>
      </c>
      <c r="T1049" s="80">
        <f t="shared" si="381"/>
        <v>4.6250166566207664E-5</v>
      </c>
      <c r="U1049" s="80">
        <f t="shared" si="381"/>
        <v>4.6250166566207664E-5</v>
      </c>
      <c r="V1049" s="80">
        <f t="shared" si="381"/>
        <v>4.6250166566207664E-5</v>
      </c>
    </row>
    <row r="1050" spans="2:22">
      <c r="B1050" s="28" t="s">
        <v>585</v>
      </c>
      <c r="C1050" s="28"/>
      <c r="D1050" s="28"/>
      <c r="E1050" s="28"/>
      <c r="F1050" s="28"/>
      <c r="G1050" s="28"/>
      <c r="H1050" s="28"/>
      <c r="I1050" s="28"/>
      <c r="J1050" s="82">
        <f t="shared" ref="J1050:V1050" si="382">J1048*J1049</f>
        <v>8.5617261355747077E-4</v>
      </c>
      <c r="K1050" s="82">
        <f t="shared" si="382"/>
        <v>9.2595068156240486E-4</v>
      </c>
      <c r="L1050" s="82">
        <f t="shared" si="382"/>
        <v>1.2260413197809085E-3</v>
      </c>
      <c r="M1050" s="82">
        <f t="shared" si="382"/>
        <v>1.325963687343053E-3</v>
      </c>
      <c r="N1050" s="82">
        <f t="shared" si="382"/>
        <v>1.4340297278615116E-3</v>
      </c>
      <c r="O1050" s="82">
        <f t="shared" si="382"/>
        <v>1.5509031506822249E-3</v>
      </c>
      <c r="P1050" s="82">
        <f t="shared" si="382"/>
        <v>1.6773017574628268E-3</v>
      </c>
      <c r="Q1050" s="82">
        <f t="shared" si="382"/>
        <v>1.8140018506960468E-3</v>
      </c>
      <c r="R1050" s="82">
        <f t="shared" si="382"/>
        <v>1.9618430015277749E-3</v>
      </c>
      <c r="S1050" s="82">
        <f t="shared" si="382"/>
        <v>2.1217332061522886E-3</v>
      </c>
      <c r="T1050" s="82">
        <f t="shared" si="382"/>
        <v>2.2278198664599028E-3</v>
      </c>
      <c r="U1050" s="82">
        <f t="shared" si="382"/>
        <v>2.3392108597828985E-3</v>
      </c>
      <c r="V1050" s="82">
        <f t="shared" si="382"/>
        <v>2.4561714027720432E-3</v>
      </c>
    </row>
    <row r="1051" spans="2:22">
      <c r="G1051"/>
    </row>
    <row r="1052" spans="2:22">
      <c r="B1052" s="2" t="s">
        <v>586</v>
      </c>
      <c r="G1052"/>
    </row>
    <row r="1053" spans="2:22">
      <c r="B1053" s="407" t="s">
        <v>478</v>
      </c>
      <c r="G1053"/>
      <c r="I1053" s="13">
        <v>1</v>
      </c>
      <c r="J1053" s="6">
        <f>I1053*(1+Input!K1067)*J$12</f>
        <v>1</v>
      </c>
      <c r="K1053" s="16">
        <f>J1053*(1+Input!L1067)*K$12</f>
        <v>1</v>
      </c>
      <c r="L1053" s="16">
        <f>K1053*(1+Input!M1067)*L$12</f>
        <v>1</v>
      </c>
      <c r="M1053" s="16">
        <f>L1053*(1+Input!N1067)*M$12</f>
        <v>1</v>
      </c>
      <c r="N1053" s="16">
        <f>M1053*(1+Input!O1067)*N$12</f>
        <v>1</v>
      </c>
      <c r="O1053" s="16">
        <f>N1053*(1+Input!P1067)*O$12</f>
        <v>1</v>
      </c>
      <c r="P1053" s="16">
        <f>O1053*(1+Input!Q1067)*P$12</f>
        <v>1</v>
      </c>
      <c r="Q1053" s="16">
        <f>P1053*(1+Input!R1067)*Q$12</f>
        <v>1</v>
      </c>
      <c r="R1053" s="16">
        <f>Q1053*(1+Input!S1067)*R$12</f>
        <v>1</v>
      </c>
      <c r="S1053" s="16">
        <f>R1053*(1+Input!T1067)*S$12</f>
        <v>1</v>
      </c>
      <c r="T1053" s="16">
        <f>S1053*(1+Input!U1067)*T$12</f>
        <v>1</v>
      </c>
      <c r="U1053" s="16">
        <f>T1053*(1+Input!V1067)*U$12</f>
        <v>1</v>
      </c>
      <c r="V1053" s="16">
        <f>U1053*(1+Input!W1067)*V$12</f>
        <v>1</v>
      </c>
    </row>
    <row r="1054" spans="2:22">
      <c r="B1054" t="s">
        <v>479</v>
      </c>
      <c r="F1054" s="19"/>
      <c r="G1054" s="17" t="s">
        <v>315</v>
      </c>
    </row>
    <row r="1055" spans="2:22">
      <c r="B1055" s="28" t="s">
        <v>585</v>
      </c>
      <c r="C1055" s="28"/>
      <c r="D1055" s="28"/>
      <c r="E1055" s="28"/>
      <c r="F1055" s="28"/>
      <c r="G1055" s="28"/>
      <c r="H1055" s="28"/>
      <c r="I1055" s="28"/>
      <c r="J1055" s="79">
        <f t="shared" ref="J1055:V1055" si="383">$F1054</f>
        <v>0</v>
      </c>
      <c r="K1055" s="79">
        <f t="shared" si="383"/>
        <v>0</v>
      </c>
      <c r="L1055" s="79">
        <f t="shared" si="383"/>
        <v>0</v>
      </c>
      <c r="M1055" s="79">
        <f t="shared" si="383"/>
        <v>0</v>
      </c>
      <c r="N1055" s="79">
        <f t="shared" si="383"/>
        <v>0</v>
      </c>
      <c r="O1055" s="79">
        <f t="shared" si="383"/>
        <v>0</v>
      </c>
      <c r="P1055" s="79">
        <f t="shared" si="383"/>
        <v>0</v>
      </c>
      <c r="Q1055" s="79">
        <f t="shared" si="383"/>
        <v>0</v>
      </c>
      <c r="R1055" s="79">
        <f t="shared" si="383"/>
        <v>0</v>
      </c>
      <c r="S1055" s="79">
        <f t="shared" si="383"/>
        <v>0</v>
      </c>
      <c r="T1055" s="79">
        <f t="shared" si="383"/>
        <v>0</v>
      </c>
      <c r="U1055" s="79">
        <f t="shared" si="383"/>
        <v>0</v>
      </c>
      <c r="V1055" s="79">
        <f t="shared" si="383"/>
        <v>0</v>
      </c>
    </row>
    <row r="1056" spans="2:22">
      <c r="G1056"/>
    </row>
    <row r="1057" spans="2:22" ht="15.75">
      <c r="B1057" s="15" t="s">
        <v>535</v>
      </c>
      <c r="G1057"/>
      <c r="J1057" s="83">
        <f>SUM(J1062,J1067,J1072,J1077,J1082,J1087)</f>
        <v>0.42015237867130001</v>
      </c>
      <c r="K1057" s="83">
        <f t="shared" ref="K1057:V1057" si="384">SUM(K1062,K1067,K1072,K1077,K1082,K1087)</f>
        <v>0.42435390245801302</v>
      </c>
      <c r="L1057" s="83">
        <f t="shared" si="384"/>
        <v>0.42859744148259304</v>
      </c>
      <c r="M1057" s="83">
        <f t="shared" si="384"/>
        <v>0.43288341589741908</v>
      </c>
      <c r="N1057" s="83">
        <f t="shared" si="384"/>
        <v>0.43721225005639319</v>
      </c>
      <c r="O1057" s="83">
        <f t="shared" si="384"/>
        <v>0.44158437255695715</v>
      </c>
      <c r="P1057" s="83">
        <f t="shared" si="384"/>
        <v>0.44600021628252667</v>
      </c>
      <c r="Q1057" s="83">
        <f t="shared" si="384"/>
        <v>0.450460218445352</v>
      </c>
      <c r="R1057" s="83">
        <f t="shared" si="384"/>
        <v>0.45496482062980548</v>
      </c>
      <c r="S1057" s="83">
        <f t="shared" si="384"/>
        <v>0.45951446883610364</v>
      </c>
      <c r="T1057" s="83">
        <f t="shared" si="384"/>
        <v>0.46410961352446461</v>
      </c>
      <c r="U1057" s="83">
        <f t="shared" si="384"/>
        <v>0.46875070965970933</v>
      </c>
      <c r="V1057" s="83">
        <f t="shared" si="384"/>
        <v>0.47343821675630643</v>
      </c>
    </row>
    <row r="1058" spans="2:22">
      <c r="G1058"/>
    </row>
    <row r="1059" spans="2:22">
      <c r="B1059" s="2" t="s">
        <v>496</v>
      </c>
      <c r="G1059"/>
    </row>
    <row r="1060" spans="2:22">
      <c r="B1060" s="407" t="s">
        <v>478</v>
      </c>
      <c r="G1060"/>
      <c r="I1060" s="13">
        <v>1</v>
      </c>
      <c r="J1060" s="16">
        <f>I1060*(1+Input!K1086)*J$12</f>
        <v>1.01</v>
      </c>
      <c r="K1060" s="16">
        <f>J1060*(1+Input!L1086)*K$12</f>
        <v>1.0201</v>
      </c>
      <c r="L1060" s="16">
        <f>K1060*(1+Input!M1086)*L$12</f>
        <v>1.0303009999999999</v>
      </c>
      <c r="M1060" s="16">
        <f>L1060*(1+Input!N1086)*M$12</f>
        <v>1.04060401</v>
      </c>
      <c r="N1060" s="16">
        <f>M1060*(1+Input!O1086)*N$12</f>
        <v>1.0510100500999999</v>
      </c>
      <c r="O1060" s="16">
        <f>N1060*(1+Input!P1086)*O$12</f>
        <v>1.0615201506009999</v>
      </c>
      <c r="P1060" s="16">
        <f>O1060*(1+Input!Q1086)*P$12</f>
        <v>1.0721353521070098</v>
      </c>
      <c r="Q1060" s="16">
        <f>P1060*(1+Input!R1086)*Q$12</f>
        <v>1.08285670562808</v>
      </c>
      <c r="R1060" s="16">
        <f>Q1060*(1+Input!S1086)*R$12</f>
        <v>1.0936852726843609</v>
      </c>
      <c r="S1060" s="16">
        <f>R1060*(1+Input!T1086)*S$12</f>
        <v>1.1046221254112045</v>
      </c>
      <c r="T1060" s="16">
        <f>S1060*(1+Input!U1086)*T$12</f>
        <v>1.1156683466653166</v>
      </c>
      <c r="U1060" s="16">
        <f>T1060*(1+Input!V1086)*U$12</f>
        <v>1.1268250301319698</v>
      </c>
      <c r="V1060" s="16">
        <f>U1060*(1+Input!W1086)*V$12</f>
        <v>1.1380932804332895</v>
      </c>
    </row>
    <row r="1061" spans="2:22">
      <c r="B1061" t="s">
        <v>479</v>
      </c>
      <c r="F1061" s="19">
        <f>Input!J1091</f>
        <v>2.5705493999999999E-2</v>
      </c>
      <c r="G1061" s="17" t="s">
        <v>315</v>
      </c>
    </row>
    <row r="1062" spans="2:22">
      <c r="B1062" s="28" t="s">
        <v>585</v>
      </c>
      <c r="C1062" s="28"/>
      <c r="D1062" s="28"/>
      <c r="E1062" s="28"/>
      <c r="F1062" s="28"/>
      <c r="G1062" s="28"/>
      <c r="H1062" s="28"/>
      <c r="I1062" s="28"/>
      <c r="J1062" s="47">
        <f>$F1061*J1060</f>
        <v>2.596254894E-2</v>
      </c>
      <c r="K1062" s="47">
        <f t="shared" ref="K1062:V1062" si="385">$F1061*K1060</f>
        <v>2.6222174429399999E-2</v>
      </c>
      <c r="L1062" s="47">
        <f t="shared" si="385"/>
        <v>2.6484396173693997E-2</v>
      </c>
      <c r="M1062" s="47">
        <f t="shared" si="385"/>
        <v>2.6749240135430938E-2</v>
      </c>
      <c r="N1062" s="47">
        <f t="shared" si="385"/>
        <v>2.7016732536785246E-2</v>
      </c>
      <c r="O1062" s="47">
        <f t="shared" si="385"/>
        <v>2.7286899862153099E-2</v>
      </c>
      <c r="P1062" s="47">
        <f t="shared" si="385"/>
        <v>2.7559768860774627E-2</v>
      </c>
      <c r="Q1062" s="47">
        <f t="shared" si="385"/>
        <v>2.7835366549382377E-2</v>
      </c>
      <c r="R1062" s="47">
        <f t="shared" si="385"/>
        <v>2.8113720214876202E-2</v>
      </c>
      <c r="S1062" s="47">
        <f t="shared" si="385"/>
        <v>2.8394857417024966E-2</v>
      </c>
      <c r="T1062" s="47">
        <f t="shared" si="385"/>
        <v>2.8678805991195214E-2</v>
      </c>
      <c r="U1062" s="47">
        <f t="shared" si="385"/>
        <v>2.8965594051107168E-2</v>
      </c>
      <c r="V1062" s="47">
        <f t="shared" si="385"/>
        <v>2.9255249991618239E-2</v>
      </c>
    </row>
    <row r="1063" spans="2:22">
      <c r="G1063"/>
    </row>
    <row r="1064" spans="2:22">
      <c r="B1064" s="2" t="s">
        <v>499</v>
      </c>
      <c r="G1064"/>
    </row>
    <row r="1065" spans="2:22">
      <c r="B1065" s="407" t="s">
        <v>478</v>
      </c>
      <c r="G1065"/>
      <c r="I1065" s="13">
        <v>1</v>
      </c>
      <c r="J1065" s="13">
        <f>I1065*(1+Input!K1093)*J$12</f>
        <v>1.01</v>
      </c>
      <c r="K1065" s="13">
        <f>J1065*(1+Input!L1093)*K$12</f>
        <v>1.0201</v>
      </c>
      <c r="L1065" s="13">
        <f>K1065*(1+Input!M1093)*L$12</f>
        <v>1.0303009999999999</v>
      </c>
      <c r="M1065" s="13">
        <f>L1065*(1+Input!N1093)*M$12</f>
        <v>1.04060401</v>
      </c>
      <c r="N1065" s="13">
        <f>M1065*(1+Input!O1093)*N$12</f>
        <v>1.0510100500999999</v>
      </c>
      <c r="O1065" s="13">
        <f>N1065*(1+Input!P1093)*O$12</f>
        <v>1.0615201506009999</v>
      </c>
      <c r="P1065" s="13">
        <f>O1065*(1+Input!Q1093)*P$12</f>
        <v>1.0721353521070098</v>
      </c>
      <c r="Q1065" s="13">
        <f>P1065*(1+Input!R1093)*Q$12</f>
        <v>1.08285670562808</v>
      </c>
      <c r="R1065" s="13">
        <f>Q1065*(1+Input!S1093)*R$12</f>
        <v>1.0936852726843609</v>
      </c>
      <c r="S1065" s="13">
        <f>R1065*(1+Input!T1093)*S$12</f>
        <v>1.1046221254112045</v>
      </c>
      <c r="T1065" s="13">
        <f>S1065*(1+Input!U1093)*T$12</f>
        <v>1.1156683466653166</v>
      </c>
      <c r="U1065" s="13">
        <f>T1065*(1+Input!V1093)*U$12</f>
        <v>1.1268250301319698</v>
      </c>
      <c r="V1065" s="13">
        <f>U1065*(1+Input!W1093)*V$12</f>
        <v>1.1380932804332895</v>
      </c>
    </row>
    <row r="1066" spans="2:22">
      <c r="B1066" t="s">
        <v>479</v>
      </c>
      <c r="F1066" s="19">
        <f>Input!J1098</f>
        <v>0.20696752500000001</v>
      </c>
      <c r="G1066" s="17" t="s">
        <v>315</v>
      </c>
    </row>
    <row r="1067" spans="2:22">
      <c r="B1067" s="28" t="s">
        <v>585</v>
      </c>
      <c r="C1067" s="28"/>
      <c r="D1067" s="28"/>
      <c r="E1067" s="28"/>
      <c r="F1067" s="28"/>
      <c r="G1067" s="28"/>
      <c r="H1067" s="28"/>
      <c r="I1067" s="28"/>
      <c r="J1067" s="79">
        <f t="shared" ref="J1067:V1067" si="386">$F1066*J1065</f>
        <v>0.20903720025000003</v>
      </c>
      <c r="K1067" s="79">
        <f t="shared" si="386"/>
        <v>0.21112757225250001</v>
      </c>
      <c r="L1067" s="79">
        <f t="shared" si="386"/>
        <v>0.21323884797502499</v>
      </c>
      <c r="M1067" s="79">
        <f t="shared" si="386"/>
        <v>0.21537123645477527</v>
      </c>
      <c r="N1067" s="79">
        <f t="shared" si="386"/>
        <v>0.21752494881932299</v>
      </c>
      <c r="O1067" s="79">
        <f t="shared" si="386"/>
        <v>0.21970019830751622</v>
      </c>
      <c r="P1067" s="79">
        <f t="shared" si="386"/>
        <v>0.22189720029059137</v>
      </c>
      <c r="Q1067" s="79">
        <f t="shared" si="386"/>
        <v>0.22411617229349731</v>
      </c>
      <c r="R1067" s="79">
        <f t="shared" si="386"/>
        <v>0.22635733401643229</v>
      </c>
      <c r="S1067" s="79">
        <f t="shared" si="386"/>
        <v>0.22862090735659663</v>
      </c>
      <c r="T1067" s="79">
        <f t="shared" si="386"/>
        <v>0.2309071164301626</v>
      </c>
      <c r="U1067" s="79">
        <f t="shared" si="386"/>
        <v>0.23321618759446422</v>
      </c>
      <c r="V1067" s="79">
        <f t="shared" si="386"/>
        <v>0.23554834947040887</v>
      </c>
    </row>
    <row r="1068" spans="2:22">
      <c r="G1068"/>
    </row>
    <row r="1069" spans="2:22">
      <c r="B1069" s="2" t="s">
        <v>569</v>
      </c>
      <c r="G1069"/>
    </row>
    <row r="1070" spans="2:22">
      <c r="B1070" s="407" t="s">
        <v>478</v>
      </c>
      <c r="G1070"/>
      <c r="I1070" s="13">
        <v>1</v>
      </c>
      <c r="J1070" s="6">
        <f>I1070*(1+Input!K1100)*J$12</f>
        <v>1.01</v>
      </c>
      <c r="K1070" s="16">
        <f>J1070*(1+Input!L1100)*K$12</f>
        <v>1.0201</v>
      </c>
      <c r="L1070" s="16">
        <f>K1070*(1+Input!M1100)*L$12</f>
        <v>1.0303009999999999</v>
      </c>
      <c r="M1070" s="16">
        <f>L1070*(1+Input!N1100)*M$12</f>
        <v>1.04060401</v>
      </c>
      <c r="N1070" s="16">
        <f>M1070*(1+Input!O1100)*N$12</f>
        <v>1.0510100500999999</v>
      </c>
      <c r="O1070" s="16">
        <f>N1070*(1+Input!P1100)*O$12</f>
        <v>1.0615201506009999</v>
      </c>
      <c r="P1070" s="16">
        <f>O1070*(1+Input!Q1100)*P$12</f>
        <v>1.0721353521070098</v>
      </c>
      <c r="Q1070" s="16">
        <f>P1070*(1+Input!R1100)*Q$12</f>
        <v>1.08285670562808</v>
      </c>
      <c r="R1070" s="16">
        <f>Q1070*(1+Input!S1100)*R$12</f>
        <v>1.0936852726843609</v>
      </c>
      <c r="S1070" s="16">
        <f>R1070*(1+Input!T1100)*S$12</f>
        <v>1.1046221254112045</v>
      </c>
      <c r="T1070" s="16">
        <f>S1070*(1+Input!U1100)*T$12</f>
        <v>1.1156683466653166</v>
      </c>
      <c r="U1070" s="16">
        <f>T1070*(1+Input!V1100)*U$12</f>
        <v>1.1268250301319698</v>
      </c>
      <c r="V1070" s="16">
        <f>U1070*(1+Input!W1100)*V$12</f>
        <v>1.1380932804332895</v>
      </c>
    </row>
    <row r="1071" spans="2:22">
      <c r="B1071" t="s">
        <v>479</v>
      </c>
      <c r="F1071" s="19">
        <f>Input!J1105</f>
        <v>3.3630008000000003E-2</v>
      </c>
      <c r="G1071" s="17" t="s">
        <v>315</v>
      </c>
    </row>
    <row r="1072" spans="2:22">
      <c r="B1072" s="28" t="s">
        <v>585</v>
      </c>
      <c r="C1072" s="28"/>
      <c r="D1072" s="28"/>
      <c r="E1072" s="28"/>
      <c r="F1072" s="28"/>
      <c r="G1072" s="28"/>
      <c r="H1072" s="28"/>
      <c r="I1072" s="28"/>
      <c r="J1072" s="79">
        <f t="shared" ref="J1072:V1072" si="387">$F1071*J1070</f>
        <v>3.396630808E-2</v>
      </c>
      <c r="K1072" s="79">
        <f t="shared" si="387"/>
        <v>3.4305971160800003E-2</v>
      </c>
      <c r="L1072" s="79">
        <f t="shared" si="387"/>
        <v>3.4649030872407997E-2</v>
      </c>
      <c r="M1072" s="79">
        <f t="shared" si="387"/>
        <v>3.4995521181132083E-2</v>
      </c>
      <c r="N1072" s="79">
        <f t="shared" si="387"/>
        <v>3.5345476392943401E-2</v>
      </c>
      <c r="O1072" s="79">
        <f t="shared" si="387"/>
        <v>3.5698931156872837E-2</v>
      </c>
      <c r="P1072" s="79">
        <f t="shared" si="387"/>
        <v>3.6055920468441562E-2</v>
      </c>
      <c r="Q1072" s="79">
        <f t="shared" si="387"/>
        <v>3.641647967312598E-2</v>
      </c>
      <c r="R1072" s="79">
        <f t="shared" si="387"/>
        <v>3.6780644469857245E-2</v>
      </c>
      <c r="S1072" s="79">
        <f t="shared" si="387"/>
        <v>3.7148450914555813E-2</v>
      </c>
      <c r="T1072" s="79">
        <f t="shared" si="387"/>
        <v>3.751993542370137E-2</v>
      </c>
      <c r="U1072" s="79">
        <f t="shared" si="387"/>
        <v>3.7895134777938391E-2</v>
      </c>
      <c r="V1072" s="79">
        <f t="shared" si="387"/>
        <v>3.8274086125717775E-2</v>
      </c>
    </row>
    <row r="1073" spans="2:22">
      <c r="G1073"/>
    </row>
    <row r="1074" spans="2:22">
      <c r="B1074" s="2" t="s">
        <v>501</v>
      </c>
      <c r="G1074"/>
    </row>
    <row r="1075" spans="2:22">
      <c r="B1075" s="407" t="s">
        <v>478</v>
      </c>
      <c r="G1075"/>
      <c r="I1075" s="71">
        <v>1</v>
      </c>
      <c r="J1075" s="16">
        <f>I1075*(1+Input!K1107)*J$12</f>
        <v>1.01</v>
      </c>
      <c r="K1075" s="16">
        <f>J1075*(1+Input!L1107)*K$12</f>
        <v>1.0201</v>
      </c>
      <c r="L1075" s="16">
        <f>K1075*(1+Input!M1107)*L$12</f>
        <v>1.0303009999999999</v>
      </c>
      <c r="M1075" s="16">
        <f>L1075*(1+Input!N1107)*M$12</f>
        <v>1.04060401</v>
      </c>
      <c r="N1075" s="16">
        <f>M1075*(1+Input!O1107)*N$12</f>
        <v>1.0510100500999999</v>
      </c>
      <c r="O1075" s="16">
        <f>N1075*(1+Input!P1107)*O$12</f>
        <v>1.0615201506009999</v>
      </c>
      <c r="P1075" s="16">
        <f>O1075*(1+Input!Q1107)*P$12</f>
        <v>1.0721353521070098</v>
      </c>
      <c r="Q1075" s="16">
        <f>P1075*(1+Input!R1107)*Q$12</f>
        <v>1.08285670562808</v>
      </c>
      <c r="R1075" s="16">
        <f>Q1075*(1+Input!S1107)*R$12</f>
        <v>1.0936852726843609</v>
      </c>
      <c r="S1075" s="16">
        <f>R1075*(1+Input!T1107)*S$12</f>
        <v>1.1046221254112045</v>
      </c>
      <c r="T1075" s="16">
        <f>S1075*(1+Input!U1107)*T$12</f>
        <v>1.1156683466653166</v>
      </c>
      <c r="U1075" s="16">
        <f>T1075*(1+Input!V1107)*U$12</f>
        <v>1.1268250301319698</v>
      </c>
      <c r="V1075" s="16">
        <f>U1075*(1+Input!W1107)*V$12</f>
        <v>1.1380932804332895</v>
      </c>
    </row>
    <row r="1076" spans="2:22">
      <c r="B1076" t="s">
        <v>479</v>
      </c>
      <c r="F1076" s="19">
        <f>Input!J1112</f>
        <v>9.6439427129999991E-2</v>
      </c>
      <c r="G1076" s="17" t="s">
        <v>315</v>
      </c>
    </row>
    <row r="1077" spans="2:22">
      <c r="B1077" s="28" t="s">
        <v>585</v>
      </c>
      <c r="C1077" s="28"/>
      <c r="D1077" s="28"/>
      <c r="E1077" s="28"/>
      <c r="F1077" s="28"/>
      <c r="G1077" s="28"/>
      <c r="H1077" s="28"/>
      <c r="I1077" s="28"/>
      <c r="J1077" s="79">
        <f t="shared" ref="J1077:V1077" si="388">$F1076*J1075</f>
        <v>9.7403821401299995E-2</v>
      </c>
      <c r="K1077" s="79">
        <f t="shared" si="388"/>
        <v>9.8377859615312993E-2</v>
      </c>
      <c r="L1077" s="79">
        <f t="shared" si="388"/>
        <v>9.9361638211466111E-2</v>
      </c>
      <c r="M1077" s="79">
        <f t="shared" si="388"/>
        <v>0.10035525459358079</v>
      </c>
      <c r="N1077" s="79">
        <f t="shared" si="388"/>
        <v>0.10135880713951659</v>
      </c>
      <c r="O1077" s="79">
        <f t="shared" si="388"/>
        <v>0.10237239521091175</v>
      </c>
      <c r="P1077" s="79">
        <f t="shared" si="388"/>
        <v>0.10339611916302086</v>
      </c>
      <c r="Q1077" s="79">
        <f t="shared" si="388"/>
        <v>0.10443008035465107</v>
      </c>
      <c r="R1077" s="79">
        <f t="shared" si="388"/>
        <v>0.10547438115819759</v>
      </c>
      <c r="S1077" s="79">
        <f t="shared" si="388"/>
        <v>0.10652912496977957</v>
      </c>
      <c r="T1077" s="79">
        <f t="shared" si="388"/>
        <v>0.10759441621947737</v>
      </c>
      <c r="U1077" s="79">
        <f t="shared" si="388"/>
        <v>0.10867036038167215</v>
      </c>
      <c r="V1077" s="79">
        <f t="shared" si="388"/>
        <v>0.10975706398548887</v>
      </c>
    </row>
    <row r="1078" spans="2:22">
      <c r="G1078"/>
    </row>
    <row r="1079" spans="2:22">
      <c r="B1079" s="2" t="s">
        <v>500</v>
      </c>
      <c r="G1079"/>
    </row>
    <row r="1080" spans="2:22">
      <c r="B1080" s="407" t="s">
        <v>478</v>
      </c>
      <c r="G1080"/>
      <c r="I1080" s="13">
        <v>1</v>
      </c>
      <c r="J1080" s="16">
        <f>I1080*(1+Input!K1114)*J$12</f>
        <v>1.01</v>
      </c>
      <c r="K1080" s="16">
        <f>J1080*(1+Input!L1114)*K$12</f>
        <v>1.0201</v>
      </c>
      <c r="L1080" s="16">
        <f>K1080*(1+Input!M1114)*L$12</f>
        <v>1.0303009999999999</v>
      </c>
      <c r="M1080" s="16">
        <f>L1080*(1+Input!N1114)*M$12</f>
        <v>1.04060401</v>
      </c>
      <c r="N1080" s="16">
        <f>M1080*(1+Input!O1114)*N$12</f>
        <v>1.0510100500999999</v>
      </c>
      <c r="O1080" s="16">
        <f>N1080*(1+Input!P1114)*O$12</f>
        <v>1.0615201506009999</v>
      </c>
      <c r="P1080" s="16">
        <f>O1080*(1+Input!Q1114)*P$12</f>
        <v>1.0721353521070098</v>
      </c>
      <c r="Q1080" s="16">
        <f>P1080*(1+Input!R1114)*Q$12</f>
        <v>1.08285670562808</v>
      </c>
      <c r="R1080" s="16">
        <f>Q1080*(1+Input!S1114)*R$12</f>
        <v>1.0936852726843609</v>
      </c>
      <c r="S1080" s="16">
        <f>R1080*(1+Input!T1114)*S$12</f>
        <v>1.1046221254112045</v>
      </c>
      <c r="T1080" s="16">
        <f>S1080*(1+Input!U1114)*T$12</f>
        <v>1.1156683466653166</v>
      </c>
      <c r="U1080" s="16">
        <f>T1080*(1+Input!V1114)*U$12</f>
        <v>1.1268250301319698</v>
      </c>
      <c r="V1080" s="16">
        <f>U1080*(1+Input!W1114)*V$12</f>
        <v>1.1380932804332895</v>
      </c>
    </row>
    <row r="1081" spans="2:22">
      <c r="B1081" t="s">
        <v>479</v>
      </c>
      <c r="F1081" s="19">
        <f>Input!J1119</f>
        <v>1.65E-3</v>
      </c>
      <c r="G1081" s="17" t="s">
        <v>315</v>
      </c>
    </row>
    <row r="1082" spans="2:22">
      <c r="B1082" s="28" t="s">
        <v>585</v>
      </c>
      <c r="C1082" s="28"/>
      <c r="D1082" s="28"/>
      <c r="E1082" s="28"/>
      <c r="F1082" s="28"/>
      <c r="G1082" s="28"/>
      <c r="H1082" s="28"/>
      <c r="I1082" s="28"/>
      <c r="J1082" s="79">
        <f t="shared" ref="J1082:V1082" si="389">$F1081*J1080</f>
        <v>1.6665E-3</v>
      </c>
      <c r="K1082" s="79">
        <f t="shared" si="389"/>
        <v>1.6831649999999999E-3</v>
      </c>
      <c r="L1082" s="79">
        <f t="shared" si="389"/>
        <v>1.6999966499999998E-3</v>
      </c>
      <c r="M1082" s="79">
        <f t="shared" si="389"/>
        <v>1.7169966165000001E-3</v>
      </c>
      <c r="N1082" s="79">
        <f t="shared" si="389"/>
        <v>1.7341665826649999E-3</v>
      </c>
      <c r="O1082" s="79">
        <f t="shared" si="389"/>
        <v>1.7515082484916499E-3</v>
      </c>
      <c r="P1082" s="79">
        <f t="shared" si="389"/>
        <v>1.7690233309765662E-3</v>
      </c>
      <c r="Q1082" s="79">
        <f t="shared" si="389"/>
        <v>1.786713564286332E-3</v>
      </c>
      <c r="R1082" s="79">
        <f t="shared" si="389"/>
        <v>1.8045806999291954E-3</v>
      </c>
      <c r="S1082" s="79">
        <f t="shared" si="389"/>
        <v>1.8226265069284874E-3</v>
      </c>
      <c r="T1082" s="79">
        <f t="shared" si="389"/>
        <v>1.8408527719977724E-3</v>
      </c>
      <c r="U1082" s="79">
        <f t="shared" si="389"/>
        <v>1.85926129971775E-3</v>
      </c>
      <c r="V1082" s="79">
        <f t="shared" si="389"/>
        <v>1.8778539127149276E-3</v>
      </c>
    </row>
    <row r="1083" spans="2:22">
      <c r="G1083"/>
    </row>
    <row r="1084" spans="2:22">
      <c r="B1084" s="2" t="s">
        <v>600</v>
      </c>
      <c r="G1084"/>
    </row>
    <row r="1085" spans="2:22">
      <c r="B1085" s="407" t="s">
        <v>478</v>
      </c>
      <c r="G1085"/>
      <c r="I1085" s="13">
        <v>1</v>
      </c>
      <c r="J1085" s="13">
        <f>I1085*(1+Input!K1121)*J$12</f>
        <v>1.01</v>
      </c>
      <c r="K1085" s="13">
        <f>J1085*(1+Input!L1121)*K$12</f>
        <v>1.0201</v>
      </c>
      <c r="L1085" s="13">
        <f>K1085*(1+Input!M1121)*L$12</f>
        <v>1.0303009999999999</v>
      </c>
      <c r="M1085" s="13">
        <f>L1085*(1+Input!N1121)*M$12</f>
        <v>1.04060401</v>
      </c>
      <c r="N1085" s="13">
        <f>M1085*(1+Input!O1121)*N$12</f>
        <v>1.0510100500999999</v>
      </c>
      <c r="O1085" s="13">
        <f>N1085*(1+Input!P1121)*O$12</f>
        <v>1.0615201506009999</v>
      </c>
      <c r="P1085" s="13">
        <f>O1085*(1+Input!Q1121)*P$12</f>
        <v>1.0721353521070098</v>
      </c>
      <c r="Q1085" s="13">
        <f>P1085*(1+Input!R1121)*Q$12</f>
        <v>1.08285670562808</v>
      </c>
      <c r="R1085" s="13">
        <f>Q1085*(1+Input!S1121)*R$12</f>
        <v>1.0936852726843609</v>
      </c>
      <c r="S1085" s="13">
        <f>R1085*(1+Input!T1121)*S$12</f>
        <v>1.1046221254112045</v>
      </c>
      <c r="T1085" s="13">
        <f>S1085*(1+Input!U1121)*T$12</f>
        <v>1.1156683466653166</v>
      </c>
      <c r="U1085" s="13">
        <f>T1085*(1+Input!V1121)*U$12</f>
        <v>1.1268250301319698</v>
      </c>
      <c r="V1085" s="13">
        <f>U1085*(1+Input!W1121)*V$12</f>
        <v>1.1380932804332895</v>
      </c>
    </row>
    <row r="1086" spans="2:22">
      <c r="B1086" t="s">
        <v>479</v>
      </c>
      <c r="F1086" s="19">
        <f>Input!J1126</f>
        <v>5.16E-2</v>
      </c>
      <c r="G1086" s="17" t="s">
        <v>315</v>
      </c>
    </row>
    <row r="1087" spans="2:22">
      <c r="B1087" s="28" t="s">
        <v>585</v>
      </c>
      <c r="C1087" s="28"/>
      <c r="D1087" s="28"/>
      <c r="E1087" s="28"/>
      <c r="F1087" s="28"/>
      <c r="G1087" s="28"/>
      <c r="H1087" s="28"/>
      <c r="I1087" s="28"/>
      <c r="J1087" s="79">
        <f t="shared" ref="J1087:V1087" si="390">$F1086*J1085</f>
        <v>5.2116000000000003E-2</v>
      </c>
      <c r="K1087" s="79">
        <f t="shared" si="390"/>
        <v>5.2637160000000002E-2</v>
      </c>
      <c r="L1087" s="79">
        <f t="shared" si="390"/>
        <v>5.3163531599999994E-2</v>
      </c>
      <c r="M1087" s="79">
        <f t="shared" si="390"/>
        <v>5.3695166916000001E-2</v>
      </c>
      <c r="N1087" s="79">
        <f t="shared" si="390"/>
        <v>5.423211858516E-2</v>
      </c>
      <c r="O1087" s="79">
        <f t="shared" si="390"/>
        <v>5.4774439771011596E-2</v>
      </c>
      <c r="P1087" s="79">
        <f t="shared" si="390"/>
        <v>5.5322184168721707E-2</v>
      </c>
      <c r="Q1087" s="79">
        <f t="shared" si="390"/>
        <v>5.5875406010408926E-2</v>
      </c>
      <c r="R1087" s="79">
        <f t="shared" si="390"/>
        <v>5.6434160070513023E-2</v>
      </c>
      <c r="S1087" s="79">
        <f t="shared" si="390"/>
        <v>5.6998501671218151E-2</v>
      </c>
      <c r="T1087" s="79">
        <f t="shared" si="390"/>
        <v>5.7568486687930333E-2</v>
      </c>
      <c r="U1087" s="79">
        <f t="shared" si="390"/>
        <v>5.8144171554809637E-2</v>
      </c>
      <c r="V1087" s="79">
        <f t="shared" si="390"/>
        <v>5.8725613270357739E-2</v>
      </c>
    </row>
    <row r="1088" spans="2:22">
      <c r="G1088"/>
    </row>
    <row r="1089" spans="2:22" ht="24" thickBot="1">
      <c r="B1089" s="14" t="s">
        <v>299</v>
      </c>
      <c r="C1089" s="14"/>
      <c r="D1089" s="14"/>
      <c r="E1089" s="14"/>
      <c r="F1089" s="14"/>
      <c r="G1089" s="14"/>
      <c r="H1089" s="14"/>
      <c r="I1089" s="14"/>
      <c r="J1089" s="14"/>
      <c r="K1089" s="14"/>
      <c r="L1089" s="14"/>
      <c r="M1089" s="14"/>
      <c r="N1089" s="14"/>
      <c r="O1089" s="14"/>
      <c r="P1089" s="14"/>
      <c r="Q1089" s="14"/>
      <c r="R1089" s="14"/>
      <c r="S1089" s="14"/>
      <c r="T1089" s="14"/>
      <c r="U1089" s="14"/>
      <c r="V1089" s="14"/>
    </row>
    <row r="1090" spans="2:22">
      <c r="G1090"/>
    </row>
    <row r="1091" spans="2:22">
      <c r="B1091" t="s">
        <v>37</v>
      </c>
      <c r="F1091" s="19">
        <v>2027</v>
      </c>
      <c r="G1091"/>
      <c r="J1091" s="13">
        <f>IF(J$8&lt;$F1091,0,1)*J$12</f>
        <v>0</v>
      </c>
      <c r="K1091" s="13">
        <f t="shared" ref="K1091:V1091" si="391">IF(K$8&lt;$F1091,0,1)*K$12</f>
        <v>0</v>
      </c>
      <c r="L1091" s="13">
        <f t="shared" si="391"/>
        <v>0</v>
      </c>
      <c r="M1091" s="13">
        <f t="shared" si="391"/>
        <v>1</v>
      </c>
      <c r="N1091" s="13">
        <f t="shared" si="391"/>
        <v>1</v>
      </c>
      <c r="O1091" s="13">
        <f t="shared" si="391"/>
        <v>1</v>
      </c>
      <c r="P1091" s="13">
        <f t="shared" si="391"/>
        <v>1</v>
      </c>
      <c r="Q1091" s="13">
        <f t="shared" si="391"/>
        <v>1</v>
      </c>
      <c r="R1091" s="13">
        <f t="shared" si="391"/>
        <v>1</v>
      </c>
      <c r="S1091" s="13">
        <f t="shared" si="391"/>
        <v>1</v>
      </c>
      <c r="T1091" s="13">
        <f t="shared" si="391"/>
        <v>1</v>
      </c>
      <c r="U1091" s="13">
        <f t="shared" si="391"/>
        <v>1</v>
      </c>
      <c r="V1091" s="13">
        <f t="shared" si="391"/>
        <v>1</v>
      </c>
    </row>
    <row r="1092" spans="2:22">
      <c r="G1092"/>
    </row>
    <row r="1093" spans="2:22" ht="15.75">
      <c r="B1093" s="15" t="s">
        <v>601</v>
      </c>
      <c r="G1093"/>
      <c r="M1093">
        <f>M1095-L1095</f>
        <v>0</v>
      </c>
      <c r="N1093">
        <f>N1095-M1095</f>
        <v>255000</v>
      </c>
      <c r="O1093">
        <f>O1095-N1095</f>
        <v>100000</v>
      </c>
      <c r="P1093">
        <f>P1095-O1095</f>
        <v>145000</v>
      </c>
      <c r="Q1093">
        <f>Q1095-P1095</f>
        <v>0</v>
      </c>
    </row>
    <row r="1094" spans="2:22" ht="15.75">
      <c r="B1094" s="41" t="s">
        <v>602</v>
      </c>
      <c r="F1094" s="19">
        <f>F1091</f>
        <v>2027</v>
      </c>
      <c r="G1094"/>
      <c r="I1094">
        <v>1</v>
      </c>
      <c r="J1094" s="77">
        <f>IF(J$8&lt;$F1094,0,IF(J$8=$F1094,1,I1094*(1+Input!K1140)*J$12))</f>
        <v>0</v>
      </c>
      <c r="K1094" s="77">
        <f>IF(K$8&lt;$F1094,0,IF(K$8=$F1094,1,J1094*(1+Input!L1140)*K$12))</f>
        <v>0</v>
      </c>
      <c r="L1094" s="77">
        <f>IF(L$8&lt;$F1094,0,IF(L$8=$F1094,1,K1094*(1+Input!M1140)*L$12))</f>
        <v>0</v>
      </c>
      <c r="M1094" s="77">
        <f>IF(M$8&lt;$F1094,0,IF(M$8=$F1094,1,L1094*(1+Input!N1140)*M$12))</f>
        <v>1</v>
      </c>
      <c r="N1094" s="77">
        <f>IF(N$8&lt;$F1094,0,IF(N$8=$F1094,1,M1094*(1+Input!O1140)*N$12))</f>
        <v>1.03</v>
      </c>
      <c r="O1094" s="77">
        <f>IF(O$8&lt;$F1094,0,IF(O$8=$F1094,1,N1094*(1+Input!P1140)*O$12))</f>
        <v>1.0609</v>
      </c>
      <c r="P1094" s="77">
        <f>IF(P$8&lt;$F1094,0,IF(P$8=$F1094,1,O1094*(1+Input!Q1140)*P$12))</f>
        <v>1.092727</v>
      </c>
      <c r="Q1094" s="77">
        <f>IF(Q$8&lt;$F1094,0,IF(Q$8=$F1094,1,P1094*(1+Input!R1140)*Q$12))</f>
        <v>1.1255088100000001</v>
      </c>
      <c r="R1094" s="77">
        <f>IF(R$8&lt;$F1094,0,IF(R$8=$F1094,1,Q1094*(1+Input!S1140)*R$12))</f>
        <v>1.1592740743000001</v>
      </c>
      <c r="S1094" s="77">
        <f>IF(S$8&lt;$F1094,0,IF(S$8=$F1094,1,R1094*(1+Input!T1140)*S$12))</f>
        <v>1.1940522965290001</v>
      </c>
      <c r="T1094" s="77">
        <f>IF(T$8&lt;$F1094,0,IF(T$8=$F1094,1,S1094*(1+Input!U1140)*T$12))</f>
        <v>1.2298738654248702</v>
      </c>
      <c r="U1094" s="77">
        <f>IF(U$8&lt;$F1094,0,IF(U$8=$F1094,1,T1094*(1+Input!V1140)*U$12))</f>
        <v>1.2667700813876164</v>
      </c>
      <c r="V1094" s="77">
        <f>IF(V$8&lt;$F1094,0,IF(V$8=$F1094,1,U1094*(1+Input!W1140)*V$12))</f>
        <v>1.3047731838292449</v>
      </c>
    </row>
    <row r="1095" spans="2:22">
      <c r="B1095" s="407" t="s">
        <v>407</v>
      </c>
      <c r="G1095" s="17" t="s">
        <v>603</v>
      </c>
      <c r="J1095">
        <f>Input!K1133</f>
        <v>0</v>
      </c>
      <c r="K1095">
        <f>Input!L1133</f>
        <v>0</v>
      </c>
      <c r="L1095">
        <f>Input!M1133</f>
        <v>0</v>
      </c>
      <c r="M1095">
        <f>Input!N1133</f>
        <v>0</v>
      </c>
      <c r="N1095">
        <f>Input!O1133</f>
        <v>255000</v>
      </c>
      <c r="O1095">
        <f>Input!P1133</f>
        <v>355000</v>
      </c>
      <c r="P1095">
        <f>Input!Q1133</f>
        <v>500000</v>
      </c>
      <c r="Q1095">
        <f>Input!R1133</f>
        <v>500000</v>
      </c>
      <c r="R1095">
        <f>Input!S1133</f>
        <v>500000</v>
      </c>
      <c r="S1095">
        <f>Input!T1133</f>
        <v>500000</v>
      </c>
      <c r="T1095">
        <f>Input!U1133</f>
        <v>500000</v>
      </c>
      <c r="U1095">
        <f>Input!V1133</f>
        <v>500000</v>
      </c>
      <c r="V1095">
        <f>Input!W1133</f>
        <v>500000</v>
      </c>
    </row>
    <row r="1096" spans="2:22">
      <c r="B1096" s="407" t="s">
        <v>465</v>
      </c>
      <c r="F1096" s="6">
        <f>Input!N1138</f>
        <v>0</v>
      </c>
      <c r="G1096" s="17" t="s">
        <v>604</v>
      </c>
      <c r="J1096">
        <f>$F1096*J1094</f>
        <v>0</v>
      </c>
      <c r="K1096">
        <f t="shared" ref="K1096:V1096" si="392">$F1096*K1094</f>
        <v>0</v>
      </c>
      <c r="L1096">
        <f t="shared" si="392"/>
        <v>0</v>
      </c>
      <c r="M1096">
        <f t="shared" si="392"/>
        <v>0</v>
      </c>
      <c r="N1096">
        <f t="shared" si="392"/>
        <v>0</v>
      </c>
      <c r="O1096">
        <f t="shared" si="392"/>
        <v>0</v>
      </c>
      <c r="P1096">
        <f t="shared" si="392"/>
        <v>0</v>
      </c>
      <c r="Q1096">
        <f t="shared" si="392"/>
        <v>0</v>
      </c>
      <c r="R1096">
        <f t="shared" si="392"/>
        <v>0</v>
      </c>
      <c r="S1096">
        <f t="shared" si="392"/>
        <v>0</v>
      </c>
      <c r="T1096">
        <f t="shared" si="392"/>
        <v>0</v>
      </c>
      <c r="U1096">
        <f t="shared" si="392"/>
        <v>0</v>
      </c>
      <c r="V1096">
        <f t="shared" si="392"/>
        <v>0</v>
      </c>
    </row>
    <row r="1097" spans="2:22">
      <c r="B1097" s="28" t="s">
        <v>9</v>
      </c>
      <c r="C1097" s="28"/>
      <c r="D1097" s="28"/>
      <c r="E1097" s="28"/>
      <c r="F1097" s="28"/>
      <c r="G1097" s="28"/>
      <c r="H1097" s="28"/>
      <c r="I1097" s="48">
        <f>SUM(J1097:V1097)</f>
        <v>0</v>
      </c>
      <c r="J1097" s="76">
        <f t="shared" ref="J1097:V1097" si="393">J1095*J1096*Month_Year/Billion</f>
        <v>0</v>
      </c>
      <c r="K1097" s="76">
        <f t="shared" si="393"/>
        <v>0</v>
      </c>
      <c r="L1097" s="76">
        <f t="shared" si="393"/>
        <v>0</v>
      </c>
      <c r="M1097" s="76">
        <f t="shared" si="393"/>
        <v>0</v>
      </c>
      <c r="N1097" s="76">
        <f t="shared" si="393"/>
        <v>0</v>
      </c>
      <c r="O1097" s="76">
        <f t="shared" si="393"/>
        <v>0</v>
      </c>
      <c r="P1097" s="76">
        <f t="shared" si="393"/>
        <v>0</v>
      </c>
      <c r="Q1097" s="76">
        <f t="shared" si="393"/>
        <v>0</v>
      </c>
      <c r="R1097" s="76">
        <f t="shared" si="393"/>
        <v>0</v>
      </c>
      <c r="S1097" s="76">
        <f t="shared" si="393"/>
        <v>0</v>
      </c>
      <c r="T1097" s="76">
        <f t="shared" si="393"/>
        <v>0</v>
      </c>
      <c r="U1097" s="76">
        <f t="shared" si="393"/>
        <v>0</v>
      </c>
      <c r="V1097" s="76">
        <f t="shared" si="393"/>
        <v>0</v>
      </c>
    </row>
    <row r="1098" spans="2:22">
      <c r="G1098"/>
      <c r="I1098" s="21"/>
      <c r="K1098" s="21"/>
      <c r="L1098" s="21"/>
      <c r="M1098" s="22"/>
      <c r="N1098" s="21"/>
    </row>
    <row r="1099" spans="2:22" ht="15.75">
      <c r="B1099" s="41" t="s">
        <v>605</v>
      </c>
      <c r="F1099" s="19">
        <v>2029</v>
      </c>
      <c r="G1099" s="23">
        <f>108*USD_IDR*Million/10^12</f>
        <v>1.7566200000000001</v>
      </c>
      <c r="I1099">
        <v>1</v>
      </c>
      <c r="J1099" s="70">
        <f>IF(J$8&lt;$F1099,0,IF(J$8=$F1099,1,I1099*(1+Input!K1153)*J$12))</f>
        <v>0</v>
      </c>
      <c r="K1099" s="70">
        <f>IF(K$8&lt;$F1099,0,IF(K$8=$F1099,1,J1099*(1+Input!L1153)*K$12))</f>
        <v>0</v>
      </c>
      <c r="L1099" s="77">
        <f>IF(L$8&lt;$F1099,0,IF(L$8=$F1099,1,K1099*(1+Input!M1153)*L$12))</f>
        <v>0</v>
      </c>
      <c r="M1099" s="77">
        <f>IF(M$8&lt;$F1099,0,IF(M$8=$F1099,1,L1099*(1+Input!N1153)*M$12))</f>
        <v>0</v>
      </c>
      <c r="N1099" s="77">
        <f>IF(N$8&lt;$F1099,0,IF(N$8=$F1099,1,M1099*(1+Input!O1153)*N$12))</f>
        <v>0</v>
      </c>
      <c r="O1099" s="77">
        <f>IF(O$8&lt;$F1099,0,IF(O$8=$F1099,1,N1099*(1+Input!P1153)*O$12))</f>
        <v>1</v>
      </c>
      <c r="P1099" s="77">
        <f>IF(P$8&lt;$F1099,0,IF(P$8=$F1099,1,O1099*(1+Input!Q1153)*P$12))</f>
        <v>1.03</v>
      </c>
      <c r="Q1099" s="70">
        <f>IF(Q$8&lt;$F1099,0,IF(Q$8=$F1099,1,P1099*(1+Input!R1153)*Q$12))</f>
        <v>1.0609</v>
      </c>
      <c r="R1099" s="70">
        <f>IF(R$8&lt;$F1099,0,IF(R$8=$F1099,1,Q1099*(1+Input!S1153)*R$12))</f>
        <v>1.092727</v>
      </c>
      <c r="S1099" s="70">
        <f>IF(S$8&lt;$F1099,0,IF(S$8=$F1099,1,R1099*(1+Input!T1153)*S$12))</f>
        <v>1.1255088100000001</v>
      </c>
      <c r="T1099" s="70">
        <f>IF(T$8&lt;$F1099,0,IF(T$8=$F1099,1,S1099*(1+Input!U1153)*T$12))</f>
        <v>1.1592740743000001</v>
      </c>
      <c r="U1099" s="70">
        <f>IF(U$8&lt;$F1099,0,IF(U$8=$F1099,1,T1099*(1+Input!V1153)*U$12))</f>
        <v>1.1940522965290001</v>
      </c>
      <c r="V1099" s="70">
        <f>IF(V$8&lt;$F1099,0,IF(V$8=$F1099,1,U1099*(1+Input!W1153)*V$12))</f>
        <v>1.2298738654248702</v>
      </c>
    </row>
    <row r="1100" spans="2:22" ht="15.75">
      <c r="B1100" s="41" t="s">
        <v>606</v>
      </c>
      <c r="G1100" s="17" t="s">
        <v>325</v>
      </c>
      <c r="J1100" s="21">
        <f>Input!K1146</f>
        <v>0</v>
      </c>
      <c r="K1100" s="21">
        <f>Input!L1146</f>
        <v>0</v>
      </c>
      <c r="L1100" s="21">
        <f>Input!M1146</f>
        <v>0</v>
      </c>
      <c r="M1100" s="39">
        <v>0.49</v>
      </c>
      <c r="N1100" s="39">
        <v>0.14499999999999999</v>
      </c>
      <c r="O1100" s="39">
        <v>0.13</v>
      </c>
      <c r="P1100" s="39">
        <v>0.14499999999999999</v>
      </c>
      <c r="Q1100" s="39">
        <v>0.14499999999999999</v>
      </c>
      <c r="R1100" s="39">
        <f>Q1100</f>
        <v>0.14499999999999999</v>
      </c>
      <c r="S1100" s="39">
        <f>R1100</f>
        <v>0.14499999999999999</v>
      </c>
      <c r="T1100" s="39">
        <f>S1100</f>
        <v>0.14499999999999999</v>
      </c>
      <c r="U1100" s="39">
        <f>T1100</f>
        <v>0.14499999999999999</v>
      </c>
      <c r="V1100" s="39">
        <f>U1100</f>
        <v>0.14499999999999999</v>
      </c>
    </row>
    <row r="1101" spans="2:22">
      <c r="B1101" s="407" t="s">
        <v>607</v>
      </c>
      <c r="G1101" s="17" t="s">
        <v>608</v>
      </c>
      <c r="J1101">
        <f t="shared" ref="J1101:V1101" si="394">J22</f>
        <v>2063651.067</v>
      </c>
      <c r="K1101">
        <f t="shared" si="394"/>
        <v>2125560.59901</v>
      </c>
      <c r="L1101">
        <f t="shared" si="394"/>
        <v>2189327.4169803001</v>
      </c>
      <c r="M1101">
        <f t="shared" si="394"/>
        <v>2255007.239489709</v>
      </c>
      <c r="N1101">
        <f t="shared" si="394"/>
        <v>2322657.4566744007</v>
      </c>
      <c r="O1101">
        <f t="shared" si="394"/>
        <v>2392337.1803746326</v>
      </c>
      <c r="P1101">
        <f t="shared" si="394"/>
        <v>2464107.2957858718</v>
      </c>
      <c r="Q1101">
        <f t="shared" si="394"/>
        <v>2538030.5146594481</v>
      </c>
      <c r="R1101">
        <f t="shared" si="394"/>
        <v>2614171.4300992312</v>
      </c>
      <c r="S1101">
        <f t="shared" si="394"/>
        <v>2692596.5730022085</v>
      </c>
      <c r="T1101">
        <f t="shared" si="394"/>
        <v>2773374.4701922745</v>
      </c>
      <c r="U1101">
        <f t="shared" si="394"/>
        <v>2856575.7042980432</v>
      </c>
      <c r="V1101">
        <f t="shared" si="394"/>
        <v>2942272.975426984</v>
      </c>
    </row>
    <row r="1102" spans="2:22">
      <c r="B1102" s="407" t="s">
        <v>609</v>
      </c>
      <c r="G1102" s="17" t="s">
        <v>608</v>
      </c>
      <c r="J1102">
        <f>J1101*J1100/Month_Year</f>
        <v>0</v>
      </c>
      <c r="K1102">
        <f>K1101*K1100/Month_Year</f>
        <v>0</v>
      </c>
      <c r="L1102">
        <f>L1101*L1100/Month_Year</f>
        <v>0</v>
      </c>
      <c r="M1102" s="19">
        <f>1.6*Million/Month_Year</f>
        <v>133333.33333333334</v>
      </c>
      <c r="N1102" s="19">
        <f>1.6*Million/Month_Year</f>
        <v>133333.33333333334</v>
      </c>
      <c r="O1102" s="19">
        <f>1.6*Million/Month_Year</f>
        <v>133333.33333333334</v>
      </c>
      <c r="P1102" s="19">
        <v>240000</v>
      </c>
      <c r="Q1102" s="19">
        <f t="shared" ref="Q1102:V1102" si="395">P1102</f>
        <v>240000</v>
      </c>
      <c r="R1102" s="19">
        <f t="shared" si="395"/>
        <v>240000</v>
      </c>
      <c r="S1102" s="19">
        <f t="shared" si="395"/>
        <v>240000</v>
      </c>
      <c r="T1102" s="19">
        <f t="shared" si="395"/>
        <v>240000</v>
      </c>
      <c r="U1102" s="19">
        <f t="shared" si="395"/>
        <v>240000</v>
      </c>
      <c r="V1102" s="19">
        <f t="shared" si="395"/>
        <v>240000</v>
      </c>
    </row>
    <row r="1103" spans="2:22">
      <c r="B1103" s="407" t="s">
        <v>465</v>
      </c>
      <c r="F1103" s="6">
        <f>Input!O1151</f>
        <v>55000</v>
      </c>
      <c r="G1103" s="17" t="s">
        <v>610</v>
      </c>
      <c r="J1103">
        <f>$F1103*J1099</f>
        <v>0</v>
      </c>
      <c r="K1103">
        <f t="shared" ref="K1103:V1103" si="396">$F1103*K1099</f>
        <v>0</v>
      </c>
      <c r="L1103">
        <f t="shared" si="396"/>
        <v>0</v>
      </c>
      <c r="M1103">
        <f t="shared" si="396"/>
        <v>0</v>
      </c>
      <c r="N1103">
        <f t="shared" si="396"/>
        <v>0</v>
      </c>
      <c r="O1103">
        <f t="shared" si="396"/>
        <v>55000</v>
      </c>
      <c r="P1103">
        <f t="shared" si="396"/>
        <v>56650</v>
      </c>
      <c r="Q1103">
        <f t="shared" si="396"/>
        <v>58349.5</v>
      </c>
      <c r="R1103">
        <f t="shared" si="396"/>
        <v>60099.985000000001</v>
      </c>
      <c r="S1103">
        <f t="shared" si="396"/>
        <v>61902.984550000008</v>
      </c>
      <c r="T1103">
        <f t="shared" si="396"/>
        <v>63760.074086500004</v>
      </c>
      <c r="U1103">
        <f t="shared" si="396"/>
        <v>65672.876309095009</v>
      </c>
      <c r="V1103">
        <f t="shared" si="396"/>
        <v>67643.062598367862</v>
      </c>
    </row>
    <row r="1104" spans="2:22">
      <c r="B1104" s="28" t="s">
        <v>9</v>
      </c>
      <c r="C1104" s="28"/>
      <c r="D1104" s="28"/>
      <c r="E1104" s="28"/>
      <c r="F1104" s="28"/>
      <c r="G1104" s="28"/>
      <c r="H1104" s="28"/>
      <c r="I1104" s="48">
        <f>SUM(J1104:V1104)</f>
        <v>1338.1460297266131</v>
      </c>
      <c r="J1104" s="76">
        <f t="shared" ref="J1104:V1104" si="397">J1102*J1103/Billion*Month_Year</f>
        <v>0</v>
      </c>
      <c r="K1104" s="76">
        <f t="shared" si="397"/>
        <v>0</v>
      </c>
      <c r="L1104" s="76">
        <f t="shared" si="397"/>
        <v>0</v>
      </c>
      <c r="M1104" s="76">
        <f t="shared" si="397"/>
        <v>0</v>
      </c>
      <c r="N1104" s="76">
        <f t="shared" si="397"/>
        <v>0</v>
      </c>
      <c r="O1104" s="76">
        <f t="shared" si="397"/>
        <v>88</v>
      </c>
      <c r="P1104" s="76">
        <f t="shared" si="397"/>
        <v>163.15199999999999</v>
      </c>
      <c r="Q1104" s="76">
        <f t="shared" si="397"/>
        <v>168.04656</v>
      </c>
      <c r="R1104" s="76">
        <f t="shared" si="397"/>
        <v>173.0879568</v>
      </c>
      <c r="S1104" s="76">
        <f t="shared" si="397"/>
        <v>178.28059550400002</v>
      </c>
      <c r="T1104" s="76">
        <f t="shared" si="397"/>
        <v>183.62901336912</v>
      </c>
      <c r="U1104" s="76">
        <f t="shared" si="397"/>
        <v>189.13788377019364</v>
      </c>
      <c r="V1104" s="76">
        <f t="shared" si="397"/>
        <v>194.81202028329946</v>
      </c>
    </row>
    <row r="1105" spans="2:22">
      <c r="G1105"/>
      <c r="I1105" s="21"/>
      <c r="K1105" s="21"/>
      <c r="L1105" s="21"/>
      <c r="M1105" s="21"/>
      <c r="N1105" s="21"/>
      <c r="O1105">
        <f>O1101-1.6*Million</f>
        <v>792337.18037463259</v>
      </c>
    </row>
    <row r="1106" spans="2:22" ht="15.75">
      <c r="B1106" s="41" t="s">
        <v>611</v>
      </c>
      <c r="F1106" s="19">
        <v>2029</v>
      </c>
      <c r="G1106"/>
      <c r="I1106">
        <v>1</v>
      </c>
      <c r="J1106" s="77">
        <f>IF(J$8&lt;$F1106,0,IF(J$8=$F1106,1,I1106*(1+Input!K1166)*J$12))</f>
        <v>0</v>
      </c>
      <c r="K1106" s="77">
        <f>IF(K$8&lt;$F1106,0,IF(K$8=$F1106,1,J1106*(1+Input!L1166)*K$12))</f>
        <v>0</v>
      </c>
      <c r="L1106" s="77">
        <f>IF(L$8&lt;$F1106,0,IF(L$8=$F1106,1,K1106*(1+Input!M1166)*L$12))</f>
        <v>0</v>
      </c>
      <c r="M1106" s="77">
        <f>IF(M$8&lt;$F1106,0,IF(M$8=$F1106,1,L1106*(1+Input!N1166)*M$12))</f>
        <v>0</v>
      </c>
      <c r="N1106" s="77">
        <f>IF(N$8&lt;$F1106,0,IF(N$8=$F1106,1,M1106*(1+Input!O1166)*N$12))</f>
        <v>0</v>
      </c>
      <c r="O1106" s="77">
        <f>IF(O$8&lt;$F1106,0,IF(O$8=$F1106,1,N1106*(1+Input!P1166)*O$12))</f>
        <v>1</v>
      </c>
      <c r="P1106" s="77">
        <f>IF(P$8&lt;$F1106,0,IF(P$8=$F1106,1,O1106*(1+Input!Q1166)*P$12))</f>
        <v>1.03</v>
      </c>
      <c r="Q1106" s="77">
        <f>IF(Q$8&lt;$F1106,0,IF(Q$8=$F1106,1,P1106*(1+Input!R1166)*Q$12))</f>
        <v>1.0609</v>
      </c>
      <c r="R1106" s="77">
        <f>IF(R$8&lt;$F1106,0,IF(R$8=$F1106,1,Q1106*(1+Input!S1166)*R$12))</f>
        <v>1.092727</v>
      </c>
      <c r="S1106" s="77">
        <f>IF(S$8&lt;$F1106,0,IF(S$8=$F1106,1,R1106*(1+Input!T1166)*S$12))</f>
        <v>1.1255088100000001</v>
      </c>
      <c r="T1106" s="77">
        <f>IF(T$8&lt;$F1106,0,IF(T$8=$F1106,1,S1106*(1+Input!U1166)*T$12))</f>
        <v>1.1592740743000001</v>
      </c>
      <c r="U1106" s="77">
        <f>IF(U$8&lt;$F1106,0,IF(U$8=$F1106,1,T1106*(1+Input!V1166)*U$12))</f>
        <v>1.1940522965290001</v>
      </c>
      <c r="V1106" s="77">
        <f>IF(V$8&lt;$F1106,0,IF(V$8=$F1106,1,U1106*(1+Input!W1166)*V$12))</f>
        <v>1.2298738654248702</v>
      </c>
    </row>
    <row r="1107" spans="2:22" ht="15.75">
      <c r="B1107" s="41" t="s">
        <v>606</v>
      </c>
      <c r="G1107" s="17" t="s">
        <v>325</v>
      </c>
      <c r="J1107" s="21">
        <f>Input!K1159</f>
        <v>0</v>
      </c>
      <c r="K1107" s="21">
        <f>Input!L1159</f>
        <v>0</v>
      </c>
      <c r="L1107" s="21">
        <f>Input!M1159</f>
        <v>0</v>
      </c>
      <c r="M1107" s="39">
        <v>0.15</v>
      </c>
      <c r="N1107" s="39">
        <v>0.15</v>
      </c>
      <c r="O1107" s="39">
        <f t="shared" ref="O1107:T1107" si="398">N1107</f>
        <v>0.15</v>
      </c>
      <c r="P1107" s="39">
        <f t="shared" si="398"/>
        <v>0.15</v>
      </c>
      <c r="Q1107" s="39">
        <f t="shared" si="398"/>
        <v>0.15</v>
      </c>
      <c r="R1107" s="39">
        <f t="shared" si="398"/>
        <v>0.15</v>
      </c>
      <c r="S1107" s="39">
        <f t="shared" si="398"/>
        <v>0.15</v>
      </c>
      <c r="T1107" s="39">
        <f t="shared" si="398"/>
        <v>0.15</v>
      </c>
      <c r="U1107" s="39">
        <f>T1107</f>
        <v>0.15</v>
      </c>
      <c r="V1107" s="39">
        <f>U1107</f>
        <v>0.15</v>
      </c>
    </row>
    <row r="1108" spans="2:22">
      <c r="B1108" s="407" t="s">
        <v>607</v>
      </c>
      <c r="G1108" s="17" t="s">
        <v>608</v>
      </c>
      <c r="J1108">
        <f t="shared" ref="J1108:V1108" si="399">J27</f>
        <v>1602574.2089999998</v>
      </c>
      <c r="K1108">
        <f t="shared" si="399"/>
        <v>1650651.4352699998</v>
      </c>
      <c r="L1108">
        <f t="shared" si="399"/>
        <v>1700170.9783280997</v>
      </c>
      <c r="M1108">
        <f t="shared" si="399"/>
        <v>1751176.1076779428</v>
      </c>
      <c r="N1108">
        <f t="shared" si="399"/>
        <v>1803711.3909082813</v>
      </c>
      <c r="O1108">
        <f t="shared" si="399"/>
        <v>1857822.7326355297</v>
      </c>
      <c r="P1108">
        <f t="shared" si="399"/>
        <v>1913557.4146145957</v>
      </c>
      <c r="Q1108">
        <f t="shared" si="399"/>
        <v>1970964.1370530336</v>
      </c>
      <c r="R1108">
        <f t="shared" si="399"/>
        <v>2030093.0611646248</v>
      </c>
      <c r="S1108">
        <f t="shared" si="399"/>
        <v>2090995.8529995636</v>
      </c>
      <c r="T1108">
        <f t="shared" si="399"/>
        <v>2153725.7285895501</v>
      </c>
      <c r="U1108">
        <f t="shared" si="399"/>
        <v>2218337.5004472369</v>
      </c>
      <c r="V1108">
        <f t="shared" si="399"/>
        <v>2284887.625460654</v>
      </c>
    </row>
    <row r="1109" spans="2:22">
      <c r="B1109" s="407" t="s">
        <v>609</v>
      </c>
      <c r="G1109" s="17" t="s">
        <v>608</v>
      </c>
      <c r="J1109">
        <f>J1108*J1107*0+J1114/12</f>
        <v>0</v>
      </c>
      <c r="K1109">
        <f>K1108*K1107*0+K1114/12</f>
        <v>0</v>
      </c>
      <c r="L1109">
        <f>L1108*L1107*0+L1114/12</f>
        <v>0</v>
      </c>
      <c r="M1109" s="19">
        <f>1*Million/Month_Year</f>
        <v>83333.333333333328</v>
      </c>
      <c r="N1109" s="19">
        <f>1.6*Million/Month_Year</f>
        <v>133333.33333333334</v>
      </c>
      <c r="O1109" s="19">
        <f>(O1108-0.3*Million)*70%/12</f>
        <v>90872.992737072564</v>
      </c>
      <c r="P1109" s="19">
        <v>208000</v>
      </c>
      <c r="Q1109" s="19">
        <f t="shared" ref="Q1109:V1109" si="400">P1109</f>
        <v>208000</v>
      </c>
      <c r="R1109" s="19">
        <f t="shared" si="400"/>
        <v>208000</v>
      </c>
      <c r="S1109" s="19">
        <f t="shared" si="400"/>
        <v>208000</v>
      </c>
      <c r="T1109" s="19">
        <f t="shared" si="400"/>
        <v>208000</v>
      </c>
      <c r="U1109" s="19">
        <f t="shared" si="400"/>
        <v>208000</v>
      </c>
      <c r="V1109" s="19">
        <f t="shared" si="400"/>
        <v>208000</v>
      </c>
    </row>
    <row r="1110" spans="2:22">
      <c r="B1110" s="407" t="s">
        <v>465</v>
      </c>
      <c r="F1110" s="6">
        <f>Input!P1164</f>
        <v>65000</v>
      </c>
      <c r="G1110" s="17" t="s">
        <v>610</v>
      </c>
      <c r="J1110">
        <f>$F$1110*J1106</f>
        <v>0</v>
      </c>
      <c r="K1110">
        <f t="shared" ref="K1110:V1110" si="401">$F$1110*K1106</f>
        <v>0</v>
      </c>
      <c r="L1110">
        <f t="shared" si="401"/>
        <v>0</v>
      </c>
      <c r="M1110">
        <f t="shared" si="401"/>
        <v>0</v>
      </c>
      <c r="N1110">
        <f t="shared" si="401"/>
        <v>0</v>
      </c>
      <c r="O1110">
        <f t="shared" si="401"/>
        <v>65000</v>
      </c>
      <c r="P1110">
        <f t="shared" si="401"/>
        <v>66950</v>
      </c>
      <c r="Q1110">
        <f t="shared" si="401"/>
        <v>68958.5</v>
      </c>
      <c r="R1110">
        <f t="shared" si="401"/>
        <v>71027.255000000005</v>
      </c>
      <c r="S1110">
        <f t="shared" si="401"/>
        <v>73158.072650000002</v>
      </c>
      <c r="T1110">
        <f t="shared" si="401"/>
        <v>75352.814829499999</v>
      </c>
      <c r="U1110">
        <f t="shared" si="401"/>
        <v>77613.39927438501</v>
      </c>
      <c r="V1110">
        <f t="shared" si="401"/>
        <v>79941.801252616569</v>
      </c>
    </row>
    <row r="1111" spans="2:22">
      <c r="B1111" s="28" t="s">
        <v>9</v>
      </c>
      <c r="C1111" s="28"/>
      <c r="D1111" s="28"/>
      <c r="E1111" s="28"/>
      <c r="F1111" s="28"/>
      <c r="G1111" s="28"/>
      <c r="H1111" s="28"/>
      <c r="I1111" s="48">
        <f>SUM(J1111:V1111)</f>
        <v>1351.3335344791444</v>
      </c>
      <c r="J1111" s="76">
        <f t="shared" ref="J1111:V1111" si="402">J1110*J1109/Billion*Month_Year</f>
        <v>0</v>
      </c>
      <c r="K1111" s="76">
        <f t="shared" si="402"/>
        <v>0</v>
      </c>
      <c r="L1111" s="76">
        <f t="shared" si="402"/>
        <v>0</v>
      </c>
      <c r="M1111" s="76">
        <f t="shared" si="402"/>
        <v>0</v>
      </c>
      <c r="N1111" s="76">
        <f t="shared" si="402"/>
        <v>0</v>
      </c>
      <c r="O1111" s="76">
        <f t="shared" si="402"/>
        <v>70.880934334916603</v>
      </c>
      <c r="P1111" s="76">
        <f t="shared" si="402"/>
        <v>167.10719999999998</v>
      </c>
      <c r="Q1111" s="76">
        <f t="shared" si="402"/>
        <v>172.12041600000001</v>
      </c>
      <c r="R1111" s="76">
        <f t="shared" si="402"/>
        <v>177.28402848000002</v>
      </c>
      <c r="S1111" s="76">
        <f t="shared" si="402"/>
        <v>182.60254933440001</v>
      </c>
      <c r="T1111" s="76">
        <f t="shared" si="402"/>
        <v>188.08062581443198</v>
      </c>
      <c r="U1111" s="76">
        <f t="shared" si="402"/>
        <v>193.72304458886498</v>
      </c>
      <c r="V1111" s="76">
        <f t="shared" si="402"/>
        <v>199.53473592653097</v>
      </c>
    </row>
    <row r="1112" spans="2:22">
      <c r="G1112"/>
      <c r="I1112" s="21"/>
      <c r="K1112" s="21"/>
      <c r="L1112" s="21"/>
      <c r="M1112" s="21"/>
      <c r="N1112" s="21"/>
      <c r="O1112">
        <f>O1102*12</f>
        <v>1600000</v>
      </c>
      <c r="P1112">
        <f t="shared" ref="P1112:V1112" si="403">P1102*12</f>
        <v>2880000</v>
      </c>
      <c r="Q1112">
        <f t="shared" si="403"/>
        <v>2880000</v>
      </c>
      <c r="R1112">
        <f t="shared" si="403"/>
        <v>2880000</v>
      </c>
      <c r="S1112">
        <f t="shared" si="403"/>
        <v>2880000</v>
      </c>
      <c r="T1112">
        <f t="shared" si="403"/>
        <v>2880000</v>
      </c>
      <c r="U1112">
        <f t="shared" si="403"/>
        <v>2880000</v>
      </c>
      <c r="V1112">
        <f t="shared" si="403"/>
        <v>2880000</v>
      </c>
    </row>
    <row r="1113" spans="2:22" ht="15.75">
      <c r="B1113" s="41" t="s">
        <v>612</v>
      </c>
      <c r="F1113" s="19">
        <v>2029</v>
      </c>
      <c r="G1113"/>
      <c r="I1113">
        <v>1</v>
      </c>
      <c r="J1113" s="70">
        <f>IF(J$8&lt;$F1113,0,IF(J$8=$F1113,1,I1113*(1+Input!K1143)*J$12))</f>
        <v>0</v>
      </c>
      <c r="K1113" s="70">
        <f>IF(K$8&lt;$F1113,0,IF(K$8=$F1113,1,J1113*(1+Input!L1143)*K$12))</f>
        <v>0</v>
      </c>
      <c r="L1113" s="70">
        <f>L1106</f>
        <v>0</v>
      </c>
      <c r="M1113" s="70">
        <f t="shared" ref="M1113:V1113" si="404">M1106</f>
        <v>0</v>
      </c>
      <c r="N1113" s="70">
        <f t="shared" si="404"/>
        <v>0</v>
      </c>
      <c r="O1113" s="70">
        <f t="shared" si="404"/>
        <v>1</v>
      </c>
      <c r="P1113" s="70">
        <f t="shared" si="404"/>
        <v>1.03</v>
      </c>
      <c r="Q1113" s="70">
        <f t="shared" si="404"/>
        <v>1.0609</v>
      </c>
      <c r="R1113" s="70">
        <f t="shared" si="404"/>
        <v>1.092727</v>
      </c>
      <c r="S1113" s="70">
        <f t="shared" si="404"/>
        <v>1.1255088100000001</v>
      </c>
      <c r="T1113" s="70">
        <f t="shared" si="404"/>
        <v>1.1592740743000001</v>
      </c>
      <c r="U1113" s="70">
        <f t="shared" si="404"/>
        <v>1.1940522965290001</v>
      </c>
      <c r="V1113" s="70">
        <f t="shared" si="404"/>
        <v>1.2298738654248702</v>
      </c>
    </row>
    <row r="1114" spans="2:22">
      <c r="B1114" s="407" t="s">
        <v>407</v>
      </c>
      <c r="F1114" s="16">
        <f>Input!K1148</f>
        <v>0</v>
      </c>
      <c r="G1114" s="17" t="s">
        <v>315</v>
      </c>
      <c r="J1114">
        <f>J1102*Month_Year</f>
        <v>0</v>
      </c>
      <c r="K1114">
        <f t="shared" ref="K1114:V1114" si="405">K1102*Month_Year</f>
        <v>0</v>
      </c>
      <c r="L1114">
        <f t="shared" si="405"/>
        <v>0</v>
      </c>
      <c r="M1114">
        <f t="shared" si="405"/>
        <v>1600000</v>
      </c>
      <c r="N1114">
        <f t="shared" si="405"/>
        <v>1600000</v>
      </c>
      <c r="O1114">
        <f t="shared" si="405"/>
        <v>1600000</v>
      </c>
      <c r="P1114">
        <f t="shared" si="405"/>
        <v>2880000</v>
      </c>
      <c r="Q1114">
        <f t="shared" si="405"/>
        <v>2880000</v>
      </c>
      <c r="R1114">
        <f t="shared" si="405"/>
        <v>2880000</v>
      </c>
      <c r="S1114">
        <f t="shared" si="405"/>
        <v>2880000</v>
      </c>
      <c r="T1114">
        <f t="shared" si="405"/>
        <v>2880000</v>
      </c>
      <c r="U1114">
        <f t="shared" si="405"/>
        <v>2880000</v>
      </c>
      <c r="V1114">
        <f t="shared" si="405"/>
        <v>2880000</v>
      </c>
    </row>
    <row r="1115" spans="2:22">
      <c r="B1115" s="407" t="s">
        <v>465</v>
      </c>
      <c r="J1115">
        <f>Input!K1177*J1113</f>
        <v>0</v>
      </c>
      <c r="K1115">
        <f>Input!L1177*K1113</f>
        <v>0</v>
      </c>
      <c r="L1115">
        <f>Input!M1177*L1113</f>
        <v>0</v>
      </c>
      <c r="M1115">
        <f>Input!N1177*M1113</f>
        <v>0</v>
      </c>
      <c r="N1115">
        <f>Input!O1177*N1113</f>
        <v>0</v>
      </c>
      <c r="O1115">
        <f>Input!P1177*O1113</f>
        <v>15000</v>
      </c>
      <c r="P1115">
        <f>Input!Q1177*P1113</f>
        <v>15450</v>
      </c>
      <c r="Q1115">
        <f>Input!R1177*Q1113</f>
        <v>15913.5</v>
      </c>
      <c r="R1115">
        <f>Input!S1177*R1113</f>
        <v>16390.904999999999</v>
      </c>
      <c r="S1115">
        <f>Input!T1177*S1113</f>
        <v>16882.632150000001</v>
      </c>
      <c r="T1115">
        <f>Input!U1177*T1113</f>
        <v>17389.1111145</v>
      </c>
      <c r="U1115">
        <f>Input!V1177*U1113</f>
        <v>17910.784447935002</v>
      </c>
      <c r="V1115">
        <f>Input!W1177*V1113</f>
        <v>18448.107981373054</v>
      </c>
    </row>
    <row r="1116" spans="2:22">
      <c r="B1116" s="28" t="s">
        <v>9</v>
      </c>
      <c r="C1116" s="28"/>
      <c r="D1116" s="28"/>
      <c r="E1116" s="28"/>
      <c r="F1116" s="28"/>
      <c r="G1116" s="28"/>
      <c r="H1116" s="28"/>
      <c r="I1116" s="48">
        <f>SUM(J1116:V1116)</f>
        <v>364.94891719816724</v>
      </c>
      <c r="J1116" s="76">
        <f>J1114*J1115/Billion</f>
        <v>0</v>
      </c>
      <c r="K1116" s="76">
        <f t="shared" ref="K1116:V1116" si="406">K1114*K1115/Billion</f>
        <v>0</v>
      </c>
      <c r="L1116" s="76">
        <f t="shared" si="406"/>
        <v>0</v>
      </c>
      <c r="M1116" s="76">
        <f t="shared" si="406"/>
        <v>0</v>
      </c>
      <c r="N1116" s="76">
        <f t="shared" si="406"/>
        <v>0</v>
      </c>
      <c r="O1116" s="76">
        <f t="shared" si="406"/>
        <v>24</v>
      </c>
      <c r="P1116" s="76">
        <f t="shared" si="406"/>
        <v>44.496000000000002</v>
      </c>
      <c r="Q1116" s="76">
        <f t="shared" si="406"/>
        <v>45.830880000000001</v>
      </c>
      <c r="R1116" s="76">
        <f t="shared" si="406"/>
        <v>47.2058064</v>
      </c>
      <c r="S1116" s="76">
        <f t="shared" si="406"/>
        <v>48.621980592</v>
      </c>
      <c r="T1116" s="76">
        <f t="shared" si="406"/>
        <v>50.080640009760003</v>
      </c>
      <c r="U1116" s="76">
        <f t="shared" si="406"/>
        <v>51.583059210052809</v>
      </c>
      <c r="V1116" s="76">
        <f t="shared" si="406"/>
        <v>53.130550986354393</v>
      </c>
    </row>
    <row r="1117" spans="2:22">
      <c r="G1117"/>
      <c r="I1117" s="21"/>
      <c r="K1117" s="21"/>
      <c r="L1117" s="21"/>
      <c r="M1117" s="21"/>
      <c r="N1117" s="21"/>
    </row>
    <row r="1118" spans="2:22">
      <c r="G1118"/>
      <c r="I1118" s="21"/>
      <c r="K1118" s="21"/>
      <c r="L1118" s="21"/>
      <c r="M1118" s="21"/>
      <c r="N1118" s="21"/>
    </row>
    <row r="1119" spans="2:22">
      <c r="B1119" t="s">
        <v>578</v>
      </c>
      <c r="G1119"/>
      <c r="I1119" s="21"/>
      <c r="J1119" s="23">
        <f t="shared" ref="J1119:V1119" si="407">SUM(J1097,J1104,J1111,J1116)</f>
        <v>0</v>
      </c>
      <c r="K1119" s="23">
        <f t="shared" si="407"/>
        <v>0</v>
      </c>
      <c r="L1119" s="23">
        <f t="shared" si="407"/>
        <v>0</v>
      </c>
      <c r="M1119" s="23">
        <f t="shared" si="407"/>
        <v>0</v>
      </c>
      <c r="N1119" s="23">
        <f t="shared" si="407"/>
        <v>0</v>
      </c>
      <c r="O1119" s="23">
        <f t="shared" si="407"/>
        <v>182.88093433491662</v>
      </c>
      <c r="P1119" s="23">
        <f t="shared" si="407"/>
        <v>374.75519999999995</v>
      </c>
      <c r="Q1119" s="23">
        <f t="shared" si="407"/>
        <v>385.99785599999996</v>
      </c>
      <c r="R1119" s="23">
        <f t="shared" si="407"/>
        <v>397.57779168000002</v>
      </c>
      <c r="S1119" s="23">
        <f t="shared" si="407"/>
        <v>409.50512543040003</v>
      </c>
      <c r="T1119" s="23">
        <f t="shared" si="407"/>
        <v>421.79027919331202</v>
      </c>
      <c r="U1119" s="23">
        <f t="shared" si="407"/>
        <v>434.44398756911141</v>
      </c>
      <c r="V1119" s="23">
        <f t="shared" si="407"/>
        <v>447.47730719618482</v>
      </c>
    </row>
    <row r="1120" spans="2:22">
      <c r="G1120"/>
      <c r="I1120" s="21"/>
    </row>
    <row r="1121" spans="2:22" ht="15.75">
      <c r="B1121" s="15" t="s">
        <v>613</v>
      </c>
      <c r="G1121"/>
      <c r="I1121" s="21"/>
      <c r="J1121">
        <f>SUM(J1128,J1133,J1138)</f>
        <v>0</v>
      </c>
      <c r="K1121">
        <f t="shared" ref="K1121:V1121" si="408">SUM(K1128,K1133,K1138)</f>
        <v>0</v>
      </c>
      <c r="L1121">
        <f t="shared" si="408"/>
        <v>0</v>
      </c>
      <c r="M1121">
        <f>SUM(M1128,M1133,M1138)*0.5</f>
        <v>18.716250000000006</v>
      </c>
      <c r="N1121">
        <f t="shared" si="408"/>
        <v>37.432500000000012</v>
      </c>
      <c r="O1121">
        <f t="shared" si="408"/>
        <v>37.432500000000012</v>
      </c>
      <c r="P1121">
        <f t="shared" si="408"/>
        <v>37.432500000000012</v>
      </c>
      <c r="Q1121">
        <f t="shared" si="408"/>
        <v>37.432500000000012</v>
      </c>
      <c r="R1121">
        <f t="shared" si="408"/>
        <v>37.432500000000012</v>
      </c>
      <c r="S1121">
        <f t="shared" si="408"/>
        <v>37.432500000000012</v>
      </c>
      <c r="T1121">
        <f t="shared" si="408"/>
        <v>37.432500000000012</v>
      </c>
      <c r="U1121">
        <f t="shared" si="408"/>
        <v>37.432500000000012</v>
      </c>
      <c r="V1121">
        <f t="shared" si="408"/>
        <v>37.432500000000012</v>
      </c>
    </row>
    <row r="1122" spans="2:22" ht="15.75">
      <c r="B1122" s="15" t="s">
        <v>45</v>
      </c>
      <c r="G1122"/>
      <c r="I1122" s="21"/>
      <c r="J1122">
        <f>IF(J1123&gt;0%,1,0)</f>
        <v>0</v>
      </c>
      <c r="K1122">
        <f t="shared" ref="K1122:V1122" si="409">IF(K1123&gt;0%,1,0)</f>
        <v>0</v>
      </c>
      <c r="L1122">
        <f t="shared" si="409"/>
        <v>0</v>
      </c>
      <c r="M1122">
        <f t="shared" si="409"/>
        <v>1</v>
      </c>
      <c r="N1122">
        <f t="shared" si="409"/>
        <v>1</v>
      </c>
      <c r="O1122">
        <f t="shared" si="409"/>
        <v>1</v>
      </c>
      <c r="P1122">
        <f t="shared" si="409"/>
        <v>1</v>
      </c>
      <c r="Q1122">
        <f t="shared" si="409"/>
        <v>1</v>
      </c>
      <c r="R1122">
        <f t="shared" si="409"/>
        <v>1</v>
      </c>
      <c r="S1122">
        <f t="shared" si="409"/>
        <v>1</v>
      </c>
      <c r="T1122">
        <f t="shared" si="409"/>
        <v>1</v>
      </c>
      <c r="U1122">
        <f t="shared" si="409"/>
        <v>1</v>
      </c>
      <c r="V1122">
        <f t="shared" si="409"/>
        <v>1</v>
      </c>
    </row>
    <row r="1123" spans="2:22" ht="15.75">
      <c r="B1123" s="41" t="s">
        <v>614</v>
      </c>
      <c r="G1123"/>
      <c r="I1123" s="21"/>
      <c r="J1123" s="74">
        <f>Input!K1202</f>
        <v>0</v>
      </c>
      <c r="K1123" s="21">
        <f>Input!L1202</f>
        <v>0</v>
      </c>
      <c r="L1123" s="21">
        <f>Input!M1202</f>
        <v>0</v>
      </c>
      <c r="M1123" s="74">
        <f>Input!N1202</f>
        <v>1</v>
      </c>
      <c r="N1123" s="74">
        <f>Input!O1202</f>
        <v>1</v>
      </c>
      <c r="O1123" s="74">
        <f>Input!P1202</f>
        <v>1</v>
      </c>
      <c r="P1123" s="21">
        <f>Input!Q1202</f>
        <v>1</v>
      </c>
      <c r="Q1123" s="21">
        <f>Input!R1202</f>
        <v>1</v>
      </c>
      <c r="R1123" s="21">
        <f>Input!S1202</f>
        <v>1</v>
      </c>
      <c r="S1123" s="21">
        <f>Input!T1202</f>
        <v>1</v>
      </c>
      <c r="T1123" s="74">
        <f>Input!U1202</f>
        <v>1</v>
      </c>
      <c r="U1123" s="21">
        <f>Input!V1202</f>
        <v>1</v>
      </c>
      <c r="V1123" s="21">
        <f>Input!W1202</f>
        <v>1</v>
      </c>
    </row>
    <row r="1124" spans="2:22">
      <c r="G1124"/>
    </row>
    <row r="1125" spans="2:22">
      <c r="B1125" s="2" t="s">
        <v>615</v>
      </c>
      <c r="E1125" s="58" t="s">
        <v>514</v>
      </c>
      <c r="F1125" s="58" t="s">
        <v>515</v>
      </c>
      <c r="G1125"/>
      <c r="I1125" s="22"/>
    </row>
    <row r="1126" spans="2:22">
      <c r="B1126" s="407" t="s">
        <v>516</v>
      </c>
      <c r="E1126" s="6">
        <f>Input!J1197</f>
        <v>90</v>
      </c>
      <c r="F1126" s="30">
        <f>Input!M1186</f>
        <v>40.024592683676609</v>
      </c>
      <c r="G1126" s="17" t="s">
        <v>176</v>
      </c>
      <c r="H1126">
        <f>F1126*USD_IDR/Thousands</f>
        <v>651</v>
      </c>
    </row>
    <row r="1127" spans="2:22">
      <c r="B1127" s="407" t="s">
        <v>517</v>
      </c>
      <c r="F1127" s="74">
        <f>Input!J1193</f>
        <v>0</v>
      </c>
      <c r="G1127" s="17" t="s">
        <v>315</v>
      </c>
    </row>
    <row r="1128" spans="2:22">
      <c r="B1128" s="28" t="s">
        <v>476</v>
      </c>
      <c r="C1128" s="28"/>
      <c r="D1128" s="28"/>
      <c r="E1128" s="28"/>
      <c r="F1128" s="28"/>
      <c r="G1128" s="28"/>
      <c r="H1128" s="28"/>
      <c r="I1128" s="49">
        <f>SUM(J1128:V1128)</f>
        <v>0</v>
      </c>
      <c r="J1128" s="47">
        <f t="shared" ref="J1128:V1128" si="410">($F1126*$F1127*Million)/$E1126*USD_IDR/Billion*J1123</f>
        <v>0</v>
      </c>
      <c r="K1128" s="47">
        <f t="shared" si="410"/>
        <v>0</v>
      </c>
      <c r="L1128" s="47">
        <f t="shared" si="410"/>
        <v>0</v>
      </c>
      <c r="M1128" s="47">
        <f t="shared" si="410"/>
        <v>0</v>
      </c>
      <c r="N1128" s="47">
        <f t="shared" si="410"/>
        <v>0</v>
      </c>
      <c r="O1128" s="47">
        <f t="shared" si="410"/>
        <v>0</v>
      </c>
      <c r="P1128" s="47">
        <f t="shared" si="410"/>
        <v>0</v>
      </c>
      <c r="Q1128" s="47">
        <f t="shared" si="410"/>
        <v>0</v>
      </c>
      <c r="R1128" s="47">
        <f t="shared" si="410"/>
        <v>0</v>
      </c>
      <c r="S1128" s="47">
        <f t="shared" si="410"/>
        <v>0</v>
      </c>
      <c r="T1128" s="47">
        <f t="shared" si="410"/>
        <v>0</v>
      </c>
      <c r="U1128" s="47">
        <f t="shared" si="410"/>
        <v>0</v>
      </c>
      <c r="V1128" s="47">
        <f t="shared" si="410"/>
        <v>0</v>
      </c>
    </row>
    <row r="1129" spans="2:22">
      <c r="G1129"/>
    </row>
    <row r="1130" spans="2:22">
      <c r="B1130" s="2" t="s">
        <v>616</v>
      </c>
      <c r="E1130" s="58" t="s">
        <v>514</v>
      </c>
      <c r="F1130" s="58" t="s">
        <v>515</v>
      </c>
      <c r="G1130"/>
      <c r="I1130" s="22"/>
    </row>
    <row r="1131" spans="2:22">
      <c r="B1131" s="407" t="s">
        <v>516</v>
      </c>
      <c r="E1131" s="16">
        <f>Input!J1198</f>
        <v>20</v>
      </c>
      <c r="F1131" s="30">
        <f>F1126</f>
        <v>40.024592683676609</v>
      </c>
      <c r="G1131" s="17" t="s">
        <v>315</v>
      </c>
    </row>
    <row r="1132" spans="2:22">
      <c r="B1132" s="407" t="s">
        <v>517</v>
      </c>
      <c r="F1132" s="21">
        <f>Input!J1194</f>
        <v>0.9</v>
      </c>
      <c r="G1132" s="17" t="s">
        <v>315</v>
      </c>
    </row>
    <row r="1133" spans="2:22">
      <c r="B1133" s="28" t="s">
        <v>476</v>
      </c>
      <c r="C1133" s="28"/>
      <c r="D1133" s="28"/>
      <c r="E1133" s="28"/>
      <c r="F1133" s="28"/>
      <c r="G1133" s="28"/>
      <c r="H1133" s="28"/>
      <c r="I1133" s="49">
        <f>SUM(J1133:V1133)</f>
        <v>292.9500000000001</v>
      </c>
      <c r="J1133" s="47">
        <f t="shared" ref="J1133:V1133" si="411">($F1131*$F1132*Million)/$E1131*USD_IDR/Billion*J1123</f>
        <v>0</v>
      </c>
      <c r="K1133" s="47">
        <f t="shared" si="411"/>
        <v>0</v>
      </c>
      <c r="L1133" s="47">
        <f t="shared" si="411"/>
        <v>0</v>
      </c>
      <c r="M1133" s="47">
        <f t="shared" si="411"/>
        <v>29.295000000000009</v>
      </c>
      <c r="N1133" s="47">
        <f t="shared" si="411"/>
        <v>29.295000000000009</v>
      </c>
      <c r="O1133" s="47">
        <f t="shared" si="411"/>
        <v>29.295000000000009</v>
      </c>
      <c r="P1133" s="47">
        <f t="shared" si="411"/>
        <v>29.295000000000009</v>
      </c>
      <c r="Q1133" s="47">
        <f t="shared" si="411"/>
        <v>29.295000000000009</v>
      </c>
      <c r="R1133" s="47">
        <f t="shared" si="411"/>
        <v>29.295000000000009</v>
      </c>
      <c r="S1133" s="47">
        <f t="shared" si="411"/>
        <v>29.295000000000009</v>
      </c>
      <c r="T1133" s="47">
        <f t="shared" si="411"/>
        <v>29.295000000000009</v>
      </c>
      <c r="U1133" s="47">
        <f t="shared" si="411"/>
        <v>29.295000000000009</v>
      </c>
      <c r="V1133" s="47">
        <f t="shared" si="411"/>
        <v>29.295000000000009</v>
      </c>
    </row>
    <row r="1134" spans="2:22">
      <c r="G1134"/>
    </row>
    <row r="1135" spans="2:22">
      <c r="B1135" s="2" t="s">
        <v>617</v>
      </c>
      <c r="E1135" s="58" t="s">
        <v>514</v>
      </c>
      <c r="F1135" s="58" t="s">
        <v>515</v>
      </c>
      <c r="G1135"/>
      <c r="I1135" s="22"/>
    </row>
    <row r="1136" spans="2:22">
      <c r="B1136" s="407" t="s">
        <v>516</v>
      </c>
      <c r="E1136" s="16">
        <f>Input!J1199</f>
        <v>8</v>
      </c>
      <c r="F1136" s="30">
        <f>F1131</f>
        <v>40.024592683676609</v>
      </c>
      <c r="G1136" s="17" t="s">
        <v>315</v>
      </c>
    </row>
    <row r="1137" spans="2:22">
      <c r="B1137" s="407" t="s">
        <v>517</v>
      </c>
      <c r="F1137" s="21">
        <f>Input!J1195</f>
        <v>0.1</v>
      </c>
      <c r="G1137" s="17" t="s">
        <v>315</v>
      </c>
    </row>
    <row r="1138" spans="2:22">
      <c r="B1138" s="28" t="s">
        <v>476</v>
      </c>
      <c r="C1138" s="28"/>
      <c r="D1138" s="28"/>
      <c r="E1138" s="28"/>
      <c r="F1138" s="28"/>
      <c r="G1138" s="28"/>
      <c r="H1138" s="28"/>
      <c r="I1138" s="49">
        <f>SUM(J1138:V1138)</f>
        <v>81.375000000000014</v>
      </c>
      <c r="J1138" s="47">
        <f t="shared" ref="J1138:V1138" si="412">($F1136*$F1137*Million)/$E1136*USD_IDR/Billion*J1123</f>
        <v>0</v>
      </c>
      <c r="K1138" s="47">
        <f t="shared" si="412"/>
        <v>0</v>
      </c>
      <c r="L1138" s="47">
        <f t="shared" si="412"/>
        <v>0</v>
      </c>
      <c r="M1138" s="47">
        <f t="shared" si="412"/>
        <v>8.1375000000000011</v>
      </c>
      <c r="N1138" s="47">
        <f t="shared" si="412"/>
        <v>8.1375000000000011</v>
      </c>
      <c r="O1138" s="47">
        <f t="shared" si="412"/>
        <v>8.1375000000000011</v>
      </c>
      <c r="P1138" s="47">
        <f t="shared" si="412"/>
        <v>8.1375000000000011</v>
      </c>
      <c r="Q1138" s="47">
        <f t="shared" si="412"/>
        <v>8.1375000000000011</v>
      </c>
      <c r="R1138" s="47">
        <f t="shared" si="412"/>
        <v>8.1375000000000011</v>
      </c>
      <c r="S1138" s="47">
        <f t="shared" si="412"/>
        <v>8.1375000000000011</v>
      </c>
      <c r="T1138" s="47">
        <f t="shared" si="412"/>
        <v>8.1375000000000011</v>
      </c>
      <c r="U1138" s="47">
        <f t="shared" si="412"/>
        <v>8.1375000000000011</v>
      </c>
      <c r="V1138" s="47">
        <f t="shared" si="412"/>
        <v>8.1375000000000011</v>
      </c>
    </row>
    <row r="1139" spans="2:22">
      <c r="G1139"/>
    </row>
    <row r="1140" spans="2:22">
      <c r="B1140" s="2" t="s">
        <v>473</v>
      </c>
      <c r="G1140"/>
      <c r="J1140">
        <f>SUM(J1144,J1149)</f>
        <v>0</v>
      </c>
      <c r="K1140">
        <f t="shared" ref="K1140:V1140" si="413">SUM(K1144,K1149)</f>
        <v>0</v>
      </c>
      <c r="L1140">
        <f t="shared" si="413"/>
        <v>0</v>
      </c>
      <c r="M1140">
        <f t="shared" si="413"/>
        <v>0</v>
      </c>
      <c r="N1140">
        <f t="shared" si="413"/>
        <v>0</v>
      </c>
      <c r="O1140">
        <f t="shared" si="413"/>
        <v>52.497043603563398</v>
      </c>
      <c r="P1140">
        <f t="shared" si="413"/>
        <v>108.18658652066927</v>
      </c>
      <c r="Q1140">
        <f t="shared" si="413"/>
        <v>111.59009342059407</v>
      </c>
      <c r="R1140">
        <f t="shared" si="413"/>
        <v>114.81897488120832</v>
      </c>
      <c r="S1140">
        <f t="shared" si="413"/>
        <v>118.43583608264599</v>
      </c>
      <c r="T1140">
        <f t="shared" si="413"/>
        <v>122.17163078673534</v>
      </c>
      <c r="U1140">
        <f t="shared" si="413"/>
        <v>126.03055049964128</v>
      </c>
      <c r="V1140">
        <f t="shared" si="413"/>
        <v>130.01695032579687</v>
      </c>
    </row>
    <row r="1141" spans="2:22">
      <c r="B1141" s="2" t="s">
        <v>618</v>
      </c>
      <c r="G1141"/>
    </row>
    <row r="1142" spans="2:22">
      <c r="B1142" s="407" t="s">
        <v>619</v>
      </c>
      <c r="G1142" s="17" t="s">
        <v>315</v>
      </c>
      <c r="J1142">
        <f t="shared" ref="J1142:V1142" si="414">SUM(J1104,J1111)</f>
        <v>0</v>
      </c>
      <c r="K1142">
        <f t="shared" si="414"/>
        <v>0</v>
      </c>
      <c r="L1142">
        <f t="shared" si="414"/>
        <v>0</v>
      </c>
      <c r="M1142">
        <f t="shared" si="414"/>
        <v>0</v>
      </c>
      <c r="N1142">
        <f t="shared" si="414"/>
        <v>0</v>
      </c>
      <c r="O1142">
        <f t="shared" si="414"/>
        <v>158.88093433491662</v>
      </c>
      <c r="P1142">
        <f t="shared" si="414"/>
        <v>330.25919999999996</v>
      </c>
      <c r="Q1142">
        <f t="shared" si="414"/>
        <v>340.16697599999998</v>
      </c>
      <c r="R1142">
        <f t="shared" si="414"/>
        <v>350.37198527999999</v>
      </c>
      <c r="S1142">
        <f t="shared" si="414"/>
        <v>360.88314483840003</v>
      </c>
      <c r="T1142">
        <f t="shared" si="414"/>
        <v>371.70963918355199</v>
      </c>
      <c r="U1142">
        <f t="shared" si="414"/>
        <v>382.86092835905862</v>
      </c>
      <c r="V1142">
        <f t="shared" si="414"/>
        <v>394.34675620983046</v>
      </c>
    </row>
    <row r="1143" spans="2:22">
      <c r="B1143" s="407" t="s">
        <v>620</v>
      </c>
      <c r="G1143" s="17" t="s">
        <v>325</v>
      </c>
      <c r="J1143" s="74">
        <f>Input!K1207</f>
        <v>0</v>
      </c>
      <c r="K1143" s="21">
        <f>Input!L1207</f>
        <v>0.3</v>
      </c>
      <c r="L1143" s="21">
        <f>Input!M1207</f>
        <v>0.3</v>
      </c>
      <c r="M1143" s="21">
        <f>Input!N1207</f>
        <v>0.3</v>
      </c>
      <c r="N1143" s="74">
        <f>Input!O1207</f>
        <v>0.3</v>
      </c>
      <c r="O1143" s="21">
        <f>Input!P1207</f>
        <v>0.3</v>
      </c>
      <c r="P1143" s="21">
        <f>Input!Q1207</f>
        <v>0.3</v>
      </c>
      <c r="Q1143" s="21">
        <f>Input!R1207</f>
        <v>0.3</v>
      </c>
      <c r="R1143" s="21">
        <f>Input!S1207</f>
        <v>0.3</v>
      </c>
      <c r="S1143" s="21">
        <f>Input!T1207</f>
        <v>0.3</v>
      </c>
      <c r="T1143" s="21">
        <f>Input!U1207</f>
        <v>0.3</v>
      </c>
      <c r="U1143" s="21">
        <f>Input!V1207</f>
        <v>0.3</v>
      </c>
      <c r="V1143" s="21">
        <f>Input!W1207</f>
        <v>0.3</v>
      </c>
    </row>
    <row r="1144" spans="2:22">
      <c r="B1144" s="28" t="s">
        <v>618</v>
      </c>
      <c r="C1144" s="28"/>
      <c r="D1144" s="28"/>
      <c r="E1144" s="28"/>
      <c r="F1144" s="28"/>
      <c r="G1144" s="28"/>
      <c r="H1144" s="28"/>
      <c r="I1144" s="28"/>
      <c r="J1144" s="47">
        <f>J1143*J1142</f>
        <v>0</v>
      </c>
      <c r="K1144" s="47">
        <f t="shared" ref="K1144:V1144" si="415">K1143*K1142</f>
        <v>0</v>
      </c>
      <c r="L1144" s="47">
        <f t="shared" si="415"/>
        <v>0</v>
      </c>
      <c r="M1144" s="47">
        <f t="shared" si="415"/>
        <v>0</v>
      </c>
      <c r="N1144" s="47">
        <f t="shared" si="415"/>
        <v>0</v>
      </c>
      <c r="O1144" s="47">
        <f t="shared" si="415"/>
        <v>47.664280300474985</v>
      </c>
      <c r="P1144" s="47">
        <f t="shared" si="415"/>
        <v>99.077759999999984</v>
      </c>
      <c r="Q1144" s="47">
        <f t="shared" si="415"/>
        <v>102.05009279999999</v>
      </c>
      <c r="R1144" s="47">
        <f t="shared" si="415"/>
        <v>105.111595584</v>
      </c>
      <c r="S1144" s="47">
        <f t="shared" si="415"/>
        <v>108.26494345152001</v>
      </c>
      <c r="T1144" s="47">
        <f t="shared" si="415"/>
        <v>111.5128917550656</v>
      </c>
      <c r="U1144" s="47">
        <f t="shared" si="415"/>
        <v>114.85827850771759</v>
      </c>
      <c r="V1144" s="47">
        <f t="shared" si="415"/>
        <v>118.30402686294913</v>
      </c>
    </row>
    <row r="1145" spans="2:22">
      <c r="G1145"/>
    </row>
    <row r="1146" spans="2:22">
      <c r="B1146" s="2" t="s">
        <v>621</v>
      </c>
      <c r="G1146"/>
    </row>
    <row r="1147" spans="2:22">
      <c r="B1147" s="407" t="s">
        <v>622</v>
      </c>
      <c r="G1147" s="17" t="s">
        <v>315</v>
      </c>
      <c r="J1147">
        <f>J1116</f>
        <v>0</v>
      </c>
      <c r="K1147">
        <f t="shared" ref="K1147:V1147" si="416">K1116</f>
        <v>0</v>
      </c>
      <c r="L1147">
        <f t="shared" si="416"/>
        <v>0</v>
      </c>
      <c r="M1147">
        <f t="shared" si="416"/>
        <v>0</v>
      </c>
      <c r="N1147">
        <f t="shared" si="416"/>
        <v>0</v>
      </c>
      <c r="O1147">
        <f t="shared" si="416"/>
        <v>24</v>
      </c>
      <c r="P1147">
        <f t="shared" si="416"/>
        <v>44.496000000000002</v>
      </c>
      <c r="Q1147">
        <f t="shared" si="416"/>
        <v>45.830880000000001</v>
      </c>
      <c r="R1147">
        <f t="shared" si="416"/>
        <v>47.2058064</v>
      </c>
      <c r="S1147">
        <f t="shared" si="416"/>
        <v>48.621980592</v>
      </c>
      <c r="T1147">
        <f t="shared" si="416"/>
        <v>50.080640009760003</v>
      </c>
      <c r="U1147">
        <f t="shared" si="416"/>
        <v>51.583059210052809</v>
      </c>
      <c r="V1147">
        <f t="shared" si="416"/>
        <v>53.130550986354393</v>
      </c>
    </row>
    <row r="1148" spans="2:22">
      <c r="B1148" s="407" t="s">
        <v>620</v>
      </c>
      <c r="G1148" s="17" t="s">
        <v>325</v>
      </c>
      <c r="J1148" s="74">
        <f t="shared" ref="J1148:V1148" si="417">IFERROR(J39/J38,0)</f>
        <v>0.19134550942001663</v>
      </c>
      <c r="K1148" s="21">
        <f t="shared" si="417"/>
        <v>0.19432706294033905</v>
      </c>
      <c r="L1148" s="21">
        <f t="shared" si="417"/>
        <v>0.19752630091882675</v>
      </c>
      <c r="M1148" s="21">
        <f t="shared" si="417"/>
        <v>0.20068519397909498</v>
      </c>
      <c r="N1148" s="21">
        <f t="shared" si="417"/>
        <v>0.20393844293485172</v>
      </c>
      <c r="O1148" s="21">
        <f t="shared" si="417"/>
        <v>0.2013651376286838</v>
      </c>
      <c r="P1148" s="21">
        <f t="shared" si="417"/>
        <v>0.20471113180216816</v>
      </c>
      <c r="Q1148" s="21">
        <f t="shared" si="417"/>
        <v>0.20815661014133005</v>
      </c>
      <c r="R1148" s="21">
        <f t="shared" si="417"/>
        <v>0.20563951847263262</v>
      </c>
      <c r="S1148" s="21">
        <f t="shared" si="417"/>
        <v>0.20918301778927217</v>
      </c>
      <c r="T1148" s="21">
        <f t="shared" si="417"/>
        <v>0.21283152590686738</v>
      </c>
      <c r="U1148" s="21">
        <f t="shared" si="417"/>
        <v>0.21658800705147746</v>
      </c>
      <c r="V1148" s="21">
        <f t="shared" si="417"/>
        <v>0.22045552408925692</v>
      </c>
    </row>
    <row r="1149" spans="2:22">
      <c r="B1149" s="28" t="s">
        <v>618</v>
      </c>
      <c r="C1149" s="28"/>
      <c r="D1149" s="28"/>
      <c r="E1149" s="28"/>
      <c r="F1149" s="28"/>
      <c r="G1149" s="28"/>
      <c r="H1149" s="28"/>
      <c r="I1149" s="28"/>
      <c r="J1149" s="47">
        <f t="shared" ref="J1149:V1149" si="418">J1148*J1147</f>
        <v>0</v>
      </c>
      <c r="K1149" s="47">
        <f t="shared" si="418"/>
        <v>0</v>
      </c>
      <c r="L1149" s="47">
        <f t="shared" si="418"/>
        <v>0</v>
      </c>
      <c r="M1149" s="47">
        <f t="shared" si="418"/>
        <v>0</v>
      </c>
      <c r="N1149" s="47">
        <f t="shared" si="418"/>
        <v>0</v>
      </c>
      <c r="O1149" s="47">
        <f t="shared" si="418"/>
        <v>4.8327633030884112</v>
      </c>
      <c r="P1149" s="47">
        <f t="shared" si="418"/>
        <v>9.1088265206692753</v>
      </c>
      <c r="Q1149" s="47">
        <f t="shared" si="418"/>
        <v>9.5400006205940802</v>
      </c>
      <c r="R1149" s="47">
        <f t="shared" si="418"/>
        <v>9.7073792972083197</v>
      </c>
      <c r="S1149" s="47">
        <f t="shared" si="418"/>
        <v>10.170892631125982</v>
      </c>
      <c r="T1149" s="47">
        <f t="shared" si="418"/>
        <v>10.658739031669736</v>
      </c>
      <c r="U1149" s="47">
        <f t="shared" si="418"/>
        <v>11.172271991923697</v>
      </c>
      <c r="V1149" s="47">
        <f t="shared" si="418"/>
        <v>11.712923462847744</v>
      </c>
    </row>
    <row r="1150" spans="2:22">
      <c r="G1150"/>
    </row>
    <row r="1151" spans="2:22">
      <c r="B1151" s="2" t="s">
        <v>814</v>
      </c>
      <c r="E1151" t="s">
        <v>815</v>
      </c>
      <c r="F1151" t="s">
        <v>816</v>
      </c>
      <c r="G1151"/>
    </row>
    <row r="1152" spans="2:22">
      <c r="B1152" s="407" t="s">
        <v>817</v>
      </c>
      <c r="E1152" s="19">
        <f>240000*8</f>
        <v>1920000</v>
      </c>
      <c r="F1152" s="19">
        <v>70000</v>
      </c>
      <c r="G1152" s="17" t="s">
        <v>603</v>
      </c>
    </row>
    <row r="1153" spans="2:22">
      <c r="B1153" s="407" t="s">
        <v>818</v>
      </c>
      <c r="E1153" s="19"/>
      <c r="F1153" s="19"/>
      <c r="G1153" s="17" t="s">
        <v>603</v>
      </c>
    </row>
    <row r="1154" spans="2:22">
      <c r="G1154"/>
    </row>
    <row r="1155" spans="2:22">
      <c r="B1155" s="407"/>
      <c r="G1155"/>
    </row>
    <row r="1156" spans="2:22">
      <c r="B1156" s="2" t="s">
        <v>535</v>
      </c>
      <c r="G1156"/>
    </row>
    <row r="1157" spans="2:22">
      <c r="B1157" s="407" t="s">
        <v>623</v>
      </c>
      <c r="G1157"/>
      <c r="J1157">
        <f>J1119</f>
        <v>0</v>
      </c>
      <c r="K1157">
        <f t="shared" ref="K1157:V1157" si="419">K1119</f>
        <v>0</v>
      </c>
      <c r="L1157">
        <f t="shared" si="419"/>
        <v>0</v>
      </c>
      <c r="M1157">
        <f t="shared" si="419"/>
        <v>0</v>
      </c>
      <c r="N1157">
        <f t="shared" si="419"/>
        <v>0</v>
      </c>
      <c r="O1157">
        <f t="shared" si="419"/>
        <v>182.88093433491662</v>
      </c>
      <c r="P1157">
        <f t="shared" si="419"/>
        <v>374.75519999999995</v>
      </c>
      <c r="Q1157">
        <f t="shared" si="419"/>
        <v>385.99785599999996</v>
      </c>
      <c r="R1157">
        <f t="shared" si="419"/>
        <v>397.57779168000002</v>
      </c>
      <c r="S1157">
        <f t="shared" si="419"/>
        <v>409.50512543040003</v>
      </c>
      <c r="T1157">
        <f t="shared" si="419"/>
        <v>421.79027919331202</v>
      </c>
      <c r="U1157">
        <f t="shared" si="419"/>
        <v>434.44398756911141</v>
      </c>
      <c r="V1157">
        <f t="shared" si="419"/>
        <v>447.47730719618482</v>
      </c>
    </row>
    <row r="1158" spans="2:22">
      <c r="B1158" t="s">
        <v>479</v>
      </c>
      <c r="F1158" s="19">
        <f>Input!J1222</f>
        <v>0</v>
      </c>
      <c r="G1158" s="17" t="s">
        <v>315</v>
      </c>
      <c r="J1158">
        <f>Input!K1215</f>
        <v>0</v>
      </c>
      <c r="K1158">
        <f>Input!L1215</f>
        <v>0</v>
      </c>
      <c r="L1158">
        <f>Input!M1215</f>
        <v>0</v>
      </c>
      <c r="M1158" s="21">
        <f>Input!N1215</f>
        <v>0.18</v>
      </c>
      <c r="N1158" s="21">
        <f>Input!O1215</f>
        <v>0.18</v>
      </c>
      <c r="O1158" s="21">
        <f>Input!P1215</f>
        <v>0.18</v>
      </c>
      <c r="P1158" s="21">
        <f>Input!Q1215</f>
        <v>0.18</v>
      </c>
      <c r="Q1158" s="21">
        <f>Input!R1215</f>
        <v>0.18</v>
      </c>
      <c r="R1158" s="21">
        <f>Input!S1215</f>
        <v>0.18</v>
      </c>
      <c r="S1158" s="21">
        <f>Input!T1215</f>
        <v>0.18</v>
      </c>
      <c r="T1158" s="21">
        <f>Input!U1215</f>
        <v>0.18</v>
      </c>
      <c r="U1158" s="21">
        <f>Input!V1215</f>
        <v>0.18</v>
      </c>
      <c r="V1158" s="21">
        <f>Input!W1215</f>
        <v>0.18</v>
      </c>
    </row>
    <row r="1159" spans="2:22">
      <c r="B1159" s="28" t="s">
        <v>547</v>
      </c>
      <c r="C1159" s="28"/>
      <c r="D1159" s="28"/>
      <c r="E1159" s="28"/>
      <c r="F1159" s="28"/>
      <c r="G1159" s="28"/>
      <c r="H1159" s="28"/>
      <c r="I1159" s="28"/>
      <c r="J1159" s="84">
        <f>J1157*J1158</f>
        <v>0</v>
      </c>
      <c r="K1159" s="84">
        <f t="shared" ref="K1159:V1159" si="420">K1157*K1158</f>
        <v>0</v>
      </c>
      <c r="L1159" s="84">
        <f t="shared" si="420"/>
        <v>0</v>
      </c>
      <c r="M1159" s="93">
        <f>M1157*M1158*0.5</f>
        <v>0</v>
      </c>
      <c r="N1159" s="84">
        <f t="shared" si="420"/>
        <v>0</v>
      </c>
      <c r="O1159" s="84">
        <f t="shared" si="420"/>
        <v>32.918568180284993</v>
      </c>
      <c r="P1159" s="84">
        <f t="shared" si="420"/>
        <v>67.455935999999994</v>
      </c>
      <c r="Q1159" s="84">
        <f t="shared" si="420"/>
        <v>69.47961407999999</v>
      </c>
      <c r="R1159" s="84">
        <f t="shared" si="420"/>
        <v>71.564002502400001</v>
      </c>
      <c r="S1159" s="84">
        <f t="shared" si="420"/>
        <v>73.710922577472004</v>
      </c>
      <c r="T1159" s="84">
        <f t="shared" si="420"/>
        <v>75.922250254796154</v>
      </c>
      <c r="U1159" s="84">
        <f t="shared" si="420"/>
        <v>78.199917762440052</v>
      </c>
      <c r="V1159" s="84">
        <f t="shared" si="420"/>
        <v>80.545915295313264</v>
      </c>
    </row>
    <row r="1160" spans="2:22">
      <c r="G1160"/>
    </row>
    <row r="1161" spans="2:22" ht="24" thickBot="1">
      <c r="B1161" s="14" t="s">
        <v>624</v>
      </c>
      <c r="C1161" s="14"/>
      <c r="D1161" s="14"/>
      <c r="E1161" s="14"/>
      <c r="F1161" s="14"/>
      <c r="G1161" s="14"/>
      <c r="H1161" s="14"/>
      <c r="I1161" s="14"/>
      <c r="J1161" s="14"/>
      <c r="K1161" s="14"/>
      <c r="L1161" s="14"/>
      <c r="M1161" s="14"/>
      <c r="N1161" s="14"/>
      <c r="O1161" s="14"/>
      <c r="P1161" s="14"/>
      <c r="Q1161" s="14"/>
      <c r="R1161" s="14"/>
      <c r="S1161" s="14"/>
      <c r="T1161" s="14"/>
      <c r="U1161" s="14"/>
      <c r="V1161" s="14"/>
    </row>
    <row r="1162" spans="2:22">
      <c r="G1162"/>
    </row>
    <row r="1163" spans="2:22">
      <c r="B1163" t="s">
        <v>37</v>
      </c>
      <c r="F1163" s="19">
        <v>2027</v>
      </c>
      <c r="G1163"/>
      <c r="J1163" s="13">
        <f>IF(J$8&lt;$F1163,0,1)*J$12</f>
        <v>0</v>
      </c>
      <c r="K1163" s="13">
        <f t="shared" ref="K1163:V1163" si="421">IF(K$8&lt;$F1163,0,1)*K$12</f>
        <v>0</v>
      </c>
      <c r="L1163" s="13">
        <f t="shared" si="421"/>
        <v>0</v>
      </c>
      <c r="M1163" s="13">
        <f t="shared" si="421"/>
        <v>1</v>
      </c>
      <c r="N1163" s="13">
        <f t="shared" si="421"/>
        <v>1</v>
      </c>
      <c r="O1163" s="13">
        <f t="shared" si="421"/>
        <v>1</v>
      </c>
      <c r="P1163" s="13">
        <f t="shared" si="421"/>
        <v>1</v>
      </c>
      <c r="Q1163" s="13">
        <f t="shared" si="421"/>
        <v>1</v>
      </c>
      <c r="R1163" s="13">
        <f t="shared" si="421"/>
        <v>1</v>
      </c>
      <c r="S1163" s="13">
        <f t="shared" si="421"/>
        <v>1</v>
      </c>
      <c r="T1163" s="13">
        <f t="shared" si="421"/>
        <v>1</v>
      </c>
      <c r="U1163" s="13">
        <f t="shared" si="421"/>
        <v>1</v>
      </c>
      <c r="V1163" s="13">
        <f t="shared" si="421"/>
        <v>1</v>
      </c>
    </row>
    <row r="1164" spans="2:22" ht="15.75">
      <c r="B1164" s="15" t="s">
        <v>625</v>
      </c>
      <c r="G1164"/>
    </row>
    <row r="1165" spans="2:22" ht="15.75">
      <c r="B1165" s="15" t="s">
        <v>626</v>
      </c>
      <c r="G1165"/>
    </row>
    <row r="1166" spans="2:22">
      <c r="B1166" t="s">
        <v>407</v>
      </c>
      <c r="G1166"/>
      <c r="J1166">
        <f t="shared" ref="J1166:V1166" si="422">J27</f>
        <v>1602574.2089999998</v>
      </c>
      <c r="K1166">
        <f t="shared" si="422"/>
        <v>1650651.4352699998</v>
      </c>
      <c r="L1166">
        <f t="shared" si="422"/>
        <v>1700170.9783280997</v>
      </c>
      <c r="M1166">
        <f t="shared" si="422"/>
        <v>1751176.1076779428</v>
      </c>
      <c r="N1166">
        <f t="shared" si="422"/>
        <v>1803711.3909082813</v>
      </c>
      <c r="O1166">
        <f t="shared" si="422"/>
        <v>1857822.7326355297</v>
      </c>
      <c r="P1166">
        <f t="shared" si="422"/>
        <v>1913557.4146145957</v>
      </c>
      <c r="Q1166">
        <f t="shared" si="422"/>
        <v>1970964.1370530336</v>
      </c>
      <c r="R1166">
        <f t="shared" si="422"/>
        <v>2030093.0611646248</v>
      </c>
      <c r="S1166">
        <f t="shared" si="422"/>
        <v>2090995.8529995636</v>
      </c>
      <c r="T1166">
        <f t="shared" si="422"/>
        <v>2153725.7285895501</v>
      </c>
      <c r="U1166">
        <f t="shared" si="422"/>
        <v>2218337.5004472369</v>
      </c>
      <c r="V1166">
        <f t="shared" si="422"/>
        <v>2284887.625460654</v>
      </c>
    </row>
    <row r="1167" spans="2:22">
      <c r="G1167"/>
    </row>
    <row r="1168" spans="2:22">
      <c r="B1168" t="s">
        <v>627</v>
      </c>
      <c r="F1168" s="9" t="s">
        <v>628</v>
      </c>
      <c r="G1168"/>
    </row>
    <row r="1169" spans="2:22">
      <c r="B1169" t="s">
        <v>629</v>
      </c>
      <c r="F1169" s="19">
        <v>2526</v>
      </c>
      <c r="G1169"/>
      <c r="J1169">
        <f t="shared" ref="J1169:J1174" si="423">$F1169*J$1166/Billion</f>
        <v>4.0481024519339996</v>
      </c>
      <c r="K1169">
        <f t="shared" ref="K1169:V1174" si="424">$F1169*K$1166/Billion</f>
        <v>4.16954552549202</v>
      </c>
      <c r="L1169">
        <f t="shared" si="424"/>
        <v>4.2946318912567794</v>
      </c>
      <c r="M1169">
        <f t="shared" si="424"/>
        <v>4.4234708479944835</v>
      </c>
      <c r="N1169">
        <f t="shared" si="424"/>
        <v>4.5561749734343184</v>
      </c>
      <c r="O1169">
        <f t="shared" si="424"/>
        <v>4.6928602226373481</v>
      </c>
      <c r="P1169">
        <f t="shared" si="424"/>
        <v>4.8336460293164691</v>
      </c>
      <c r="Q1169">
        <f t="shared" si="424"/>
        <v>4.9786554101959632</v>
      </c>
      <c r="R1169">
        <f t="shared" si="424"/>
        <v>5.1280150725018423</v>
      </c>
      <c r="S1169">
        <f t="shared" si="424"/>
        <v>5.2818555246768977</v>
      </c>
      <c r="T1169">
        <f t="shared" si="424"/>
        <v>5.4403111904172041</v>
      </c>
      <c r="U1169">
        <f t="shared" si="424"/>
        <v>5.6035205261297207</v>
      </c>
      <c r="V1169">
        <f t="shared" si="424"/>
        <v>5.7716261419136128</v>
      </c>
    </row>
    <row r="1170" spans="2:22">
      <c r="B1170" t="s">
        <v>630</v>
      </c>
      <c r="F1170" s="19">
        <v>36303</v>
      </c>
      <c r="G1170"/>
      <c r="J1170">
        <f t="shared" si="423"/>
        <v>58.178251509326998</v>
      </c>
      <c r="K1170">
        <f t="shared" si="424"/>
        <v>59.923599054606804</v>
      </c>
      <c r="L1170">
        <f t="shared" si="424"/>
        <v>61.721307026245</v>
      </c>
      <c r="M1170">
        <f t="shared" si="424"/>
        <v>63.572946237032355</v>
      </c>
      <c r="N1170">
        <f t="shared" si="424"/>
        <v>65.480134624143332</v>
      </c>
      <c r="O1170">
        <f t="shared" si="424"/>
        <v>67.444538662867643</v>
      </c>
      <c r="P1170">
        <f t="shared" si="424"/>
        <v>69.467874822753657</v>
      </c>
      <c r="Q1170">
        <f t="shared" si="424"/>
        <v>71.551911067436279</v>
      </c>
      <c r="R1170">
        <f t="shared" si="424"/>
        <v>73.698468399459372</v>
      </c>
      <c r="S1170">
        <f t="shared" si="424"/>
        <v>75.909422451443163</v>
      </c>
      <c r="T1170">
        <f t="shared" si="424"/>
        <v>78.186705124986432</v>
      </c>
      <c r="U1170">
        <f t="shared" si="424"/>
        <v>80.532306278736044</v>
      </c>
      <c r="V1170">
        <f t="shared" si="424"/>
        <v>82.948275467098128</v>
      </c>
    </row>
    <row r="1171" spans="2:22">
      <c r="B1171" s="407" t="s">
        <v>631</v>
      </c>
      <c r="F1171" s="19">
        <v>23777</v>
      </c>
      <c r="G1171"/>
      <c r="J1171">
        <f t="shared" si="423"/>
        <v>38.104406967392997</v>
      </c>
      <c r="K1171">
        <f t="shared" si="424"/>
        <v>39.24753917641479</v>
      </c>
      <c r="L1171">
        <f t="shared" si="424"/>
        <v>40.424965351707229</v>
      </c>
      <c r="M1171">
        <f t="shared" si="424"/>
        <v>41.637714312258446</v>
      </c>
      <c r="N1171">
        <f t="shared" si="424"/>
        <v>42.886845741626203</v>
      </c>
      <c r="O1171">
        <f t="shared" si="424"/>
        <v>44.173451113874989</v>
      </c>
      <c r="P1171">
        <f t="shared" si="424"/>
        <v>45.498654647291247</v>
      </c>
      <c r="Q1171">
        <f t="shared" si="424"/>
        <v>46.863614286709975</v>
      </c>
      <c r="R1171">
        <f t="shared" si="424"/>
        <v>48.269522715311282</v>
      </c>
      <c r="S1171">
        <f t="shared" si="424"/>
        <v>49.717608396770622</v>
      </c>
      <c r="T1171">
        <f t="shared" si="424"/>
        <v>51.209136648673734</v>
      </c>
      <c r="U1171">
        <f t="shared" si="424"/>
        <v>52.745410748133949</v>
      </c>
      <c r="V1171">
        <f t="shared" si="424"/>
        <v>54.327773070577969</v>
      </c>
    </row>
    <row r="1172" spans="2:22">
      <c r="B1172" s="407" t="s">
        <v>632</v>
      </c>
      <c r="F1172" s="19">
        <v>8421</v>
      </c>
      <c r="G1172"/>
      <c r="J1172">
        <f t="shared" si="423"/>
        <v>13.495277413988999</v>
      </c>
      <c r="K1172">
        <f t="shared" si="424"/>
        <v>13.900135736408668</v>
      </c>
      <c r="L1172">
        <f t="shared" si="424"/>
        <v>14.317139808500928</v>
      </c>
      <c r="M1172">
        <f t="shared" si="424"/>
        <v>14.746654002755957</v>
      </c>
      <c r="N1172">
        <f t="shared" si="424"/>
        <v>15.189053622838637</v>
      </c>
      <c r="O1172">
        <f t="shared" si="424"/>
        <v>15.644725231523797</v>
      </c>
      <c r="P1172">
        <f t="shared" si="424"/>
        <v>16.11406698846951</v>
      </c>
      <c r="Q1172">
        <f t="shared" si="424"/>
        <v>16.597488998123595</v>
      </c>
      <c r="R1172">
        <f t="shared" si="424"/>
        <v>17.095413668067305</v>
      </c>
      <c r="S1172">
        <f t="shared" si="424"/>
        <v>17.608276078109327</v>
      </c>
      <c r="T1172">
        <f t="shared" si="424"/>
        <v>18.136524360452601</v>
      </c>
      <c r="U1172">
        <f t="shared" si="424"/>
        <v>18.680620091266182</v>
      </c>
      <c r="V1172">
        <f t="shared" si="424"/>
        <v>19.241038694004171</v>
      </c>
    </row>
    <row r="1173" spans="2:22">
      <c r="B1173" s="407" t="s">
        <v>633</v>
      </c>
      <c r="F1173" s="19">
        <v>6935</v>
      </c>
      <c r="G1173"/>
      <c r="J1173">
        <f t="shared" si="423"/>
        <v>11.113852139414998</v>
      </c>
      <c r="K1173">
        <f t="shared" si="424"/>
        <v>11.447267703597449</v>
      </c>
      <c r="L1173">
        <f t="shared" si="424"/>
        <v>11.790685734705372</v>
      </c>
      <c r="M1173">
        <f t="shared" si="424"/>
        <v>12.144406306746534</v>
      </c>
      <c r="N1173">
        <f t="shared" si="424"/>
        <v>12.508738495948931</v>
      </c>
      <c r="O1173">
        <f t="shared" si="424"/>
        <v>12.884000650827398</v>
      </c>
      <c r="P1173">
        <f t="shared" si="424"/>
        <v>13.270520670352221</v>
      </c>
      <c r="Q1173">
        <f t="shared" si="424"/>
        <v>13.668636290462787</v>
      </c>
      <c r="R1173">
        <f t="shared" si="424"/>
        <v>14.078695379176672</v>
      </c>
      <c r="S1173">
        <f t="shared" si="424"/>
        <v>14.501056240551973</v>
      </c>
      <c r="T1173">
        <f t="shared" si="424"/>
        <v>14.936087927768529</v>
      </c>
      <c r="U1173">
        <f t="shared" si="424"/>
        <v>15.384170565601588</v>
      </c>
      <c r="V1173">
        <f t="shared" si="424"/>
        <v>15.845695682569636</v>
      </c>
    </row>
    <row r="1174" spans="2:22">
      <c r="B1174" s="407" t="s">
        <v>634</v>
      </c>
      <c r="F1174" s="19">
        <v>297</v>
      </c>
      <c r="G1174"/>
      <c r="J1174">
        <f t="shared" si="423"/>
        <v>0.47596454007299993</v>
      </c>
      <c r="K1174">
        <f t="shared" si="424"/>
        <v>0.49024347627518994</v>
      </c>
      <c r="L1174">
        <f t="shared" si="424"/>
        <v>0.50495078056344567</v>
      </c>
      <c r="M1174">
        <f t="shared" si="424"/>
        <v>0.52009930398034898</v>
      </c>
      <c r="N1174">
        <f t="shared" si="424"/>
        <v>0.53570228309975954</v>
      </c>
      <c r="O1174">
        <f t="shared" si="424"/>
        <v>0.55177335159275231</v>
      </c>
      <c r="P1174">
        <f t="shared" si="424"/>
        <v>0.56832655214053485</v>
      </c>
      <c r="Q1174">
        <f t="shared" si="424"/>
        <v>0.58537634870475097</v>
      </c>
      <c r="R1174">
        <f t="shared" si="424"/>
        <v>0.6029376391658936</v>
      </c>
      <c r="S1174">
        <f t="shared" si="424"/>
        <v>0.62102576834087042</v>
      </c>
      <c r="T1174">
        <f t="shared" si="424"/>
        <v>0.6396565413910964</v>
      </c>
      <c r="U1174">
        <f t="shared" si="424"/>
        <v>0.65884623763282946</v>
      </c>
      <c r="V1174">
        <f t="shared" si="424"/>
        <v>0.67861162476181425</v>
      </c>
    </row>
    <row r="1175" spans="2:22">
      <c r="C1175" s="407"/>
      <c r="F1175">
        <f>SUM(F1169:F1174)</f>
        <v>78259</v>
      </c>
      <c r="G1175"/>
      <c r="J1175" s="28">
        <f>SUM(J1169:J1174)</f>
        <v>125.415855022131</v>
      </c>
      <c r="K1175" s="28">
        <f t="shared" ref="K1175:V1175" si="425">SUM(K1169:K1174)</f>
        <v>129.17833067279494</v>
      </c>
      <c r="L1175" s="28">
        <f t="shared" si="425"/>
        <v>133.05368059297874</v>
      </c>
      <c r="M1175" s="28">
        <f t="shared" si="425"/>
        <v>137.04529101076812</v>
      </c>
      <c r="N1175" s="28">
        <f t="shared" si="425"/>
        <v>141.1566497410912</v>
      </c>
      <c r="O1175" s="28">
        <f t="shared" si="425"/>
        <v>145.39134923332392</v>
      </c>
      <c r="P1175" s="28">
        <f t="shared" si="425"/>
        <v>149.75308971032365</v>
      </c>
      <c r="Q1175" s="28">
        <f t="shared" si="425"/>
        <v>154.24568240163336</v>
      </c>
      <c r="R1175" s="28">
        <f t="shared" si="425"/>
        <v>158.87305287368238</v>
      </c>
      <c r="S1175" s="28">
        <f t="shared" si="425"/>
        <v>163.63924445989286</v>
      </c>
      <c r="T1175" s="28">
        <f t="shared" si="425"/>
        <v>168.54842179368961</v>
      </c>
      <c r="U1175" s="28">
        <f t="shared" si="425"/>
        <v>173.60487444750032</v>
      </c>
      <c r="V1175" s="28">
        <f t="shared" si="425"/>
        <v>178.81302068092535</v>
      </c>
    </row>
    <row r="1176" spans="2:22">
      <c r="G1176"/>
    </row>
    <row r="1177" spans="2:22">
      <c r="B1177" s="407" t="s">
        <v>483</v>
      </c>
      <c r="F1177">
        <f>-(F1175-F1175*E1185)</f>
        <v>-57129.07</v>
      </c>
      <c r="G1177"/>
      <c r="J1177">
        <f>-(J1175-J1185)</f>
        <v>-91.553574166155627</v>
      </c>
      <c r="K1177">
        <f t="shared" ref="K1177:V1177" si="426">-(K1175-K1185)</f>
        <v>-94.300181391140313</v>
      </c>
      <c r="L1177">
        <f t="shared" si="426"/>
        <v>-97.129186832874467</v>
      </c>
      <c r="M1177">
        <f t="shared" si="426"/>
        <v>-100.04306243786073</v>
      </c>
      <c r="N1177">
        <f t="shared" si="426"/>
        <v>-103.04435431099657</v>
      </c>
      <c r="O1177">
        <f t="shared" si="426"/>
        <v>-106.13568494032646</v>
      </c>
      <c r="P1177">
        <f t="shared" si="426"/>
        <v>-109.31975548853626</v>
      </c>
      <c r="Q1177">
        <f t="shared" si="426"/>
        <v>-112.59934815319235</v>
      </c>
      <c r="R1177">
        <f t="shared" si="426"/>
        <v>-115.97732859778813</v>
      </c>
      <c r="S1177">
        <f t="shared" si="426"/>
        <v>-119.45664845572179</v>
      </c>
      <c r="T1177">
        <f t="shared" si="426"/>
        <v>-123.0403479093934</v>
      </c>
      <c r="U1177">
        <f t="shared" si="426"/>
        <v>-126.73155834667523</v>
      </c>
      <c r="V1177">
        <f t="shared" si="426"/>
        <v>-130.5335050970755</v>
      </c>
    </row>
    <row r="1178" spans="2:22">
      <c r="B1178" s="279" t="s">
        <v>636</v>
      </c>
      <c r="C1178" s="280"/>
      <c r="D1178" s="280"/>
      <c r="E1178" s="280"/>
      <c r="F1178" s="281">
        <v>-6748.59024058253</v>
      </c>
      <c r="G1178"/>
      <c r="J1178">
        <f>$F1178*J$1166/Billion</f>
        <v>-10.815116666666666</v>
      </c>
      <c r="K1178">
        <f t="shared" ref="K1178:V1181" si="427">$F1178*K$1166/Billion</f>
        <v>-11.139570166666665</v>
      </c>
      <c r="L1178">
        <f t="shared" si="427"/>
        <v>-11.473757271666665</v>
      </c>
      <c r="M1178">
        <f t="shared" si="427"/>
        <v>-11.817969989816667</v>
      </c>
      <c r="N1178">
        <f t="shared" si="427"/>
        <v>-12.172509089511168</v>
      </c>
      <c r="O1178">
        <f t="shared" si="427"/>
        <v>-12.537684362196503</v>
      </c>
      <c r="P1178">
        <f t="shared" si="427"/>
        <v>-12.913814893062399</v>
      </c>
      <c r="Q1178">
        <f t="shared" si="427"/>
        <v>-13.30122933985427</v>
      </c>
      <c r="R1178">
        <f t="shared" si="427"/>
        <v>-13.700266220049899</v>
      </c>
      <c r="S1178">
        <f t="shared" si="427"/>
        <v>-14.111274206651398</v>
      </c>
      <c r="T1178">
        <f t="shared" si="427"/>
        <v>-14.534612432850937</v>
      </c>
      <c r="U1178">
        <f t="shared" si="427"/>
        <v>-14.970650805836467</v>
      </c>
      <c r="V1178">
        <f t="shared" si="427"/>
        <v>-15.419770330011561</v>
      </c>
    </row>
    <row r="1179" spans="2:22">
      <c r="B1179" s="282" t="s">
        <v>637</v>
      </c>
      <c r="F1179" s="283">
        <v>-4185.74</v>
      </c>
      <c r="G1179"/>
      <c r="J1179">
        <f>$F1179*J$1166/Billion</f>
        <v>-6.7079589695796589</v>
      </c>
      <c r="K1179">
        <f t="shared" si="427"/>
        <v>-6.9091977386670482</v>
      </c>
      <c r="L1179">
        <f t="shared" si="427"/>
        <v>-7.1164736708270597</v>
      </c>
      <c r="M1179">
        <f t="shared" si="427"/>
        <v>-7.3299678809518722</v>
      </c>
      <c r="N1179">
        <f t="shared" si="427"/>
        <v>-7.5498669173804291</v>
      </c>
      <c r="O1179">
        <f t="shared" si="427"/>
        <v>-7.776362924901842</v>
      </c>
      <c r="P1179">
        <f t="shared" si="427"/>
        <v>-8.0096538126488976</v>
      </c>
      <c r="Q1179">
        <f t="shared" si="427"/>
        <v>-8.2499434270283647</v>
      </c>
      <c r="R1179">
        <f t="shared" si="427"/>
        <v>-8.4974417298392169</v>
      </c>
      <c r="S1179">
        <f t="shared" si="427"/>
        <v>-8.7523649817343916</v>
      </c>
      <c r="T1179">
        <f t="shared" si="427"/>
        <v>-9.0149359311864217</v>
      </c>
      <c r="U1179">
        <f t="shared" si="427"/>
        <v>-9.2853840091220174</v>
      </c>
      <c r="V1179">
        <f t="shared" si="427"/>
        <v>-9.5639455293956779</v>
      </c>
    </row>
    <row r="1180" spans="2:22">
      <c r="B1180" s="282" t="s">
        <v>638</v>
      </c>
      <c r="F1180" s="283">
        <v>-12570.209759417499</v>
      </c>
      <c r="G1180"/>
      <c r="J1180">
        <f>$F1180*J$1166/Billion</f>
        <v>-20.144693962162577</v>
      </c>
      <c r="K1180">
        <f t="shared" si="427"/>
        <v>-20.749034781027454</v>
      </c>
      <c r="L1180">
        <f t="shared" si="427"/>
        <v>-21.371505824458275</v>
      </c>
      <c r="M1180">
        <f t="shared" si="427"/>
        <v>-22.012650999192029</v>
      </c>
      <c r="N1180">
        <f t="shared" si="427"/>
        <v>-22.673030529167789</v>
      </c>
      <c r="O1180">
        <f t="shared" si="427"/>
        <v>-23.353221445042823</v>
      </c>
      <c r="P1180">
        <f t="shared" si="427"/>
        <v>-24.05381808839411</v>
      </c>
      <c r="Q1180">
        <f t="shared" si="427"/>
        <v>-24.775432631045934</v>
      </c>
      <c r="R1180">
        <f t="shared" si="427"/>
        <v>-25.518695609977314</v>
      </c>
      <c r="S1180">
        <f t="shared" si="427"/>
        <v>-26.284256478276635</v>
      </c>
      <c r="T1180">
        <f t="shared" si="427"/>
        <v>-27.072784172624928</v>
      </c>
      <c r="U1180">
        <f t="shared" si="427"/>
        <v>-27.884967697803681</v>
      </c>
      <c r="V1180">
        <f t="shared" si="427"/>
        <v>-28.721516728737789</v>
      </c>
    </row>
    <row r="1181" spans="2:22">
      <c r="B1181" s="284" t="s">
        <v>639</v>
      </c>
      <c r="C1181" s="118"/>
      <c r="D1181" s="118"/>
      <c r="E1181" s="118"/>
      <c r="F1181" s="212">
        <f>F1177-SUM(F1178:F1180)</f>
        <v>-33624.52999999997</v>
      </c>
      <c r="G1181"/>
      <c r="J1181">
        <f>$F1181*J$1166/Billion</f>
        <v>-53.88580456774671</v>
      </c>
      <c r="K1181">
        <f t="shared" si="427"/>
        <v>-55.502378704779112</v>
      </c>
      <c r="L1181">
        <f t="shared" si="427"/>
        <v>-57.167450065922488</v>
      </c>
      <c r="M1181">
        <f t="shared" si="427"/>
        <v>-58.882473567900171</v>
      </c>
      <c r="N1181">
        <f t="shared" si="427"/>
        <v>-60.648947774937177</v>
      </c>
      <c r="O1181">
        <f t="shared" si="427"/>
        <v>-62.468416208185296</v>
      </c>
      <c r="P1181">
        <f t="shared" si="427"/>
        <v>-64.342468694430849</v>
      </c>
      <c r="Q1181">
        <f t="shared" si="427"/>
        <v>-66.272742755263778</v>
      </c>
      <c r="R1181">
        <f t="shared" si="427"/>
        <v>-68.260925037921695</v>
      </c>
      <c r="S1181">
        <f t="shared" si="427"/>
        <v>-70.308752789059355</v>
      </c>
      <c r="T1181">
        <f t="shared" si="427"/>
        <v>-72.418015372731119</v>
      </c>
      <c r="U1181">
        <f t="shared" si="427"/>
        <v>-74.590555833913072</v>
      </c>
      <c r="V1181">
        <f t="shared" si="427"/>
        <v>-76.828272508930453</v>
      </c>
    </row>
    <row r="1182" spans="2:22">
      <c r="G1182"/>
      <c r="J1182">
        <f>SUM(J1178:J1181)</f>
        <v>-91.553574166155613</v>
      </c>
      <c r="K1182">
        <f t="shared" ref="K1182:V1182" si="428">SUM(K1178:K1181)</f>
        <v>-94.300181391140285</v>
      </c>
      <c r="L1182">
        <f t="shared" si="428"/>
        <v>-97.129186832874495</v>
      </c>
      <c r="M1182">
        <f t="shared" si="428"/>
        <v>-100.04306243786074</v>
      </c>
      <c r="N1182">
        <f t="shared" si="428"/>
        <v>-103.04435431099657</v>
      </c>
      <c r="O1182">
        <f t="shared" si="428"/>
        <v>-106.13568494032646</v>
      </c>
      <c r="P1182">
        <f t="shared" si="428"/>
        <v>-109.31975548853626</v>
      </c>
      <c r="Q1182">
        <f t="shared" si="428"/>
        <v>-112.59934815319235</v>
      </c>
      <c r="R1182">
        <f t="shared" si="428"/>
        <v>-115.97732859778813</v>
      </c>
      <c r="S1182">
        <f t="shared" si="428"/>
        <v>-119.45664845572178</v>
      </c>
      <c r="T1182">
        <f t="shared" si="428"/>
        <v>-123.0403479093934</v>
      </c>
      <c r="U1182">
        <f t="shared" si="428"/>
        <v>-126.73155834667523</v>
      </c>
      <c r="V1182">
        <f t="shared" si="428"/>
        <v>-130.53350509707548</v>
      </c>
    </row>
    <row r="1183" spans="2:22">
      <c r="G1183"/>
      <c r="J1183" t="b">
        <f>J1182=J1177</f>
        <v>1</v>
      </c>
      <c r="K1183" t="b">
        <f t="shared" ref="K1183:V1183" si="429">K1182=K1177</f>
        <v>1</v>
      </c>
      <c r="L1183" t="b">
        <f t="shared" si="429"/>
        <v>1</v>
      </c>
      <c r="M1183" t="b">
        <f t="shared" si="429"/>
        <v>1</v>
      </c>
      <c r="N1183" t="b">
        <f t="shared" si="429"/>
        <v>1</v>
      </c>
      <c r="O1183" t="b">
        <f t="shared" si="429"/>
        <v>1</v>
      </c>
      <c r="P1183" t="b">
        <f t="shared" si="429"/>
        <v>1</v>
      </c>
      <c r="Q1183" t="b">
        <f t="shared" si="429"/>
        <v>1</v>
      </c>
      <c r="R1183" t="b">
        <f t="shared" si="429"/>
        <v>1</v>
      </c>
      <c r="S1183" t="b">
        <f t="shared" si="429"/>
        <v>1</v>
      </c>
      <c r="T1183" t="b">
        <f t="shared" si="429"/>
        <v>1</v>
      </c>
      <c r="U1183" t="b">
        <f t="shared" si="429"/>
        <v>1</v>
      </c>
      <c r="V1183" t="b">
        <f t="shared" si="429"/>
        <v>0</v>
      </c>
    </row>
    <row r="1184" spans="2:22">
      <c r="G1184"/>
    </row>
    <row r="1185" spans="2:22">
      <c r="B1185" t="s">
        <v>434</v>
      </c>
      <c r="E1185" s="39">
        <v>0.27</v>
      </c>
      <c r="G1185"/>
      <c r="J1185">
        <f>$E$1185*J1175</f>
        <v>33.862280855975371</v>
      </c>
      <c r="K1185">
        <f t="shared" ref="K1185:V1185" si="430">$E$1185*K1175</f>
        <v>34.878149281654636</v>
      </c>
      <c r="L1185">
        <f t="shared" si="430"/>
        <v>35.924493760104262</v>
      </c>
      <c r="M1185">
        <f t="shared" si="430"/>
        <v>37.002228572907399</v>
      </c>
      <c r="N1185">
        <f t="shared" si="430"/>
        <v>38.112295430094626</v>
      </c>
      <c r="O1185">
        <f t="shared" si="430"/>
        <v>39.255664292997459</v>
      </c>
      <c r="P1185">
        <f t="shared" si="430"/>
        <v>40.433334221787391</v>
      </c>
      <c r="Q1185">
        <f t="shared" si="430"/>
        <v>41.646334248441008</v>
      </c>
      <c r="R1185">
        <f t="shared" si="430"/>
        <v>42.895724275894246</v>
      </c>
      <c r="S1185">
        <f t="shared" si="430"/>
        <v>44.182596004171074</v>
      </c>
      <c r="T1185">
        <f t="shared" si="430"/>
        <v>45.508073884296202</v>
      </c>
      <c r="U1185">
        <f t="shared" si="430"/>
        <v>46.873316100825093</v>
      </c>
      <c r="V1185">
        <f t="shared" si="430"/>
        <v>48.27951558384985</v>
      </c>
    </row>
    <row r="1186" spans="2:22">
      <c r="G1186"/>
    </row>
    <row r="1187" spans="2:22" ht="15.75">
      <c r="B1187" s="15" t="s">
        <v>626</v>
      </c>
      <c r="G1187"/>
    </row>
    <row r="1188" spans="2:22">
      <c r="B1188" t="s">
        <v>407</v>
      </c>
      <c r="G1188"/>
      <c r="J1188">
        <f t="shared" ref="J1188:V1188" si="431">J22</f>
        <v>2063651.067</v>
      </c>
      <c r="K1188">
        <f t="shared" si="431"/>
        <v>2125560.59901</v>
      </c>
      <c r="L1188">
        <f t="shared" si="431"/>
        <v>2189327.4169803001</v>
      </c>
      <c r="M1188">
        <f t="shared" si="431"/>
        <v>2255007.239489709</v>
      </c>
      <c r="N1188">
        <f t="shared" si="431"/>
        <v>2322657.4566744007</v>
      </c>
      <c r="O1188">
        <f t="shared" si="431"/>
        <v>2392337.1803746326</v>
      </c>
      <c r="P1188">
        <f t="shared" si="431"/>
        <v>2464107.2957858718</v>
      </c>
      <c r="Q1188">
        <f t="shared" si="431"/>
        <v>2538030.5146594481</v>
      </c>
      <c r="R1188">
        <f t="shared" si="431"/>
        <v>2614171.4300992312</v>
      </c>
      <c r="S1188">
        <f t="shared" si="431"/>
        <v>2692596.5730022085</v>
      </c>
      <c r="T1188">
        <f t="shared" si="431"/>
        <v>2773374.4701922745</v>
      </c>
      <c r="U1188">
        <f t="shared" si="431"/>
        <v>2856575.7042980432</v>
      </c>
      <c r="V1188">
        <f t="shared" si="431"/>
        <v>2942272.975426984</v>
      </c>
    </row>
    <row r="1189" spans="2:22">
      <c r="G1189"/>
    </row>
    <row r="1190" spans="2:22">
      <c r="F1190" s="9" t="s">
        <v>641</v>
      </c>
      <c r="G1190"/>
    </row>
    <row r="1191" spans="2:22">
      <c r="B1191" t="s">
        <v>629</v>
      </c>
      <c r="F1191" s="19">
        <v>3705</v>
      </c>
      <c r="G1191"/>
      <c r="J1191">
        <f t="shared" ref="J1191:J1196" si="432">J$1188*$F1191/Billion</f>
        <v>7.645827203235001</v>
      </c>
      <c r="K1191">
        <f t="shared" ref="K1191:V1196" si="433">K$1188*$F1191/Billion</f>
        <v>7.8752020193320504</v>
      </c>
      <c r="L1191">
        <f t="shared" si="433"/>
        <v>8.111458079912012</v>
      </c>
      <c r="M1191">
        <f t="shared" si="433"/>
        <v>8.3548018223093727</v>
      </c>
      <c r="N1191">
        <f t="shared" si="433"/>
        <v>8.6054458769786546</v>
      </c>
      <c r="O1191">
        <f t="shared" si="433"/>
        <v>8.8636092532880131</v>
      </c>
      <c r="P1191">
        <f t="shared" si="433"/>
        <v>9.1295175308866554</v>
      </c>
      <c r="Q1191">
        <f t="shared" si="433"/>
        <v>9.4034030568132554</v>
      </c>
      <c r="R1191">
        <f t="shared" si="433"/>
        <v>9.6855051485176524</v>
      </c>
      <c r="S1191">
        <f t="shared" si="433"/>
        <v>9.9760703029731825</v>
      </c>
      <c r="T1191">
        <f t="shared" si="433"/>
        <v>10.275352412062379</v>
      </c>
      <c r="U1191">
        <f t="shared" si="433"/>
        <v>10.583612984424249</v>
      </c>
      <c r="V1191">
        <f t="shared" si="433"/>
        <v>10.901121373956975</v>
      </c>
    </row>
    <row r="1192" spans="2:22">
      <c r="B1192" t="s">
        <v>630</v>
      </c>
      <c r="F1192" s="19">
        <v>42588</v>
      </c>
      <c r="G1192"/>
      <c r="J1192">
        <f t="shared" si="432"/>
        <v>87.886771641395995</v>
      </c>
      <c r="K1192">
        <f t="shared" si="433"/>
        <v>90.523374790637874</v>
      </c>
      <c r="L1192">
        <f t="shared" si="433"/>
        <v>93.239076034357026</v>
      </c>
      <c r="M1192">
        <f t="shared" si="433"/>
        <v>96.036248315387724</v>
      </c>
      <c r="N1192">
        <f t="shared" si="433"/>
        <v>98.917335764849383</v>
      </c>
      <c r="O1192">
        <f t="shared" si="433"/>
        <v>101.88485583779485</v>
      </c>
      <c r="P1192">
        <f t="shared" si="433"/>
        <v>104.94140151292871</v>
      </c>
      <c r="Q1192">
        <f t="shared" si="433"/>
        <v>108.08964355831658</v>
      </c>
      <c r="R1192">
        <f t="shared" si="433"/>
        <v>111.33233286506605</v>
      </c>
      <c r="S1192">
        <f t="shared" si="433"/>
        <v>114.67230285101805</v>
      </c>
      <c r="T1192">
        <f t="shared" si="433"/>
        <v>118.11247193654859</v>
      </c>
      <c r="U1192">
        <f t="shared" si="433"/>
        <v>121.65584609464507</v>
      </c>
      <c r="V1192">
        <f t="shared" si="433"/>
        <v>125.30552147748439</v>
      </c>
    </row>
    <row r="1193" spans="2:22">
      <c r="B1193" s="407" t="s">
        <v>631</v>
      </c>
      <c r="F1193" s="19">
        <v>23245</v>
      </c>
      <c r="G1193"/>
      <c r="J1193">
        <f t="shared" si="432"/>
        <v>47.969569052415004</v>
      </c>
      <c r="K1193">
        <f t="shared" si="433"/>
        <v>49.408656123987448</v>
      </c>
      <c r="L1193">
        <f t="shared" si="433"/>
        <v>50.890915807707074</v>
      </c>
      <c r="M1193">
        <f t="shared" si="433"/>
        <v>52.417643281938282</v>
      </c>
      <c r="N1193">
        <f t="shared" si="433"/>
        <v>53.990172580396447</v>
      </c>
      <c r="O1193">
        <f t="shared" si="433"/>
        <v>55.609877757808334</v>
      </c>
      <c r="P1193">
        <f t="shared" si="433"/>
        <v>57.278174090542585</v>
      </c>
      <c r="Q1193">
        <f t="shared" si="433"/>
        <v>58.996519313258872</v>
      </c>
      <c r="R1193">
        <f t="shared" si="433"/>
        <v>60.766414892656634</v>
      </c>
      <c r="S1193">
        <f t="shared" si="433"/>
        <v>62.589407339436335</v>
      </c>
      <c r="T1193">
        <f t="shared" si="433"/>
        <v>64.467089559619424</v>
      </c>
      <c r="U1193">
        <f t="shared" si="433"/>
        <v>66.401102246408016</v>
      </c>
      <c r="V1193">
        <f t="shared" si="433"/>
        <v>68.393135313800244</v>
      </c>
    </row>
    <row r="1194" spans="2:22">
      <c r="B1194" s="407" t="s">
        <v>632</v>
      </c>
      <c r="F1194" s="19">
        <v>8232</v>
      </c>
      <c r="G1194"/>
      <c r="J1194">
        <f t="shared" si="432"/>
        <v>16.987975583543999</v>
      </c>
      <c r="K1194">
        <f t="shared" si="433"/>
        <v>17.497614851050319</v>
      </c>
      <c r="L1194">
        <f t="shared" si="433"/>
        <v>18.02254329658183</v>
      </c>
      <c r="M1194">
        <f t="shared" si="433"/>
        <v>18.563219595479286</v>
      </c>
      <c r="N1194">
        <f t="shared" si="433"/>
        <v>19.120116183343665</v>
      </c>
      <c r="O1194">
        <f t="shared" si="433"/>
        <v>19.693719668843976</v>
      </c>
      <c r="P1194">
        <f t="shared" si="433"/>
        <v>20.284531258909297</v>
      </c>
      <c r="Q1194">
        <f t="shared" si="433"/>
        <v>20.893067196676576</v>
      </c>
      <c r="R1194">
        <f t="shared" si="433"/>
        <v>21.519859212576868</v>
      </c>
      <c r="S1194">
        <f t="shared" si="433"/>
        <v>22.165454988954181</v>
      </c>
      <c r="T1194">
        <f t="shared" si="433"/>
        <v>22.830418638622803</v>
      </c>
      <c r="U1194">
        <f t="shared" si="433"/>
        <v>23.515331197781489</v>
      </c>
      <c r="V1194">
        <f t="shared" si="433"/>
        <v>24.220791133714933</v>
      </c>
    </row>
    <row r="1195" spans="2:22">
      <c r="B1195" s="407" t="s">
        <v>633</v>
      </c>
      <c r="F1195" s="19">
        <v>6780</v>
      </c>
      <c r="G1195"/>
      <c r="J1195">
        <f t="shared" si="432"/>
        <v>13.991554234260001</v>
      </c>
      <c r="K1195">
        <f t="shared" si="433"/>
        <v>14.411300861287799</v>
      </c>
      <c r="L1195">
        <f t="shared" si="433"/>
        <v>14.843639887126434</v>
      </c>
      <c r="M1195">
        <f t="shared" si="433"/>
        <v>15.288949083740226</v>
      </c>
      <c r="N1195">
        <f t="shared" si="433"/>
        <v>15.747617556252438</v>
      </c>
      <c r="O1195">
        <f t="shared" si="433"/>
        <v>16.220046082940009</v>
      </c>
      <c r="P1195">
        <f t="shared" si="433"/>
        <v>16.706647465428212</v>
      </c>
      <c r="Q1195">
        <f t="shared" si="433"/>
        <v>17.207846889391057</v>
      </c>
      <c r="R1195">
        <f t="shared" si="433"/>
        <v>17.724082296072787</v>
      </c>
      <c r="S1195">
        <f t="shared" si="433"/>
        <v>18.255804764954974</v>
      </c>
      <c r="T1195">
        <f t="shared" si="433"/>
        <v>18.803478907903621</v>
      </c>
      <c r="U1195">
        <f t="shared" si="433"/>
        <v>19.367583275140731</v>
      </c>
      <c r="V1195">
        <f t="shared" si="433"/>
        <v>19.94861077339495</v>
      </c>
    </row>
    <row r="1196" spans="2:22">
      <c r="B1196" s="407" t="s">
        <v>634</v>
      </c>
      <c r="F1196" s="19">
        <v>291</v>
      </c>
      <c r="G1196"/>
      <c r="J1196">
        <f t="shared" si="432"/>
        <v>0.60052246049699998</v>
      </c>
      <c r="K1196">
        <f t="shared" si="433"/>
        <v>0.61853813431191007</v>
      </c>
      <c r="L1196">
        <f t="shared" si="433"/>
        <v>0.63709427834126731</v>
      </c>
      <c r="M1196">
        <f t="shared" si="433"/>
        <v>0.65620710669150528</v>
      </c>
      <c r="N1196">
        <f t="shared" si="433"/>
        <v>0.67589331989225065</v>
      </c>
      <c r="O1196">
        <f t="shared" si="433"/>
        <v>0.69617011948901808</v>
      </c>
      <c r="P1196">
        <f t="shared" si="433"/>
        <v>0.71705522307368874</v>
      </c>
      <c r="Q1196">
        <f t="shared" si="433"/>
        <v>0.73856687976589941</v>
      </c>
      <c r="R1196">
        <f t="shared" si="433"/>
        <v>0.76072388615887632</v>
      </c>
      <c r="S1196">
        <f t="shared" si="433"/>
        <v>0.78354560274364271</v>
      </c>
      <c r="T1196">
        <f t="shared" si="433"/>
        <v>0.80705197082595193</v>
      </c>
      <c r="U1196">
        <f t="shared" si="433"/>
        <v>0.83126352995073061</v>
      </c>
      <c r="V1196">
        <f t="shared" si="433"/>
        <v>0.85620143584925235</v>
      </c>
    </row>
    <row r="1197" spans="2:22">
      <c r="C1197" s="407"/>
      <c r="F1197">
        <f>SUM(F1191:F1196)</f>
        <v>84841</v>
      </c>
      <c r="G1197"/>
      <c r="J1197" s="28">
        <f>SUM(J1191:J1196)</f>
        <v>175.082220175347</v>
      </c>
      <c r="K1197" s="28">
        <f t="shared" ref="K1197:V1197" si="434">SUM(K1191:K1196)</f>
        <v>180.3346867806074</v>
      </c>
      <c r="L1197" s="28">
        <f t="shared" si="434"/>
        <v>185.74472738402565</v>
      </c>
      <c r="M1197" s="28">
        <f t="shared" si="434"/>
        <v>191.3170692055464</v>
      </c>
      <c r="N1197" s="28">
        <f t="shared" si="434"/>
        <v>197.05658128171285</v>
      </c>
      <c r="O1197" s="28">
        <f t="shared" si="434"/>
        <v>202.96827872016419</v>
      </c>
      <c r="P1197" s="28">
        <f t="shared" si="434"/>
        <v>209.05732708176916</v>
      </c>
      <c r="Q1197" s="28">
        <f t="shared" si="434"/>
        <v>215.32904689422224</v>
      </c>
      <c r="R1197" s="28">
        <f t="shared" si="434"/>
        <v>221.78891830104888</v>
      </c>
      <c r="S1197" s="28">
        <f t="shared" si="434"/>
        <v>228.44258585008038</v>
      </c>
      <c r="T1197" s="28">
        <f t="shared" si="434"/>
        <v>235.29586342558275</v>
      </c>
      <c r="U1197" s="28">
        <f t="shared" si="434"/>
        <v>242.35473932835026</v>
      </c>
      <c r="V1197" s="28">
        <f t="shared" si="434"/>
        <v>249.62538150820075</v>
      </c>
    </row>
    <row r="1198" spans="2:22">
      <c r="G1198"/>
    </row>
    <row r="1199" spans="2:22">
      <c r="B1199" t="s">
        <v>642</v>
      </c>
      <c r="F1199">
        <f>-(F1197-F1197*E1208)</f>
        <v>-61933.93</v>
      </c>
      <c r="G1199"/>
      <c r="J1199">
        <f>-(J1197-J1208)</f>
        <v>-127.81002072800331</v>
      </c>
      <c r="K1199">
        <f t="shared" ref="K1199:V1199" si="435">-(K1197-K1208)</f>
        <v>-131.64432134984338</v>
      </c>
      <c r="L1199">
        <f t="shared" si="435"/>
        <v>-135.59365099033872</v>
      </c>
      <c r="M1199">
        <f t="shared" si="435"/>
        <v>-139.66146052004888</v>
      </c>
      <c r="N1199">
        <f t="shared" si="435"/>
        <v>-143.85130433565038</v>
      </c>
      <c r="O1199">
        <f t="shared" si="435"/>
        <v>-148.16684346571986</v>
      </c>
      <c r="P1199">
        <f t="shared" si="435"/>
        <v>-152.61184876969148</v>
      </c>
      <c r="Q1199">
        <f t="shared" si="435"/>
        <v>-157.19020423278224</v>
      </c>
      <c r="R1199">
        <f t="shared" si="435"/>
        <v>-161.90591035976567</v>
      </c>
      <c r="S1199">
        <f t="shared" si="435"/>
        <v>-166.76308767055866</v>
      </c>
      <c r="T1199">
        <f t="shared" si="435"/>
        <v>-171.76598030067541</v>
      </c>
      <c r="U1199">
        <f t="shared" si="435"/>
        <v>-176.91895970969568</v>
      </c>
      <c r="V1199">
        <f t="shared" si="435"/>
        <v>-182.22652850098655</v>
      </c>
    </row>
    <row r="1200" spans="2:22">
      <c r="B1200" s="279" t="s">
        <v>636</v>
      </c>
      <c r="C1200" s="280"/>
      <c r="D1200" s="280"/>
      <c r="E1200" s="280"/>
      <c r="F1200" s="281">
        <v>-9220.5995016695306</v>
      </c>
      <c r="G1200"/>
      <c r="J1200">
        <f>$F1200*J$1188/Billion</f>
        <v>-19.028099999999995</v>
      </c>
      <c r="K1200">
        <f t="shared" ref="K1200:V1203" si="436">$F1200*K$1188/Billion</f>
        <v>-19.598942999999995</v>
      </c>
      <c r="L1200">
        <f t="shared" si="436"/>
        <v>-20.186911289999998</v>
      </c>
      <c r="M1200">
        <f t="shared" si="436"/>
        <v>-20.792518628699995</v>
      </c>
      <c r="N1200">
        <f t="shared" si="436"/>
        <v>-21.416294187560997</v>
      </c>
      <c r="O1200">
        <f t="shared" si="436"/>
        <v>-22.058783013187828</v>
      </c>
      <c r="P1200">
        <f t="shared" si="436"/>
        <v>-22.720546503583467</v>
      </c>
      <c r="Q1200">
        <f t="shared" si="436"/>
        <v>-23.402162898690968</v>
      </c>
      <c r="R1200">
        <f t="shared" si="436"/>
        <v>-24.104227785651695</v>
      </c>
      <c r="S1200">
        <f t="shared" si="436"/>
        <v>-24.82735461922125</v>
      </c>
      <c r="T1200">
        <f t="shared" si="436"/>
        <v>-25.572175257797888</v>
      </c>
      <c r="U1200">
        <f t="shared" si="436"/>
        <v>-26.339340515531827</v>
      </c>
      <c r="V1200">
        <f t="shared" si="436"/>
        <v>-27.129520730997776</v>
      </c>
    </row>
    <row r="1201" spans="2:22">
      <c r="B1201" s="282" t="s">
        <v>637</v>
      </c>
      <c r="F1201" s="283">
        <v>-4092.01</v>
      </c>
      <c r="G1201"/>
      <c r="J1201">
        <f>$F1201*J$1188/Billion</f>
        <v>-8.4444808026746703</v>
      </c>
      <c r="K1201">
        <f t="shared" si="436"/>
        <v>-8.697815226754912</v>
      </c>
      <c r="L1201">
        <f t="shared" si="436"/>
        <v>-8.9587496835575582</v>
      </c>
      <c r="M1201">
        <f t="shared" si="436"/>
        <v>-9.2275121740642856</v>
      </c>
      <c r="N1201">
        <f t="shared" si="436"/>
        <v>-9.5043375392862153</v>
      </c>
      <c r="O1201">
        <f t="shared" si="436"/>
        <v>-9.7894676654647999</v>
      </c>
      <c r="P1201">
        <f t="shared" si="436"/>
        <v>-10.083151695428745</v>
      </c>
      <c r="Q1201">
        <f t="shared" si="436"/>
        <v>-10.385646246291609</v>
      </c>
      <c r="R1201">
        <f t="shared" si="436"/>
        <v>-10.697215633680354</v>
      </c>
      <c r="S1201">
        <f t="shared" si="436"/>
        <v>-11.018132102690767</v>
      </c>
      <c r="T1201">
        <f t="shared" si="436"/>
        <v>-11.348676065771491</v>
      </c>
      <c r="U1201">
        <f t="shared" si="436"/>
        <v>-11.689136347744636</v>
      </c>
      <c r="V1201">
        <f t="shared" si="436"/>
        <v>-12.039810438176973</v>
      </c>
    </row>
    <row r="1202" spans="2:22">
      <c r="B1202" s="282" t="s">
        <v>638</v>
      </c>
      <c r="F1202" s="283">
        <v>-9665.6004983304592</v>
      </c>
      <c r="G1202"/>
      <c r="J1202">
        <f>$F1202*J$1188/Billion</f>
        <v>-19.946426781575386</v>
      </c>
      <c r="K1202">
        <f t="shared" si="436"/>
        <v>-20.544819585022644</v>
      </c>
      <c r="L1202">
        <f t="shared" si="436"/>
        <v>-21.161164172573326</v>
      </c>
      <c r="M1202">
        <f t="shared" si="436"/>
        <v>-21.795999097750528</v>
      </c>
      <c r="N1202">
        <f t="shared" si="436"/>
        <v>-22.449879070683043</v>
      </c>
      <c r="O1202">
        <f t="shared" si="436"/>
        <v>-23.123375442803535</v>
      </c>
      <c r="P1202">
        <f t="shared" si="436"/>
        <v>-23.817076706087644</v>
      </c>
      <c r="Q1202">
        <f t="shared" si="436"/>
        <v>-24.53158900727027</v>
      </c>
      <c r="R1202">
        <f t="shared" si="436"/>
        <v>-25.267536677488376</v>
      </c>
      <c r="S1202">
        <f t="shared" si="436"/>
        <v>-26.025562777813033</v>
      </c>
      <c r="T1202">
        <f t="shared" si="436"/>
        <v>-26.806329661147423</v>
      </c>
      <c r="U1202">
        <f t="shared" si="436"/>
        <v>-27.610519550981849</v>
      </c>
      <c r="V1202">
        <f t="shared" si="436"/>
        <v>-28.438835137511298</v>
      </c>
    </row>
    <row r="1203" spans="2:22">
      <c r="B1203" s="284" t="s">
        <v>639</v>
      </c>
      <c r="C1203" s="118"/>
      <c r="D1203" s="118"/>
      <c r="E1203" s="118"/>
      <c r="F1203" s="212">
        <f>F1199-SUM(F1200:F1202)</f>
        <v>-38955.720000000008</v>
      </c>
      <c r="G1203"/>
      <c r="J1203">
        <f>$F1203*J$1188/Billion</f>
        <v>-80.39101314375327</v>
      </c>
      <c r="K1203">
        <f t="shared" si="436"/>
        <v>-82.802743538065855</v>
      </c>
      <c r="L1203">
        <f t="shared" si="436"/>
        <v>-85.28682584420784</v>
      </c>
      <c r="M1203">
        <f t="shared" si="436"/>
        <v>-87.845430619534071</v>
      </c>
      <c r="N1203">
        <f t="shared" si="436"/>
        <v>-90.480793538120096</v>
      </c>
      <c r="O1203">
        <f t="shared" si="436"/>
        <v>-93.195217344263696</v>
      </c>
      <c r="P1203">
        <f t="shared" si="436"/>
        <v>-95.991073864591627</v>
      </c>
      <c r="Q1203">
        <f t="shared" si="436"/>
        <v>-98.870806080529377</v>
      </c>
      <c r="R1203">
        <f t="shared" si="436"/>
        <v>-101.83693026294524</v>
      </c>
      <c r="S1203">
        <f t="shared" si="436"/>
        <v>-104.89203817083362</v>
      </c>
      <c r="T1203">
        <f t="shared" si="436"/>
        <v>-108.03879931595861</v>
      </c>
      <c r="U1203">
        <f t="shared" si="436"/>
        <v>-111.2799632954374</v>
      </c>
      <c r="V1203">
        <f t="shared" si="436"/>
        <v>-114.61836219430049</v>
      </c>
    </row>
    <row r="1204" spans="2:22">
      <c r="F1204" s="21"/>
      <c r="G1204"/>
      <c r="J1204">
        <f t="shared" ref="J1204:V1204" si="437">SUM(J1200:J1203)</f>
        <v>-127.81002072800332</v>
      </c>
      <c r="K1204">
        <f t="shared" si="437"/>
        <v>-131.64432134984341</v>
      </c>
      <c r="L1204">
        <f t="shared" si="437"/>
        <v>-135.59365099033872</v>
      </c>
      <c r="M1204">
        <f t="shared" si="437"/>
        <v>-139.66146052004888</v>
      </c>
      <c r="N1204">
        <f t="shared" si="437"/>
        <v>-143.85130433565035</v>
      </c>
      <c r="O1204">
        <f t="shared" si="437"/>
        <v>-148.16684346571986</v>
      </c>
      <c r="P1204">
        <f t="shared" si="437"/>
        <v>-152.61184876969148</v>
      </c>
      <c r="Q1204">
        <f t="shared" si="437"/>
        <v>-157.19020423278221</v>
      </c>
      <c r="R1204">
        <f t="shared" si="437"/>
        <v>-161.90591035976567</v>
      </c>
      <c r="S1204">
        <f t="shared" si="437"/>
        <v>-166.76308767055866</v>
      </c>
      <c r="T1204">
        <f t="shared" si="437"/>
        <v>-171.76598030067541</v>
      </c>
      <c r="U1204">
        <f t="shared" si="437"/>
        <v>-176.91895970969571</v>
      </c>
      <c r="V1204">
        <f t="shared" si="437"/>
        <v>-182.22652850098655</v>
      </c>
    </row>
    <row r="1205" spans="2:22">
      <c r="G1205"/>
      <c r="J1205" t="b">
        <f t="shared" ref="J1205:V1205" si="438">J1204=J1199</f>
        <v>1</v>
      </c>
      <c r="K1205" t="b">
        <f t="shared" si="438"/>
        <v>1</v>
      </c>
      <c r="L1205" t="b">
        <f t="shared" si="438"/>
        <v>1</v>
      </c>
      <c r="M1205" t="b">
        <f t="shared" si="438"/>
        <v>1</v>
      </c>
      <c r="N1205" t="b">
        <f t="shared" si="438"/>
        <v>1</v>
      </c>
      <c r="O1205" t="b">
        <f t="shared" si="438"/>
        <v>1</v>
      </c>
      <c r="P1205" t="b">
        <f t="shared" si="438"/>
        <v>1</v>
      </c>
      <c r="Q1205" t="b">
        <f t="shared" si="438"/>
        <v>1</v>
      </c>
      <c r="R1205" t="b">
        <f t="shared" si="438"/>
        <v>1</v>
      </c>
      <c r="S1205" t="b">
        <f t="shared" si="438"/>
        <v>1</v>
      </c>
      <c r="T1205" t="b">
        <f t="shared" si="438"/>
        <v>1</v>
      </c>
      <c r="U1205" t="b">
        <f t="shared" si="438"/>
        <v>1</v>
      </c>
      <c r="V1205" t="b">
        <f t="shared" si="438"/>
        <v>1</v>
      </c>
    </row>
    <row r="1206" spans="2:22">
      <c r="B1206" t="s">
        <v>9</v>
      </c>
      <c r="G1206"/>
      <c r="J1206">
        <f>SUM(J1175,J1197)</f>
        <v>300.49807519747799</v>
      </c>
      <c r="K1206">
        <f t="shared" ref="K1206:V1206" si="439">SUM(K1175,K1197)</f>
        <v>309.51301745340231</v>
      </c>
      <c r="L1206" s="462">
        <f t="shared" si="439"/>
        <v>318.79840797700439</v>
      </c>
      <c r="M1206">
        <f t="shared" si="439"/>
        <v>328.36236021631453</v>
      </c>
      <c r="N1206">
        <f t="shared" si="439"/>
        <v>338.21323102280405</v>
      </c>
      <c r="O1206">
        <f t="shared" si="439"/>
        <v>348.35962795348814</v>
      </c>
      <c r="P1206">
        <f t="shared" si="439"/>
        <v>358.81041679209284</v>
      </c>
      <c r="Q1206">
        <f t="shared" si="439"/>
        <v>369.5747292958556</v>
      </c>
      <c r="R1206">
        <f t="shared" si="439"/>
        <v>380.66197117473126</v>
      </c>
      <c r="S1206">
        <f t="shared" si="439"/>
        <v>392.08183030997327</v>
      </c>
      <c r="T1206">
        <f t="shared" si="439"/>
        <v>403.84428521927236</v>
      </c>
      <c r="U1206">
        <f t="shared" si="439"/>
        <v>415.95961377585058</v>
      </c>
      <c r="V1206">
        <f t="shared" si="439"/>
        <v>428.43840218912612</v>
      </c>
    </row>
    <row r="1207" spans="2:22">
      <c r="G1207"/>
    </row>
    <row r="1208" spans="2:22">
      <c r="B1208" t="s">
        <v>434</v>
      </c>
      <c r="E1208" s="39">
        <f>E1185</f>
        <v>0.27</v>
      </c>
      <c r="G1208"/>
      <c r="J1208">
        <f>J1197*$E$1208</f>
        <v>47.272199447343695</v>
      </c>
      <c r="K1208">
        <f t="shared" ref="K1208:V1208" si="440">K1197*$E$1208</f>
        <v>48.690365430764004</v>
      </c>
      <c r="L1208">
        <f t="shared" si="440"/>
        <v>50.151076393686928</v>
      </c>
      <c r="M1208">
        <f t="shared" si="440"/>
        <v>51.655608685497533</v>
      </c>
      <c r="N1208">
        <f t="shared" si="440"/>
        <v>53.205276946062476</v>
      </c>
      <c r="O1208">
        <f t="shared" si="440"/>
        <v>54.801435254444335</v>
      </c>
      <c r="P1208">
        <f t="shared" si="440"/>
        <v>56.445478312077675</v>
      </c>
      <c r="Q1208">
        <f t="shared" si="440"/>
        <v>58.138842661440009</v>
      </c>
      <c r="R1208">
        <f t="shared" si="440"/>
        <v>59.883007941283203</v>
      </c>
      <c r="S1208">
        <f t="shared" si="440"/>
        <v>61.679498179521708</v>
      </c>
      <c r="T1208">
        <f t="shared" si="440"/>
        <v>63.52988312490735</v>
      </c>
      <c r="U1208">
        <f t="shared" si="440"/>
        <v>65.435779618654578</v>
      </c>
      <c r="V1208">
        <f t="shared" si="440"/>
        <v>67.3988530072142</v>
      </c>
    </row>
    <row r="1209" spans="2:22">
      <c r="G1209"/>
    </row>
    <row r="1210" spans="2:22">
      <c r="B1210" s="28" t="s">
        <v>643</v>
      </c>
      <c r="C1210" s="28"/>
      <c r="D1210" s="28"/>
      <c r="E1210" s="28"/>
      <c r="F1210" s="28"/>
      <c r="G1210" s="28"/>
      <c r="H1210" s="28"/>
      <c r="I1210" s="28"/>
      <c r="J1210" s="28">
        <f>SUM(J1185,J1208)</f>
        <v>81.134480303319066</v>
      </c>
      <c r="K1210" s="28">
        <f t="shared" ref="K1210:V1210" si="441">SUM(K1185,K1208)</f>
        <v>83.568514712418647</v>
      </c>
      <c r="L1210" s="28">
        <f t="shared" si="441"/>
        <v>86.07557015379119</v>
      </c>
      <c r="M1210" s="28">
        <f t="shared" si="441"/>
        <v>88.657837258404925</v>
      </c>
      <c r="N1210" s="28">
        <f t="shared" si="441"/>
        <v>91.317572376157102</v>
      </c>
      <c r="O1210" s="28">
        <f t="shared" si="441"/>
        <v>94.057099547441794</v>
      </c>
      <c r="P1210" s="28">
        <f t="shared" si="441"/>
        <v>96.878812533865073</v>
      </c>
      <c r="Q1210" s="28">
        <f t="shared" si="441"/>
        <v>99.785176909881017</v>
      </c>
      <c r="R1210" s="28">
        <f t="shared" si="441"/>
        <v>102.77873221717745</v>
      </c>
      <c r="S1210" s="28">
        <f t="shared" si="441"/>
        <v>105.86209418369279</v>
      </c>
      <c r="T1210" s="28">
        <f t="shared" si="441"/>
        <v>109.03795700920355</v>
      </c>
      <c r="U1210" s="28">
        <f t="shared" si="441"/>
        <v>112.30909571947967</v>
      </c>
      <c r="V1210" s="28">
        <f t="shared" si="441"/>
        <v>115.67836859106404</v>
      </c>
    </row>
    <row r="1211" spans="2:22">
      <c r="G1211"/>
    </row>
    <row r="1212" spans="2:22">
      <c r="G1212"/>
    </row>
    <row r="1213" spans="2:22" ht="15.75">
      <c r="B1213" s="15" t="s">
        <v>644</v>
      </c>
      <c r="G1213"/>
    </row>
    <row r="1214" spans="2:22" ht="15.75">
      <c r="B1214" s="15" t="s">
        <v>626</v>
      </c>
      <c r="G1214"/>
    </row>
    <row r="1215" spans="2:22">
      <c r="B1215" t="s">
        <v>407</v>
      </c>
      <c r="G1215"/>
      <c r="J1215">
        <f t="shared" ref="J1215:V1215" si="442">J27+J32/2</f>
        <v>1602574.2089999998</v>
      </c>
      <c r="K1215">
        <f t="shared" si="442"/>
        <v>1650651.4352699998</v>
      </c>
      <c r="L1215">
        <f t="shared" si="442"/>
        <v>1700170.9783280997</v>
      </c>
      <c r="M1215">
        <f t="shared" si="442"/>
        <v>1751176.1076779428</v>
      </c>
      <c r="N1215">
        <f t="shared" si="442"/>
        <v>1803711.3909082813</v>
      </c>
      <c r="O1215">
        <f t="shared" si="442"/>
        <v>1857822.7326355297</v>
      </c>
      <c r="P1215">
        <f t="shared" si="442"/>
        <v>1913557.4146145957</v>
      </c>
      <c r="Q1215">
        <f t="shared" si="442"/>
        <v>1970964.1370530336</v>
      </c>
      <c r="R1215">
        <f t="shared" si="442"/>
        <v>2030093.0611646248</v>
      </c>
      <c r="S1215">
        <f t="shared" si="442"/>
        <v>2090995.8529995636</v>
      </c>
      <c r="T1215">
        <f t="shared" si="442"/>
        <v>2153725.7285895501</v>
      </c>
      <c r="U1215">
        <f t="shared" si="442"/>
        <v>2218337.5004472369</v>
      </c>
      <c r="V1215">
        <f t="shared" si="442"/>
        <v>2284887.625460654</v>
      </c>
    </row>
    <row r="1216" spans="2:22">
      <c r="G1216"/>
    </row>
    <row r="1217" spans="2:22" ht="30">
      <c r="E1217" s="9" t="s">
        <v>645</v>
      </c>
      <c r="F1217" s="9" t="s">
        <v>646</v>
      </c>
      <c r="G1217" s="9" t="s">
        <v>642</v>
      </c>
    </row>
    <row r="1218" spans="2:22">
      <c r="B1218" t="s">
        <v>629</v>
      </c>
      <c r="E1218" s="19">
        <v>2526</v>
      </c>
      <c r="F1218" s="19">
        <f>E1218</f>
        <v>2526</v>
      </c>
      <c r="G1218"/>
      <c r="J1218">
        <f t="shared" ref="J1218:J1223" si="443">$F1218*J$1215/Billion</f>
        <v>4.0481024519339996</v>
      </c>
      <c r="K1218">
        <f t="shared" ref="K1218:V1223" si="444">$F1218*K$1215/Billion</f>
        <v>4.16954552549202</v>
      </c>
      <c r="L1218">
        <f t="shared" si="444"/>
        <v>4.2946318912567794</v>
      </c>
      <c r="M1218">
        <f t="shared" si="444"/>
        <v>4.4234708479944835</v>
      </c>
      <c r="N1218">
        <f t="shared" si="444"/>
        <v>4.5561749734343184</v>
      </c>
      <c r="O1218">
        <f t="shared" si="444"/>
        <v>4.6928602226373481</v>
      </c>
      <c r="P1218">
        <f t="shared" si="444"/>
        <v>4.8336460293164691</v>
      </c>
      <c r="Q1218">
        <f t="shared" si="444"/>
        <v>4.9786554101959632</v>
      </c>
      <c r="R1218">
        <f t="shared" si="444"/>
        <v>5.1280150725018423</v>
      </c>
      <c r="S1218">
        <f t="shared" si="444"/>
        <v>5.2818555246768977</v>
      </c>
      <c r="T1218">
        <f t="shared" si="444"/>
        <v>5.4403111904172041</v>
      </c>
      <c r="U1218">
        <f t="shared" si="444"/>
        <v>5.6035205261297207</v>
      </c>
      <c r="V1218">
        <f t="shared" si="444"/>
        <v>5.7716261419136128</v>
      </c>
    </row>
    <row r="1219" spans="2:22">
      <c r="B1219" t="s">
        <v>630</v>
      </c>
      <c r="E1219" s="19">
        <v>36303</v>
      </c>
      <c r="F1219" s="19">
        <f>E1219</f>
        <v>36303</v>
      </c>
      <c r="G1219"/>
      <c r="J1219">
        <f t="shared" si="443"/>
        <v>58.178251509326998</v>
      </c>
      <c r="K1219">
        <f t="shared" si="444"/>
        <v>59.923599054606804</v>
      </c>
      <c r="L1219">
        <f t="shared" si="444"/>
        <v>61.721307026245</v>
      </c>
      <c r="M1219">
        <f t="shared" si="444"/>
        <v>63.572946237032355</v>
      </c>
      <c r="N1219">
        <f t="shared" si="444"/>
        <v>65.480134624143332</v>
      </c>
      <c r="O1219">
        <f t="shared" si="444"/>
        <v>67.444538662867643</v>
      </c>
      <c r="P1219">
        <f t="shared" si="444"/>
        <v>69.467874822753657</v>
      </c>
      <c r="Q1219">
        <f t="shared" si="444"/>
        <v>71.551911067436279</v>
      </c>
      <c r="R1219">
        <f t="shared" si="444"/>
        <v>73.698468399459372</v>
      </c>
      <c r="S1219">
        <f t="shared" si="444"/>
        <v>75.909422451443163</v>
      </c>
      <c r="T1219">
        <f t="shared" si="444"/>
        <v>78.186705124986432</v>
      </c>
      <c r="U1219">
        <f t="shared" si="444"/>
        <v>80.532306278736044</v>
      </c>
      <c r="V1219">
        <f t="shared" si="444"/>
        <v>82.948275467098128</v>
      </c>
    </row>
    <row r="1220" spans="2:22">
      <c r="B1220" s="407" t="s">
        <v>631</v>
      </c>
      <c r="E1220" s="19">
        <v>23777</v>
      </c>
      <c r="F1220" s="19">
        <f>-SUM(E1233:F1233)/G1220*E1220</f>
        <v>8584.6810575874533</v>
      </c>
      <c r="G1220">
        <f>E1220*(1-E1236)</f>
        <v>17357.21</v>
      </c>
      <c r="J1220">
        <f t="shared" si="443"/>
        <v>13.757588455380494</v>
      </c>
      <c r="K1220">
        <f t="shared" si="444"/>
        <v>14.170316109041909</v>
      </c>
      <c r="L1220">
        <f t="shared" si="444"/>
        <v>14.595425592313166</v>
      </c>
      <c r="M1220">
        <f t="shared" si="444"/>
        <v>15.033288360082562</v>
      </c>
      <c r="N1220">
        <f t="shared" si="444"/>
        <v>15.484287010885041</v>
      </c>
      <c r="O1220">
        <f t="shared" si="444"/>
        <v>15.948815621211592</v>
      </c>
      <c r="P1220">
        <f t="shared" si="444"/>
        <v>16.42728008984794</v>
      </c>
      <c r="Q1220">
        <f t="shared" si="444"/>
        <v>16.920098492543378</v>
      </c>
      <c r="R1220">
        <f t="shared" si="444"/>
        <v>17.427701447319684</v>
      </c>
      <c r="S1220">
        <f t="shared" si="444"/>
        <v>17.950532490739274</v>
      </c>
      <c r="T1220">
        <f t="shared" si="444"/>
        <v>18.489048465461448</v>
      </c>
      <c r="U1220">
        <f t="shared" si="444"/>
        <v>19.043719919425293</v>
      </c>
      <c r="V1220">
        <f t="shared" si="444"/>
        <v>19.615031517008052</v>
      </c>
    </row>
    <row r="1221" spans="2:22">
      <c r="B1221" s="407" t="s">
        <v>632</v>
      </c>
      <c r="E1221" s="19">
        <v>8421</v>
      </c>
      <c r="F1221" s="19">
        <f>-SUM(E1234:F1234)/G1221*E1221</f>
        <v>6393.8535185530009</v>
      </c>
      <c r="G1221">
        <f>E1221*(1-E1236)</f>
        <v>6147.33</v>
      </c>
      <c r="J1221">
        <f t="shared" si="443"/>
        <v>10.246624744956941</v>
      </c>
      <c r="K1221">
        <f t="shared" si="444"/>
        <v>10.554023487305649</v>
      </c>
      <c r="L1221">
        <f t="shared" si="444"/>
        <v>10.870644191924818</v>
      </c>
      <c r="M1221">
        <f t="shared" si="444"/>
        <v>11.196763517682564</v>
      </c>
      <c r="N1221">
        <f t="shared" si="444"/>
        <v>11.53266642321304</v>
      </c>
      <c r="O1221">
        <f t="shared" si="444"/>
        <v>11.878646415909433</v>
      </c>
      <c r="P1221">
        <f t="shared" si="444"/>
        <v>12.235005808386717</v>
      </c>
      <c r="Q1221">
        <f t="shared" si="444"/>
        <v>12.602055982638317</v>
      </c>
      <c r="R1221">
        <f t="shared" si="444"/>
        <v>12.980117662117468</v>
      </c>
      <c r="S1221">
        <f t="shared" si="444"/>
        <v>13.369521191980994</v>
      </c>
      <c r="T1221">
        <f t="shared" si="444"/>
        <v>13.770606827740421</v>
      </c>
      <c r="U1221">
        <f t="shared" si="444"/>
        <v>14.183725032572635</v>
      </c>
      <c r="V1221">
        <f t="shared" si="444"/>
        <v>14.609236783549814</v>
      </c>
    </row>
    <row r="1222" spans="2:22">
      <c r="B1222" s="407" t="s">
        <v>633</v>
      </c>
      <c r="E1222" s="19">
        <v>6935</v>
      </c>
      <c r="F1222" s="19">
        <f>E1222</f>
        <v>6935</v>
      </c>
      <c r="G1222"/>
      <c r="J1222">
        <f t="shared" si="443"/>
        <v>11.113852139414998</v>
      </c>
      <c r="K1222">
        <f t="shared" si="444"/>
        <v>11.447267703597449</v>
      </c>
      <c r="L1222">
        <f t="shared" si="444"/>
        <v>11.790685734705372</v>
      </c>
      <c r="M1222">
        <f t="shared" si="444"/>
        <v>12.144406306746534</v>
      </c>
      <c r="N1222">
        <f t="shared" si="444"/>
        <v>12.508738495948931</v>
      </c>
      <c r="O1222">
        <f t="shared" si="444"/>
        <v>12.884000650827398</v>
      </c>
      <c r="P1222">
        <f t="shared" si="444"/>
        <v>13.270520670352221</v>
      </c>
      <c r="Q1222">
        <f t="shared" si="444"/>
        <v>13.668636290462787</v>
      </c>
      <c r="R1222">
        <f t="shared" si="444"/>
        <v>14.078695379176672</v>
      </c>
      <c r="S1222">
        <f t="shared" si="444"/>
        <v>14.501056240551973</v>
      </c>
      <c r="T1222">
        <f t="shared" si="444"/>
        <v>14.936087927768529</v>
      </c>
      <c r="U1222">
        <f t="shared" si="444"/>
        <v>15.384170565601588</v>
      </c>
      <c r="V1222">
        <f t="shared" si="444"/>
        <v>15.845695682569636</v>
      </c>
    </row>
    <row r="1223" spans="2:22">
      <c r="B1223" s="407" t="s">
        <v>634</v>
      </c>
      <c r="E1223" s="19">
        <v>297</v>
      </c>
      <c r="F1223" s="19">
        <v>297</v>
      </c>
      <c r="G1223"/>
      <c r="J1223">
        <f t="shared" si="443"/>
        <v>0.47596454007299993</v>
      </c>
      <c r="K1223">
        <f t="shared" si="444"/>
        <v>0.49024347627518994</v>
      </c>
      <c r="L1223">
        <f t="shared" si="444"/>
        <v>0.50495078056344567</v>
      </c>
      <c r="M1223">
        <f t="shared" si="444"/>
        <v>0.52009930398034898</v>
      </c>
      <c r="N1223">
        <f t="shared" si="444"/>
        <v>0.53570228309975954</v>
      </c>
      <c r="O1223">
        <f t="shared" si="444"/>
        <v>0.55177335159275231</v>
      </c>
      <c r="P1223">
        <f t="shared" si="444"/>
        <v>0.56832655214053485</v>
      </c>
      <c r="Q1223">
        <f t="shared" si="444"/>
        <v>0.58537634870475097</v>
      </c>
      <c r="R1223">
        <f t="shared" si="444"/>
        <v>0.6029376391658936</v>
      </c>
      <c r="S1223">
        <f t="shared" si="444"/>
        <v>0.62102576834087042</v>
      </c>
      <c r="T1223">
        <f t="shared" si="444"/>
        <v>0.6396565413910964</v>
      </c>
      <c r="U1223">
        <f t="shared" si="444"/>
        <v>0.65884623763282946</v>
      </c>
      <c r="V1223">
        <f t="shared" si="444"/>
        <v>0.67861162476181425</v>
      </c>
    </row>
    <row r="1224" spans="2:22">
      <c r="C1224" s="407"/>
      <c r="E1224">
        <f>SUM(E1218:E1223)</f>
        <v>78259</v>
      </c>
      <c r="F1224">
        <f>SUM(F1218:F1223)</f>
        <v>61039.534576140453</v>
      </c>
      <c r="G1224">
        <f>E1224-F1224</f>
        <v>17219.465423859547</v>
      </c>
      <c r="J1224" s="28">
        <f t="shared" ref="J1224:V1224" si="445">SUM(J1218:J1223)</f>
        <v>97.820383841086439</v>
      </c>
      <c r="K1224" s="28">
        <f t="shared" si="445"/>
        <v>100.75499535631903</v>
      </c>
      <c r="L1224" s="28">
        <f t="shared" si="445"/>
        <v>103.7776452170086</v>
      </c>
      <c r="M1224" s="28">
        <f t="shared" si="445"/>
        <v>106.89097457351885</v>
      </c>
      <c r="N1224" s="28">
        <f t="shared" si="445"/>
        <v>110.09770381072444</v>
      </c>
      <c r="O1224" s="28">
        <f t="shared" si="445"/>
        <v>113.40063492504618</v>
      </c>
      <c r="P1224" s="28">
        <f t="shared" si="445"/>
        <v>116.80265397279754</v>
      </c>
      <c r="Q1224" s="28">
        <f t="shared" si="445"/>
        <v>120.30673359198148</v>
      </c>
      <c r="R1224" s="28">
        <f t="shared" si="445"/>
        <v>123.91593559974093</v>
      </c>
      <c r="S1224" s="28">
        <f t="shared" si="445"/>
        <v>127.63341366773318</v>
      </c>
      <c r="T1224" s="28">
        <f t="shared" si="445"/>
        <v>131.46241607776514</v>
      </c>
      <c r="U1224" s="28">
        <f t="shared" si="445"/>
        <v>135.40628856009812</v>
      </c>
      <c r="V1224" s="28">
        <f t="shared" si="445"/>
        <v>139.46847721690108</v>
      </c>
    </row>
    <row r="1225" spans="2:22">
      <c r="B1225" t="s">
        <v>648</v>
      </c>
      <c r="G1225"/>
    </row>
    <row r="1226" spans="2:22">
      <c r="B1226" t="s">
        <v>642</v>
      </c>
      <c r="E1226">
        <f>-(E1224-E1224*E1236)</f>
        <v>-57129.07</v>
      </c>
      <c r="F1226">
        <f>SUM(F1227:F1230)</f>
        <v>-37160.395760733183</v>
      </c>
      <c r="G1226">
        <f>E1226-F1226</f>
        <v>-19968.674239266817</v>
      </c>
      <c r="J1226">
        <f>SUM(J1227:J1230)</f>
        <v>-59.55229184238393</v>
      </c>
      <c r="K1226">
        <f t="shared" ref="K1226:V1226" si="446">SUM(K1227:K1230)</f>
        <v>-61.33886059765544</v>
      </c>
      <c r="L1226">
        <f t="shared" si="446"/>
        <v>-63.179026415585106</v>
      </c>
      <c r="M1226">
        <f t="shared" si="446"/>
        <v>-65.074397208052673</v>
      </c>
      <c r="N1226">
        <f t="shared" si="446"/>
        <v>-67.026629124294246</v>
      </c>
      <c r="O1226">
        <f t="shared" si="446"/>
        <v>-69.037427998023077</v>
      </c>
      <c r="P1226">
        <f t="shared" si="446"/>
        <v>-71.108550837963776</v>
      </c>
      <c r="Q1226">
        <f t="shared" si="446"/>
        <v>-73.24180736310268</v>
      </c>
      <c r="R1226">
        <f t="shared" si="446"/>
        <v>-75.439061583995766</v>
      </c>
      <c r="S1226">
        <f t="shared" si="446"/>
        <v>-77.702233431515651</v>
      </c>
      <c r="T1226">
        <f t="shared" si="446"/>
        <v>-80.033300434461097</v>
      </c>
      <c r="U1226">
        <f t="shared" si="446"/>
        <v>-82.434299447494936</v>
      </c>
      <c r="V1226">
        <f t="shared" si="446"/>
        <v>-84.90732843091979</v>
      </c>
    </row>
    <row r="1227" spans="2:22">
      <c r="B1227" s="279" t="s">
        <v>636</v>
      </c>
      <c r="C1227" s="280"/>
      <c r="D1227" s="285">
        <f>E1227/E$1226</f>
        <v>0.118128830743832</v>
      </c>
      <c r="E1227" s="281">
        <f>F1178</f>
        <v>-6748.59024058253</v>
      </c>
      <c r="F1227" s="281">
        <v>-6748.59024058253</v>
      </c>
      <c r="G1227" s="21"/>
      <c r="J1227">
        <f>$F1227*J$1166/Billion</f>
        <v>-10.815116666666666</v>
      </c>
      <c r="K1227">
        <f t="shared" ref="K1227:V1230" si="447">$F1227*K$1166/Billion</f>
        <v>-11.139570166666665</v>
      </c>
      <c r="L1227">
        <f t="shared" si="447"/>
        <v>-11.473757271666665</v>
      </c>
      <c r="M1227">
        <f t="shared" si="447"/>
        <v>-11.817969989816667</v>
      </c>
      <c r="N1227">
        <f t="shared" si="447"/>
        <v>-12.172509089511168</v>
      </c>
      <c r="O1227">
        <f t="shared" si="447"/>
        <v>-12.537684362196503</v>
      </c>
      <c r="P1227">
        <f t="shared" si="447"/>
        <v>-12.913814893062399</v>
      </c>
      <c r="Q1227">
        <f t="shared" si="447"/>
        <v>-13.30122933985427</v>
      </c>
      <c r="R1227">
        <f t="shared" si="447"/>
        <v>-13.700266220049899</v>
      </c>
      <c r="S1227">
        <f t="shared" si="447"/>
        <v>-14.111274206651398</v>
      </c>
      <c r="T1227">
        <f t="shared" si="447"/>
        <v>-14.534612432850937</v>
      </c>
      <c r="U1227">
        <f t="shared" si="447"/>
        <v>-14.970650805836467</v>
      </c>
      <c r="V1227">
        <f t="shared" si="447"/>
        <v>-15.419770330011561</v>
      </c>
    </row>
    <row r="1228" spans="2:22">
      <c r="B1228" s="282" t="s">
        <v>637</v>
      </c>
      <c r="D1228" s="286">
        <f>E1228/E$1226</f>
        <v>7.32681277675271E-2</v>
      </c>
      <c r="E1228" s="283">
        <f>F1179</f>
        <v>-4185.74</v>
      </c>
      <c r="F1228" s="283">
        <f>E1228</f>
        <v>-4185.74</v>
      </c>
      <c r="G1228"/>
      <c r="J1228">
        <f>$F1228*J$1166/Billion</f>
        <v>-6.7079589695796589</v>
      </c>
      <c r="K1228">
        <f t="shared" si="447"/>
        <v>-6.9091977386670482</v>
      </c>
      <c r="L1228">
        <f t="shared" si="447"/>
        <v>-7.1164736708270597</v>
      </c>
      <c r="M1228">
        <f t="shared" si="447"/>
        <v>-7.3299678809518722</v>
      </c>
      <c r="N1228">
        <f t="shared" si="447"/>
        <v>-7.5498669173804291</v>
      </c>
      <c r="O1228">
        <f t="shared" si="447"/>
        <v>-7.776362924901842</v>
      </c>
      <c r="P1228">
        <f t="shared" si="447"/>
        <v>-8.0096538126488976</v>
      </c>
      <c r="Q1228">
        <f t="shared" si="447"/>
        <v>-8.2499434270283647</v>
      </c>
      <c r="R1228">
        <f t="shared" si="447"/>
        <v>-8.4974417298392169</v>
      </c>
      <c r="S1228">
        <f t="shared" si="447"/>
        <v>-8.7523649817343916</v>
      </c>
      <c r="T1228">
        <f t="shared" si="447"/>
        <v>-9.0149359311864217</v>
      </c>
      <c r="U1228">
        <f t="shared" si="447"/>
        <v>-9.2853840091220174</v>
      </c>
      <c r="V1228">
        <f t="shared" si="447"/>
        <v>-9.5639455293956779</v>
      </c>
    </row>
    <row r="1229" spans="2:22">
      <c r="B1229" s="282" t="s">
        <v>638</v>
      </c>
      <c r="D1229" s="286">
        <f>E1229/E$1226</f>
        <v>0.2200317589524475</v>
      </c>
      <c r="E1229" s="283">
        <f>F1180</f>
        <v>-12570.209759417499</v>
      </c>
      <c r="F1229" s="19">
        <v>0</v>
      </c>
      <c r="G1229"/>
      <c r="J1229">
        <f>$F1229*J$1166/Billion</f>
        <v>0</v>
      </c>
      <c r="K1229">
        <f t="shared" si="447"/>
        <v>0</v>
      </c>
      <c r="L1229">
        <f t="shared" si="447"/>
        <v>0</v>
      </c>
      <c r="M1229">
        <f t="shared" si="447"/>
        <v>0</v>
      </c>
      <c r="N1229">
        <f t="shared" si="447"/>
        <v>0</v>
      </c>
      <c r="O1229">
        <f t="shared" si="447"/>
        <v>0</v>
      </c>
      <c r="P1229">
        <f t="shared" si="447"/>
        <v>0</v>
      </c>
      <c r="Q1229">
        <f t="shared" si="447"/>
        <v>0</v>
      </c>
      <c r="R1229">
        <f t="shared" si="447"/>
        <v>0</v>
      </c>
      <c r="S1229">
        <f t="shared" si="447"/>
        <v>0</v>
      </c>
      <c r="T1229">
        <f t="shared" si="447"/>
        <v>0</v>
      </c>
      <c r="U1229">
        <f t="shared" si="447"/>
        <v>0</v>
      </c>
      <c r="V1229">
        <f t="shared" si="447"/>
        <v>0</v>
      </c>
    </row>
    <row r="1230" spans="2:22">
      <c r="B1230" s="284" t="s">
        <v>639</v>
      </c>
      <c r="C1230" s="118"/>
      <c r="D1230" s="287">
        <f>E1230/E$1226</f>
        <v>0.5885712825361934</v>
      </c>
      <c r="E1230" s="212">
        <f>F1181</f>
        <v>-33624.52999999997</v>
      </c>
      <c r="F1230" s="212">
        <f>F1224*E1231</f>
        <v>-26226.065520150652</v>
      </c>
      <c r="G1230"/>
      <c r="J1230">
        <f>$F1230*J$1166/Billion</f>
        <v>-42.029216206137605</v>
      </c>
      <c r="K1230">
        <f t="shared" si="447"/>
        <v>-43.290092692321728</v>
      </c>
      <c r="L1230">
        <f t="shared" si="447"/>
        <v>-44.58879547309138</v>
      </c>
      <c r="M1230">
        <f t="shared" si="447"/>
        <v>-45.926459337284129</v>
      </c>
      <c r="N1230">
        <f t="shared" si="447"/>
        <v>-47.304253117402652</v>
      </c>
      <c r="O1230">
        <f t="shared" si="447"/>
        <v>-48.723380710924729</v>
      </c>
      <c r="P1230">
        <f t="shared" si="447"/>
        <v>-50.185082132252475</v>
      </c>
      <c r="Q1230">
        <f t="shared" si="447"/>
        <v>-51.69063459622005</v>
      </c>
      <c r="R1230">
        <f t="shared" si="447"/>
        <v>-53.241353634106652</v>
      </c>
      <c r="S1230">
        <f t="shared" si="447"/>
        <v>-54.838594243129862</v>
      </c>
      <c r="T1230">
        <f t="shared" si="447"/>
        <v>-56.483752070423748</v>
      </c>
      <c r="U1230">
        <f t="shared" si="447"/>
        <v>-58.178264632536461</v>
      </c>
      <c r="V1230">
        <f t="shared" si="447"/>
        <v>-59.923612571512557</v>
      </c>
    </row>
    <row r="1231" spans="2:22">
      <c r="D1231" s="288">
        <f>E1231/E$1226</f>
        <v>7.5208127184885235E-6</v>
      </c>
      <c r="E1231" s="21">
        <f>E1230/E1224</f>
        <v>-0.42965703625142115</v>
      </c>
      <c r="G1231"/>
    </row>
    <row r="1232" spans="2:22">
      <c r="E1232" s="407" t="s">
        <v>636</v>
      </c>
      <c r="F1232" s="407" t="s">
        <v>649</v>
      </c>
      <c r="G1232"/>
    </row>
    <row r="1233" spans="2:22">
      <c r="B1233" t="s">
        <v>650</v>
      </c>
      <c r="E1233">
        <v>-3175.8071720388398</v>
      </c>
      <c r="F1233">
        <v>-3091.01</v>
      </c>
      <c r="G1233"/>
    </row>
    <row r="1234" spans="2:22">
      <c r="B1234" t="s">
        <v>651</v>
      </c>
      <c r="E1234">
        <v>-3572.7830685436902</v>
      </c>
      <c r="F1234">
        <v>-1094.73</v>
      </c>
      <c r="G1234"/>
    </row>
    <row r="1235" spans="2:22">
      <c r="G1235"/>
    </row>
    <row r="1236" spans="2:22">
      <c r="B1236" t="s">
        <v>434</v>
      </c>
      <c r="E1236" s="39">
        <f>E1185</f>
        <v>0.27</v>
      </c>
      <c r="G1236"/>
      <c r="J1236">
        <f>SUM(J1224,J1226)</f>
        <v>38.268091998702509</v>
      </c>
      <c r="K1236">
        <f t="shared" ref="K1236:V1236" si="448">SUM(K1224,K1226)</f>
        <v>39.416134758663588</v>
      </c>
      <c r="L1236">
        <f t="shared" si="448"/>
        <v>40.598618801423491</v>
      </c>
      <c r="M1236">
        <f t="shared" si="448"/>
        <v>41.816577365466173</v>
      </c>
      <c r="N1236">
        <f t="shared" si="448"/>
        <v>43.071074686430194</v>
      </c>
      <c r="O1236">
        <f t="shared" si="448"/>
        <v>44.3632069270231</v>
      </c>
      <c r="P1236">
        <f t="shared" si="448"/>
        <v>45.694103134833767</v>
      </c>
      <c r="Q1236">
        <f t="shared" si="448"/>
        <v>47.064926228878804</v>
      </c>
      <c r="R1236">
        <f t="shared" si="448"/>
        <v>48.476874015745167</v>
      </c>
      <c r="S1236">
        <f t="shared" si="448"/>
        <v>49.931180236217529</v>
      </c>
      <c r="T1236">
        <f t="shared" si="448"/>
        <v>51.429115643304044</v>
      </c>
      <c r="U1236">
        <f t="shared" si="448"/>
        <v>52.971989112603183</v>
      </c>
      <c r="V1236">
        <f t="shared" si="448"/>
        <v>54.561148785981288</v>
      </c>
    </row>
    <row r="1237" spans="2:22">
      <c r="G1237"/>
    </row>
    <row r="1238" spans="2:22" ht="15.75">
      <c r="B1238" s="15" t="s">
        <v>626</v>
      </c>
      <c r="G1238"/>
    </row>
    <row r="1239" spans="2:22">
      <c r="B1239" t="s">
        <v>407</v>
      </c>
      <c r="G1239"/>
      <c r="J1239">
        <f t="shared" ref="J1239:V1239" si="449">J22+J32/2</f>
        <v>2063651.067</v>
      </c>
      <c r="K1239">
        <f t="shared" si="449"/>
        <v>2125560.59901</v>
      </c>
      <c r="L1239">
        <f t="shared" si="449"/>
        <v>2189327.4169803001</v>
      </c>
      <c r="M1239">
        <f t="shared" si="449"/>
        <v>2255007.239489709</v>
      </c>
      <c r="N1239">
        <f t="shared" si="449"/>
        <v>2322657.4566744007</v>
      </c>
      <c r="O1239">
        <f t="shared" si="449"/>
        <v>2392337.1803746326</v>
      </c>
      <c r="P1239">
        <f t="shared" si="449"/>
        <v>2464107.2957858718</v>
      </c>
      <c r="Q1239">
        <f t="shared" si="449"/>
        <v>2538030.5146594481</v>
      </c>
      <c r="R1239">
        <f t="shared" si="449"/>
        <v>2614171.4300992312</v>
      </c>
      <c r="S1239">
        <f t="shared" si="449"/>
        <v>2692596.5730022085</v>
      </c>
      <c r="T1239">
        <f t="shared" si="449"/>
        <v>2773374.4701922745</v>
      </c>
      <c r="U1239">
        <f t="shared" si="449"/>
        <v>2856575.7042980432</v>
      </c>
      <c r="V1239">
        <f t="shared" si="449"/>
        <v>2942272.975426984</v>
      </c>
    </row>
    <row r="1240" spans="2:22">
      <c r="G1240"/>
    </row>
    <row r="1241" spans="2:22" ht="30">
      <c r="E1241" s="9" t="s">
        <v>652</v>
      </c>
      <c r="F1241" s="9" t="s">
        <v>653</v>
      </c>
      <c r="G1241" s="9" t="s">
        <v>642</v>
      </c>
    </row>
    <row r="1242" spans="2:22">
      <c r="B1242" t="s">
        <v>629</v>
      </c>
      <c r="E1242" s="19">
        <f t="shared" ref="E1242:E1247" si="450">F1191</f>
        <v>3705</v>
      </c>
      <c r="F1242" s="19">
        <f>E1242</f>
        <v>3705</v>
      </c>
      <c r="G1242"/>
      <c r="J1242">
        <f t="shared" ref="J1242:J1247" si="451">$F1242*J$1239/Billion</f>
        <v>7.645827203235001</v>
      </c>
      <c r="K1242">
        <f t="shared" ref="K1242:V1247" si="452">$F1242*K$1239/Billion</f>
        <v>7.8752020193320504</v>
      </c>
      <c r="L1242">
        <f t="shared" si="452"/>
        <v>8.111458079912012</v>
      </c>
      <c r="M1242">
        <f t="shared" si="452"/>
        <v>8.3548018223093727</v>
      </c>
      <c r="N1242">
        <f t="shared" si="452"/>
        <v>8.6054458769786546</v>
      </c>
      <c r="O1242">
        <f t="shared" si="452"/>
        <v>8.8636092532880131</v>
      </c>
      <c r="P1242">
        <f t="shared" si="452"/>
        <v>9.1295175308866554</v>
      </c>
      <c r="Q1242">
        <f t="shared" si="452"/>
        <v>9.4034030568132554</v>
      </c>
      <c r="R1242">
        <f t="shared" si="452"/>
        <v>9.6855051485176524</v>
      </c>
      <c r="S1242">
        <f t="shared" si="452"/>
        <v>9.9760703029731825</v>
      </c>
      <c r="T1242">
        <f t="shared" si="452"/>
        <v>10.275352412062379</v>
      </c>
      <c r="U1242">
        <f t="shared" si="452"/>
        <v>10.583612984424249</v>
      </c>
      <c r="V1242">
        <f t="shared" si="452"/>
        <v>10.901121373956975</v>
      </c>
    </row>
    <row r="1243" spans="2:22">
      <c r="B1243" t="s">
        <v>630</v>
      </c>
      <c r="E1243" s="19">
        <f t="shared" si="450"/>
        <v>42588</v>
      </c>
      <c r="F1243" s="19">
        <f>E1243</f>
        <v>42588</v>
      </c>
      <c r="G1243"/>
      <c r="J1243">
        <f t="shared" si="451"/>
        <v>87.886771641395995</v>
      </c>
      <c r="K1243">
        <f t="shared" si="452"/>
        <v>90.523374790637874</v>
      </c>
      <c r="L1243">
        <f t="shared" si="452"/>
        <v>93.239076034357026</v>
      </c>
      <c r="M1243">
        <f t="shared" si="452"/>
        <v>96.036248315387724</v>
      </c>
      <c r="N1243">
        <f t="shared" si="452"/>
        <v>98.917335764849383</v>
      </c>
      <c r="O1243">
        <f t="shared" si="452"/>
        <v>101.88485583779485</v>
      </c>
      <c r="P1243">
        <f t="shared" si="452"/>
        <v>104.94140151292871</v>
      </c>
      <c r="Q1243">
        <f t="shared" si="452"/>
        <v>108.08964355831658</v>
      </c>
      <c r="R1243">
        <f t="shared" si="452"/>
        <v>111.33233286506605</v>
      </c>
      <c r="S1243">
        <f t="shared" si="452"/>
        <v>114.67230285101805</v>
      </c>
      <c r="T1243">
        <f t="shared" si="452"/>
        <v>118.11247193654859</v>
      </c>
      <c r="U1243">
        <f t="shared" si="452"/>
        <v>121.65584609464507</v>
      </c>
      <c r="V1243">
        <f t="shared" si="452"/>
        <v>125.30552147748439</v>
      </c>
    </row>
    <row r="1244" spans="2:22">
      <c r="B1244" s="407" t="s">
        <v>631</v>
      </c>
      <c r="E1244" s="19">
        <f t="shared" si="450"/>
        <v>23245</v>
      </c>
      <c r="F1244" s="19">
        <f>-SUM(E1257:F1257)/G1244*E1244</f>
        <v>10083.500887458207</v>
      </c>
      <c r="G1244">
        <f>E1244*(1-E1261)</f>
        <v>16968.849999999999</v>
      </c>
      <c r="J1244">
        <f t="shared" si="451"/>
        <v>20.808827365498576</v>
      </c>
      <c r="K1244">
        <f t="shared" si="452"/>
        <v>21.433092186463536</v>
      </c>
      <c r="L1244">
        <f t="shared" si="452"/>
        <v>22.076084952057442</v>
      </c>
      <c r="M1244">
        <f t="shared" si="452"/>
        <v>22.738367500619162</v>
      </c>
      <c r="N1244">
        <f t="shared" si="452"/>
        <v>23.420518525637743</v>
      </c>
      <c r="O1244">
        <f t="shared" si="452"/>
        <v>24.123134081406871</v>
      </c>
      <c r="P1244">
        <f t="shared" si="452"/>
        <v>24.846828103849084</v>
      </c>
      <c r="Q1244">
        <f t="shared" si="452"/>
        <v>25.592232946964554</v>
      </c>
      <c r="R1244">
        <f t="shared" si="452"/>
        <v>26.359999935373491</v>
      </c>
      <c r="S1244">
        <f t="shared" si="452"/>
        <v>27.150799933434698</v>
      </c>
      <c r="T1244">
        <f t="shared" si="452"/>
        <v>27.965323931437737</v>
      </c>
      <c r="U1244">
        <f t="shared" si="452"/>
        <v>28.804283649380871</v>
      </c>
      <c r="V1244">
        <f t="shared" si="452"/>
        <v>29.668412158862292</v>
      </c>
    </row>
    <row r="1245" spans="2:22">
      <c r="B1245" s="407" t="s">
        <v>632</v>
      </c>
      <c r="E1245" s="19">
        <f t="shared" si="450"/>
        <v>8232</v>
      </c>
      <c r="F1245" s="19">
        <f>-SUM(E1258:F1258)/G1245*E1245</f>
        <v>8152.9504846918499</v>
      </c>
      <c r="G1245">
        <f>E1245*(1-E1261)</f>
        <v>6009.36</v>
      </c>
      <c r="J1245">
        <f t="shared" si="451"/>
        <v>16.824844966932503</v>
      </c>
      <c r="K1245">
        <f t="shared" si="452"/>
        <v>17.329590315940479</v>
      </c>
      <c r="L1245">
        <f t="shared" si="452"/>
        <v>17.849478025418694</v>
      </c>
      <c r="M1245">
        <f t="shared" si="452"/>
        <v>18.384962366181256</v>
      </c>
      <c r="N1245">
        <f t="shared" si="452"/>
        <v>18.936511237166695</v>
      </c>
      <c r="O1245">
        <f t="shared" si="452"/>
        <v>19.504606574281691</v>
      </c>
      <c r="P1245">
        <f t="shared" si="452"/>
        <v>20.089744771510148</v>
      </c>
      <c r="Q1245">
        <f t="shared" si="452"/>
        <v>20.692437114655451</v>
      </c>
      <c r="R1245">
        <f t="shared" si="452"/>
        <v>21.313210228095112</v>
      </c>
      <c r="S1245">
        <f t="shared" si="452"/>
        <v>21.952606534937971</v>
      </c>
      <c r="T1245">
        <f t="shared" si="452"/>
        <v>22.611184730986107</v>
      </c>
      <c r="U1245">
        <f t="shared" si="452"/>
        <v>23.289520272915695</v>
      </c>
      <c r="V1245">
        <f t="shared" si="452"/>
        <v>23.988205881103159</v>
      </c>
    </row>
    <row r="1246" spans="2:22">
      <c r="B1246" s="407" t="s">
        <v>633</v>
      </c>
      <c r="E1246" s="19">
        <f t="shared" si="450"/>
        <v>6780</v>
      </c>
      <c r="F1246" s="19">
        <f>E1246</f>
        <v>6780</v>
      </c>
      <c r="G1246"/>
      <c r="J1246">
        <f t="shared" si="451"/>
        <v>13.991554234260001</v>
      </c>
      <c r="K1246">
        <f t="shared" si="452"/>
        <v>14.411300861287799</v>
      </c>
      <c r="L1246">
        <f t="shared" si="452"/>
        <v>14.843639887126434</v>
      </c>
      <c r="M1246">
        <f t="shared" si="452"/>
        <v>15.288949083740226</v>
      </c>
      <c r="N1246">
        <f t="shared" si="452"/>
        <v>15.747617556252438</v>
      </c>
      <c r="O1246">
        <f t="shared" si="452"/>
        <v>16.220046082940009</v>
      </c>
      <c r="P1246">
        <f t="shared" si="452"/>
        <v>16.706647465428212</v>
      </c>
      <c r="Q1246">
        <f t="shared" si="452"/>
        <v>17.207846889391057</v>
      </c>
      <c r="R1246">
        <f t="shared" si="452"/>
        <v>17.724082296072787</v>
      </c>
      <c r="S1246">
        <f t="shared" si="452"/>
        <v>18.255804764954974</v>
      </c>
      <c r="T1246">
        <f t="shared" si="452"/>
        <v>18.803478907903621</v>
      </c>
      <c r="U1246">
        <f t="shared" si="452"/>
        <v>19.367583275140731</v>
      </c>
      <c r="V1246">
        <f t="shared" si="452"/>
        <v>19.94861077339495</v>
      </c>
    </row>
    <row r="1247" spans="2:22">
      <c r="B1247" s="407" t="s">
        <v>634</v>
      </c>
      <c r="E1247" s="19">
        <f t="shared" si="450"/>
        <v>291</v>
      </c>
      <c r="F1247" s="19">
        <f>E1247</f>
        <v>291</v>
      </c>
      <c r="G1247"/>
      <c r="J1247">
        <f t="shared" si="451"/>
        <v>0.60052246049699998</v>
      </c>
      <c r="K1247">
        <f t="shared" si="452"/>
        <v>0.61853813431191007</v>
      </c>
      <c r="L1247">
        <f t="shared" si="452"/>
        <v>0.63709427834126731</v>
      </c>
      <c r="M1247">
        <f t="shared" si="452"/>
        <v>0.65620710669150528</v>
      </c>
      <c r="N1247">
        <f t="shared" si="452"/>
        <v>0.67589331989225065</v>
      </c>
      <c r="O1247">
        <f t="shared" si="452"/>
        <v>0.69617011948901808</v>
      </c>
      <c r="P1247">
        <f t="shared" si="452"/>
        <v>0.71705522307368874</v>
      </c>
      <c r="Q1247">
        <f t="shared" si="452"/>
        <v>0.73856687976589941</v>
      </c>
      <c r="R1247">
        <f t="shared" si="452"/>
        <v>0.76072388615887632</v>
      </c>
      <c r="S1247">
        <f t="shared" si="452"/>
        <v>0.78354560274364271</v>
      </c>
      <c r="T1247">
        <f t="shared" si="452"/>
        <v>0.80705197082595193</v>
      </c>
      <c r="U1247">
        <f t="shared" si="452"/>
        <v>0.83126352995073061</v>
      </c>
      <c r="V1247">
        <f t="shared" si="452"/>
        <v>0.85620143584925235</v>
      </c>
    </row>
    <row r="1248" spans="2:22">
      <c r="C1248" s="407"/>
      <c r="E1248">
        <f>SUM(E1242:E1247)</f>
        <v>84841</v>
      </c>
      <c r="F1248">
        <f>SUM(F1242:F1247)</f>
        <v>71600.451372150055</v>
      </c>
      <c r="G1248">
        <f>E1248-F1248</f>
        <v>13240.548627849945</v>
      </c>
      <c r="J1248" s="28">
        <f t="shared" ref="J1248:V1248" si="453">SUM(J1242:J1247)</f>
        <v>147.75834787181907</v>
      </c>
      <c r="K1248" s="28">
        <f t="shared" si="453"/>
        <v>152.19109830797365</v>
      </c>
      <c r="L1248" s="28">
        <f t="shared" si="453"/>
        <v>156.75683125721289</v>
      </c>
      <c r="M1248" s="28">
        <f t="shared" si="453"/>
        <v>161.45953619492926</v>
      </c>
      <c r="N1248" s="28">
        <f t="shared" si="453"/>
        <v>166.30332228077714</v>
      </c>
      <c r="O1248" s="28">
        <f t="shared" si="453"/>
        <v>171.29242194920045</v>
      </c>
      <c r="P1248" s="28">
        <f t="shared" si="453"/>
        <v>176.43119460767647</v>
      </c>
      <c r="Q1248" s="28">
        <f t="shared" si="453"/>
        <v>181.72413044590681</v>
      </c>
      <c r="R1248" s="28">
        <f t="shared" si="453"/>
        <v>187.17585435928396</v>
      </c>
      <c r="S1248" s="28">
        <f t="shared" si="453"/>
        <v>192.79112999006247</v>
      </c>
      <c r="T1248" s="28">
        <f t="shared" si="453"/>
        <v>198.57486388976434</v>
      </c>
      <c r="U1248" s="28">
        <f t="shared" si="453"/>
        <v>204.53210980645733</v>
      </c>
      <c r="V1248" s="28">
        <f t="shared" si="453"/>
        <v>210.66807310065101</v>
      </c>
    </row>
    <row r="1249" spans="2:22">
      <c r="B1249" t="s">
        <v>648</v>
      </c>
      <c r="G1249"/>
    </row>
    <row r="1250" spans="2:22">
      <c r="B1250" t="s">
        <v>642</v>
      </c>
      <c r="E1250">
        <f>-(E1248-E1248*E1261)</f>
        <v>-61933.93</v>
      </c>
      <c r="F1250">
        <f>SUM(F1251:F1254)</f>
        <v>-45636.014920302609</v>
      </c>
      <c r="G1250"/>
      <c r="J1250">
        <f t="shared" ref="J1250:V1250" si="454">SUM(J1251:J1254)</f>
        <v>-94.176810883910406</v>
      </c>
      <c r="K1250">
        <f t="shared" si="454"/>
        <v>-97.002115210427704</v>
      </c>
      <c r="L1250">
        <f t="shared" si="454"/>
        <v>-99.912178666740544</v>
      </c>
      <c r="M1250">
        <f t="shared" si="454"/>
        <v>-102.90954402674275</v>
      </c>
      <c r="N1250">
        <f t="shared" si="454"/>
        <v>-105.99683034754506</v>
      </c>
      <c r="O1250">
        <f t="shared" si="454"/>
        <v>-109.17673525797139</v>
      </c>
      <c r="P1250">
        <f t="shared" si="454"/>
        <v>-112.45203731571056</v>
      </c>
      <c r="Q1250">
        <f t="shared" si="454"/>
        <v>-115.82559843518187</v>
      </c>
      <c r="R1250">
        <f t="shared" si="454"/>
        <v>-119.30036638823732</v>
      </c>
      <c r="S1250">
        <f t="shared" si="454"/>
        <v>-122.87937737988446</v>
      </c>
      <c r="T1250">
        <f t="shared" si="454"/>
        <v>-126.56575870128098</v>
      </c>
      <c r="U1250">
        <f t="shared" si="454"/>
        <v>-130.36273146231943</v>
      </c>
      <c r="V1250">
        <f t="shared" si="454"/>
        <v>-134.27361340618899</v>
      </c>
    </row>
    <row r="1251" spans="2:22">
      <c r="B1251" s="279" t="s">
        <v>636</v>
      </c>
      <c r="C1251" s="280"/>
      <c r="D1251" s="285">
        <f>E1251/E$1226</f>
        <v>0.16139943292739634</v>
      </c>
      <c r="E1251" s="281">
        <f>F1200</f>
        <v>-9220.5995016695306</v>
      </c>
      <c r="F1251" s="281">
        <f>E1251</f>
        <v>-9220.5995016695306</v>
      </c>
      <c r="G1251" s="21"/>
      <c r="J1251">
        <f>$F1251*J$1239/Billion</f>
        <v>-19.028099999999995</v>
      </c>
      <c r="K1251">
        <f t="shared" ref="K1251:V1254" si="455">$F1251*K$1239/Billion</f>
        <v>-19.598942999999995</v>
      </c>
      <c r="L1251">
        <f t="shared" si="455"/>
        <v>-20.186911289999998</v>
      </c>
      <c r="M1251">
        <f t="shared" si="455"/>
        <v>-20.792518628699995</v>
      </c>
      <c r="N1251">
        <f t="shared" si="455"/>
        <v>-21.416294187560997</v>
      </c>
      <c r="O1251">
        <f t="shared" si="455"/>
        <v>-22.058783013187828</v>
      </c>
      <c r="P1251">
        <f t="shared" si="455"/>
        <v>-22.720546503583467</v>
      </c>
      <c r="Q1251">
        <f t="shared" si="455"/>
        <v>-23.402162898690968</v>
      </c>
      <c r="R1251">
        <f t="shared" si="455"/>
        <v>-24.104227785651695</v>
      </c>
      <c r="S1251">
        <f t="shared" si="455"/>
        <v>-24.82735461922125</v>
      </c>
      <c r="T1251">
        <f t="shared" si="455"/>
        <v>-25.572175257797888</v>
      </c>
      <c r="U1251">
        <f t="shared" si="455"/>
        <v>-26.339340515531827</v>
      </c>
      <c r="V1251">
        <f t="shared" si="455"/>
        <v>-27.129520730997776</v>
      </c>
    </row>
    <row r="1252" spans="2:22">
      <c r="B1252" s="282" t="s">
        <v>637</v>
      </c>
      <c r="D1252" s="286">
        <f>E1252/E$1226</f>
        <v>7.1627456914667084E-2</v>
      </c>
      <c r="E1252" s="283">
        <f>F1201</f>
        <v>-4092.01</v>
      </c>
      <c r="F1252" s="281">
        <f>E1252</f>
        <v>-4092.01</v>
      </c>
      <c r="G1252"/>
      <c r="J1252">
        <f>$F1252*J$1239/Billion</f>
        <v>-8.4444808026746703</v>
      </c>
      <c r="K1252">
        <f t="shared" si="455"/>
        <v>-8.697815226754912</v>
      </c>
      <c r="L1252">
        <f t="shared" si="455"/>
        <v>-8.9587496835575582</v>
      </c>
      <c r="M1252">
        <f t="shared" si="455"/>
        <v>-9.2275121740642856</v>
      </c>
      <c r="N1252">
        <f t="shared" si="455"/>
        <v>-9.5043375392862153</v>
      </c>
      <c r="O1252">
        <f t="shared" si="455"/>
        <v>-9.7894676654647999</v>
      </c>
      <c r="P1252">
        <f t="shared" si="455"/>
        <v>-10.083151695428745</v>
      </c>
      <c r="Q1252">
        <f t="shared" si="455"/>
        <v>-10.385646246291609</v>
      </c>
      <c r="R1252">
        <f t="shared" si="455"/>
        <v>-10.697215633680354</v>
      </c>
      <c r="S1252">
        <f t="shared" si="455"/>
        <v>-11.018132102690767</v>
      </c>
      <c r="T1252">
        <f t="shared" si="455"/>
        <v>-11.348676065771491</v>
      </c>
      <c r="U1252">
        <f t="shared" si="455"/>
        <v>-11.689136347744636</v>
      </c>
      <c r="V1252">
        <f t="shared" si="455"/>
        <v>-12.039810438176973</v>
      </c>
    </row>
    <row r="1253" spans="2:22">
      <c r="B1253" s="282" t="s">
        <v>638</v>
      </c>
      <c r="D1253" s="286">
        <f>E1253/E$1226</f>
        <v>0.16918882975568234</v>
      </c>
      <c r="E1253" s="283">
        <f>F1202</f>
        <v>-9665.6004983304592</v>
      </c>
      <c r="F1253" s="19">
        <v>0</v>
      </c>
      <c r="G1253">
        <f>E1253</f>
        <v>-9665.6004983304592</v>
      </c>
      <c r="J1253">
        <f>$F1253*J$1239/Billion</f>
        <v>0</v>
      </c>
      <c r="K1253">
        <f t="shared" si="455"/>
        <v>0</v>
      </c>
      <c r="L1253">
        <f t="shared" si="455"/>
        <v>0</v>
      </c>
      <c r="M1253">
        <f t="shared" si="455"/>
        <v>0</v>
      </c>
      <c r="N1253">
        <f t="shared" si="455"/>
        <v>0</v>
      </c>
      <c r="O1253">
        <f t="shared" si="455"/>
        <v>0</v>
      </c>
      <c r="P1253">
        <f t="shared" si="455"/>
        <v>0</v>
      </c>
      <c r="Q1253">
        <f t="shared" si="455"/>
        <v>0</v>
      </c>
      <c r="R1253">
        <f t="shared" si="455"/>
        <v>0</v>
      </c>
      <c r="S1253">
        <f t="shared" si="455"/>
        <v>0</v>
      </c>
      <c r="T1253">
        <f t="shared" si="455"/>
        <v>0</v>
      </c>
      <c r="U1253">
        <f t="shared" si="455"/>
        <v>0</v>
      </c>
      <c r="V1253">
        <f t="shared" si="455"/>
        <v>0</v>
      </c>
    </row>
    <row r="1254" spans="2:22">
      <c r="B1254" s="284" t="s">
        <v>639</v>
      </c>
      <c r="C1254" s="118"/>
      <c r="D1254" s="287">
        <f>E1254/E$1226</f>
        <v>0.68188962291876987</v>
      </c>
      <c r="E1254" s="212">
        <f>F1203</f>
        <v>-38955.720000000008</v>
      </c>
      <c r="F1254" s="19">
        <f>E1255*SUM(F1242:F1245)</f>
        <v>-32323.405418633076</v>
      </c>
      <c r="G1254"/>
      <c r="J1254">
        <f>$F1254*J$1239/Billion</f>
        <v>-66.704230081235735</v>
      </c>
      <c r="K1254">
        <f t="shared" si="455"/>
        <v>-68.7053569836728</v>
      </c>
      <c r="L1254">
        <f t="shared" si="455"/>
        <v>-70.76651769318299</v>
      </c>
      <c r="M1254">
        <f t="shared" si="455"/>
        <v>-72.889513223978469</v>
      </c>
      <c r="N1254">
        <f t="shared" si="455"/>
        <v>-75.076198620697852</v>
      </c>
      <c r="O1254">
        <f t="shared" si="455"/>
        <v>-77.328484579318769</v>
      </c>
      <c r="P1254">
        <f t="shared" si="455"/>
        <v>-79.648339116698352</v>
      </c>
      <c r="Q1254">
        <f t="shared" si="455"/>
        <v>-82.037789290199299</v>
      </c>
      <c r="R1254">
        <f t="shared" si="455"/>
        <v>-84.498922968905276</v>
      </c>
      <c r="S1254">
        <f t="shared" si="455"/>
        <v>-87.033890657972449</v>
      </c>
      <c r="T1254">
        <f t="shared" si="455"/>
        <v>-89.644907377711604</v>
      </c>
      <c r="U1254">
        <f t="shared" si="455"/>
        <v>-92.334254599042964</v>
      </c>
      <c r="V1254">
        <f t="shared" si="455"/>
        <v>-95.104282237014232</v>
      </c>
    </row>
    <row r="1255" spans="2:22">
      <c r="D1255" s="288">
        <f>E1255/E$1226</f>
        <v>8.7680290975796566E-6</v>
      </c>
      <c r="E1255" s="288">
        <f>E1254/SUM(E1242:E1245)</f>
        <v>-0.50090934807766507</v>
      </c>
      <c r="G1255"/>
    </row>
    <row r="1256" spans="2:22">
      <c r="E1256" s="407" t="s">
        <v>636</v>
      </c>
      <c r="F1256" s="407" t="s">
        <v>649</v>
      </c>
      <c r="G1256"/>
    </row>
    <row r="1257" spans="2:22">
      <c r="B1257" t="s">
        <v>650</v>
      </c>
      <c r="E1257">
        <v>-4339.1056478444898</v>
      </c>
      <c r="F1257">
        <v>-3021.85</v>
      </c>
      <c r="G1257"/>
    </row>
    <row r="1258" spans="2:22">
      <c r="B1258" t="s">
        <v>651</v>
      </c>
      <c r="E1258">
        <v>-4881.4938538250499</v>
      </c>
      <c r="F1258">
        <v>-1070.1600000000001</v>
      </c>
      <c r="G1258" s="21"/>
    </row>
    <row r="1259" spans="2:22">
      <c r="G1259"/>
    </row>
    <row r="1260" spans="2:22">
      <c r="G1260"/>
    </row>
    <row r="1261" spans="2:22">
      <c r="B1261" t="s">
        <v>434</v>
      </c>
      <c r="E1261" s="39">
        <f>E1236</f>
        <v>0.27</v>
      </c>
      <c r="G1261"/>
      <c r="J1261">
        <f>SUM(J1248,J1250)</f>
        <v>53.581536987908663</v>
      </c>
      <c r="K1261">
        <f t="shared" ref="K1261:V1261" si="456">SUM(K1248,K1250)</f>
        <v>55.188983097545943</v>
      </c>
      <c r="L1261">
        <f t="shared" si="456"/>
        <v>56.84465259047235</v>
      </c>
      <c r="M1261">
        <f t="shared" si="456"/>
        <v>58.549992168186506</v>
      </c>
      <c r="N1261">
        <f t="shared" si="456"/>
        <v>60.306491933232081</v>
      </c>
      <c r="O1261">
        <f t="shared" si="456"/>
        <v>62.115686691229058</v>
      </c>
      <c r="P1261">
        <f t="shared" si="456"/>
        <v>63.979157291965919</v>
      </c>
      <c r="Q1261">
        <f t="shared" si="456"/>
        <v>65.898532010724935</v>
      </c>
      <c r="R1261">
        <f t="shared" si="456"/>
        <v>67.875487971046638</v>
      </c>
      <c r="S1261">
        <f t="shared" si="456"/>
        <v>69.911752610178013</v>
      </c>
      <c r="T1261">
        <f t="shared" si="456"/>
        <v>72.00910518848336</v>
      </c>
      <c r="U1261">
        <f t="shared" si="456"/>
        <v>74.169378344137897</v>
      </c>
      <c r="V1261">
        <f t="shared" si="456"/>
        <v>76.394459694462029</v>
      </c>
    </row>
    <row r="1262" spans="2:22">
      <c r="G1262"/>
      <c r="I1262" s="21"/>
      <c r="K1262" s="21"/>
      <c r="L1262" s="21"/>
      <c r="M1262" s="21"/>
      <c r="N1262" s="21"/>
    </row>
    <row r="1263" spans="2:22">
      <c r="G1263"/>
      <c r="I1263" s="21"/>
      <c r="K1263" s="21"/>
      <c r="L1263" s="21"/>
      <c r="M1263" s="21"/>
      <c r="N1263" s="21"/>
    </row>
    <row r="1264" spans="2:22">
      <c r="B1264" t="s">
        <v>471</v>
      </c>
      <c r="G1264"/>
      <c r="I1264" s="21"/>
      <c r="J1264">
        <f>SUM(J1239,J1215)</f>
        <v>3666225.2759999996</v>
      </c>
      <c r="K1264">
        <f t="shared" ref="K1264:V1264" si="457">SUM(K1239,K1215)</f>
        <v>3776212.0342799998</v>
      </c>
      <c r="L1264">
        <f t="shared" si="457"/>
        <v>3889498.3953083996</v>
      </c>
      <c r="M1264">
        <f t="shared" si="457"/>
        <v>4006183.3471676521</v>
      </c>
      <c r="N1264">
        <f t="shared" si="457"/>
        <v>4126368.847582682</v>
      </c>
      <c r="O1264">
        <f t="shared" si="457"/>
        <v>4250159.9130101623</v>
      </c>
      <c r="P1264">
        <f t="shared" si="457"/>
        <v>4377664.7104004677</v>
      </c>
      <c r="Q1264">
        <f t="shared" si="457"/>
        <v>4508994.6517124819</v>
      </c>
      <c r="R1264">
        <f t="shared" si="457"/>
        <v>4644264.4912638562</v>
      </c>
      <c r="S1264">
        <f t="shared" si="457"/>
        <v>4783592.4260017723</v>
      </c>
      <c r="T1264">
        <f t="shared" si="457"/>
        <v>4927100.1987818247</v>
      </c>
      <c r="U1264">
        <f t="shared" si="457"/>
        <v>5074913.2047452796</v>
      </c>
      <c r="V1264">
        <f t="shared" si="457"/>
        <v>5227160.6008876376</v>
      </c>
    </row>
    <row r="1265" spans="2:22">
      <c r="B1265" t="s">
        <v>578</v>
      </c>
      <c r="G1265"/>
      <c r="I1265" s="21"/>
      <c r="J1265" s="23">
        <f>SUM(J1248,J1224)</f>
        <v>245.57873171290549</v>
      </c>
      <c r="K1265" s="23">
        <f t="shared" ref="K1265:V1265" si="458">SUM(K1248,K1224)</f>
        <v>252.94609366429268</v>
      </c>
      <c r="L1265" s="458">
        <f t="shared" si="458"/>
        <v>260.53447647422149</v>
      </c>
      <c r="M1265" s="23">
        <f t="shared" si="458"/>
        <v>268.35051076844809</v>
      </c>
      <c r="N1265" s="23">
        <f t="shared" si="458"/>
        <v>276.40102609150159</v>
      </c>
      <c r="O1265" s="23">
        <f t="shared" si="458"/>
        <v>284.69305687424662</v>
      </c>
      <c r="P1265" s="23">
        <f t="shared" si="458"/>
        <v>293.23384858047405</v>
      </c>
      <c r="Q1265" s="23">
        <f t="shared" si="458"/>
        <v>302.03086403788831</v>
      </c>
      <c r="R1265" s="23">
        <f t="shared" si="458"/>
        <v>311.09178995902488</v>
      </c>
      <c r="S1265" s="23">
        <f t="shared" si="458"/>
        <v>320.42454365779565</v>
      </c>
      <c r="T1265" s="23">
        <f t="shared" si="458"/>
        <v>330.03727996752946</v>
      </c>
      <c r="U1265" s="23">
        <f t="shared" si="458"/>
        <v>339.93839836655548</v>
      </c>
      <c r="V1265" s="23">
        <f t="shared" si="458"/>
        <v>350.13655031755206</v>
      </c>
    </row>
    <row r="1266" spans="2:22">
      <c r="B1266" t="s">
        <v>434</v>
      </c>
      <c r="G1266"/>
      <c r="I1266" s="21"/>
      <c r="J1266">
        <f>SUM(J1261,J1236)</f>
        <v>91.849628986611179</v>
      </c>
      <c r="K1266">
        <f t="shared" ref="K1266:V1266" si="459">SUM(K1261,K1236)</f>
        <v>94.605117856209532</v>
      </c>
      <c r="L1266">
        <f t="shared" si="459"/>
        <v>97.443271391895848</v>
      </c>
      <c r="M1266">
        <f t="shared" si="459"/>
        <v>100.36656953365268</v>
      </c>
      <c r="N1266">
        <f t="shared" si="459"/>
        <v>103.37756661966228</v>
      </c>
      <c r="O1266">
        <f t="shared" si="459"/>
        <v>106.47889361825216</v>
      </c>
      <c r="P1266">
        <f t="shared" si="459"/>
        <v>109.67326042679969</v>
      </c>
      <c r="Q1266">
        <f t="shared" si="459"/>
        <v>112.96345823960374</v>
      </c>
      <c r="R1266">
        <f t="shared" si="459"/>
        <v>116.35236198679181</v>
      </c>
      <c r="S1266">
        <f t="shared" si="459"/>
        <v>119.84293284639554</v>
      </c>
      <c r="T1266">
        <f t="shared" si="459"/>
        <v>123.4382208317874</v>
      </c>
      <c r="U1266">
        <f t="shared" si="459"/>
        <v>127.14136745674108</v>
      </c>
      <c r="V1266">
        <f t="shared" si="459"/>
        <v>130.95560848044332</v>
      </c>
    </row>
    <row r="1267" spans="2:22">
      <c r="G1267"/>
      <c r="I1267" s="21"/>
      <c r="J1267" s="74">
        <f>J1266/J1270-1</f>
        <v>0.13206652268226549</v>
      </c>
      <c r="K1267" s="74">
        <f t="shared" ref="K1267:T1267" si="460">K1266/K1270-1</f>
        <v>0.13206652268226571</v>
      </c>
      <c r="L1267" s="74">
        <f t="shared" si="460"/>
        <v>0.13206652268226615</v>
      </c>
      <c r="M1267" s="74">
        <f t="shared" si="460"/>
        <v>0.13206652268226571</v>
      </c>
      <c r="N1267" s="74">
        <f t="shared" si="460"/>
        <v>0.13206652268226549</v>
      </c>
      <c r="O1267" s="74">
        <f t="shared" si="460"/>
        <v>0.13206652268226593</v>
      </c>
      <c r="P1267" s="74">
        <f t="shared" si="460"/>
        <v>0.13206652268226526</v>
      </c>
      <c r="Q1267" s="74">
        <f t="shared" si="460"/>
        <v>0.13206652268226593</v>
      </c>
      <c r="R1267" s="74">
        <f t="shared" si="460"/>
        <v>0.13206652268226549</v>
      </c>
      <c r="S1267" s="74">
        <f t="shared" si="460"/>
        <v>0.13206652268226504</v>
      </c>
      <c r="T1267" s="74">
        <f t="shared" si="460"/>
        <v>0.13206652268226526</v>
      </c>
      <c r="U1267" s="74"/>
      <c r="V1267" s="74"/>
    </row>
    <row r="1268" spans="2:22">
      <c r="B1268" t="s">
        <v>654</v>
      </c>
      <c r="G1268"/>
      <c r="I1268" s="21"/>
    </row>
    <row r="1269" spans="2:22">
      <c r="B1269" t="s">
        <v>472</v>
      </c>
      <c r="G1269"/>
      <c r="J1269">
        <f>SUM(J1206)</f>
        <v>300.49807519747799</v>
      </c>
      <c r="K1269">
        <f t="shared" ref="K1269:V1269" si="461">SUM(K1206)</f>
        <v>309.51301745340231</v>
      </c>
      <c r="L1269">
        <f t="shared" si="461"/>
        <v>318.79840797700439</v>
      </c>
      <c r="M1269">
        <f t="shared" si="461"/>
        <v>328.36236021631453</v>
      </c>
      <c r="N1269">
        <f t="shared" si="461"/>
        <v>338.21323102280405</v>
      </c>
      <c r="O1269">
        <f t="shared" si="461"/>
        <v>348.35962795348814</v>
      </c>
      <c r="P1269">
        <f t="shared" si="461"/>
        <v>358.81041679209284</v>
      </c>
      <c r="Q1269">
        <f t="shared" si="461"/>
        <v>369.5747292958556</v>
      </c>
      <c r="R1269">
        <f t="shared" si="461"/>
        <v>380.66197117473126</v>
      </c>
      <c r="S1269">
        <f t="shared" si="461"/>
        <v>392.08183030997327</v>
      </c>
      <c r="T1269">
        <f t="shared" si="461"/>
        <v>403.84428521927236</v>
      </c>
      <c r="U1269">
        <f t="shared" si="461"/>
        <v>415.95961377585058</v>
      </c>
      <c r="V1269">
        <f t="shared" si="461"/>
        <v>428.43840218912612</v>
      </c>
    </row>
    <row r="1270" spans="2:22">
      <c r="B1270" t="s">
        <v>434</v>
      </c>
      <c r="G1270"/>
      <c r="J1270">
        <f>J1210</f>
        <v>81.134480303319066</v>
      </c>
      <c r="K1270">
        <f t="shared" ref="K1270:V1270" si="462">K1210</f>
        <v>83.568514712418647</v>
      </c>
      <c r="L1270">
        <f t="shared" si="462"/>
        <v>86.07557015379119</v>
      </c>
      <c r="M1270">
        <f t="shared" si="462"/>
        <v>88.657837258404925</v>
      </c>
      <c r="N1270">
        <f t="shared" si="462"/>
        <v>91.317572376157102</v>
      </c>
      <c r="O1270">
        <f t="shared" si="462"/>
        <v>94.057099547441794</v>
      </c>
      <c r="P1270">
        <f t="shared" si="462"/>
        <v>96.878812533865073</v>
      </c>
      <c r="Q1270">
        <f t="shared" si="462"/>
        <v>99.785176909881017</v>
      </c>
      <c r="R1270">
        <f t="shared" si="462"/>
        <v>102.77873221717745</v>
      </c>
      <c r="S1270">
        <f t="shared" si="462"/>
        <v>105.86209418369279</v>
      </c>
      <c r="T1270">
        <f t="shared" si="462"/>
        <v>109.03795700920355</v>
      </c>
      <c r="U1270">
        <f t="shared" si="462"/>
        <v>112.30909571947967</v>
      </c>
      <c r="V1270">
        <f t="shared" si="462"/>
        <v>115.67836859106404</v>
      </c>
    </row>
    <row r="1271" spans="2:22">
      <c r="G1271"/>
    </row>
    <row r="1272" spans="2:22">
      <c r="G1272"/>
    </row>
    <row r="1273" spans="2:22" ht="24" thickBot="1">
      <c r="B1273" s="14" t="s">
        <v>655</v>
      </c>
      <c r="C1273" s="14"/>
      <c r="D1273" s="14"/>
      <c r="E1273" s="14"/>
      <c r="F1273" s="14"/>
      <c r="G1273" s="14"/>
      <c r="H1273" s="14"/>
      <c r="I1273" s="14"/>
      <c r="J1273" s="14"/>
      <c r="K1273" s="14"/>
      <c r="L1273" s="14"/>
      <c r="M1273" s="14"/>
      <c r="N1273" s="14"/>
      <c r="O1273" s="14"/>
      <c r="P1273" s="14"/>
      <c r="Q1273" s="14"/>
      <c r="R1273" s="14"/>
      <c r="S1273" s="14"/>
      <c r="T1273" s="14"/>
      <c r="U1273" s="14"/>
      <c r="V1273" s="14"/>
    </row>
    <row r="1274" spans="2:22">
      <c r="G1274"/>
    </row>
    <row r="1275" spans="2:22">
      <c r="B1275" t="s">
        <v>37</v>
      </c>
      <c r="F1275" s="19">
        <v>2027</v>
      </c>
      <c r="G1275"/>
      <c r="J1275" s="13">
        <f>IF(J$8&lt;$F1275,0,1)*J$12</f>
        <v>0</v>
      </c>
      <c r="K1275" s="13">
        <f t="shared" ref="K1275:V1275" si="463">IF(K$8&lt;$F1275,0,1)*K$12</f>
        <v>0</v>
      </c>
      <c r="L1275" s="13">
        <f t="shared" si="463"/>
        <v>0</v>
      </c>
      <c r="M1275" s="13">
        <f t="shared" si="463"/>
        <v>1</v>
      </c>
      <c r="N1275" s="13">
        <f t="shared" si="463"/>
        <v>1</v>
      </c>
      <c r="O1275" s="13">
        <f t="shared" si="463"/>
        <v>1</v>
      </c>
      <c r="P1275" s="13">
        <f t="shared" si="463"/>
        <v>1</v>
      </c>
      <c r="Q1275" s="13">
        <f t="shared" si="463"/>
        <v>1</v>
      </c>
      <c r="R1275" s="13">
        <f t="shared" si="463"/>
        <v>1</v>
      </c>
      <c r="S1275" s="13">
        <f t="shared" si="463"/>
        <v>1</v>
      </c>
      <c r="T1275" s="13">
        <f t="shared" si="463"/>
        <v>1</v>
      </c>
      <c r="U1275" s="13">
        <f t="shared" si="463"/>
        <v>1</v>
      </c>
      <c r="V1275" s="13">
        <f t="shared" si="463"/>
        <v>1</v>
      </c>
    </row>
    <row r="1276" spans="2:22" ht="15.75">
      <c r="B1276" s="15" t="s">
        <v>625</v>
      </c>
      <c r="G1276"/>
    </row>
    <row r="1277" spans="2:22" ht="15.75">
      <c r="B1277" s="15" t="s">
        <v>656</v>
      </c>
      <c r="G1277"/>
    </row>
    <row r="1278" spans="2:22">
      <c r="B1278" t="s">
        <v>407</v>
      </c>
      <c r="G1278"/>
      <c r="H1278">
        <v>3600</v>
      </c>
      <c r="J1278">
        <f>SUM(J256,J361)</f>
        <v>1100000</v>
      </c>
      <c r="K1278">
        <f>SUM(K256,K361)</f>
        <v>3582985.568</v>
      </c>
      <c r="L1278">
        <f t="shared" ref="L1278:V1278" si="464">SUM(L256,L361)</f>
        <v>3690475.1350400001</v>
      </c>
      <c r="M1278">
        <f t="shared" si="464"/>
        <v>3801189.3890912002</v>
      </c>
      <c r="N1278">
        <f t="shared" si="464"/>
        <v>3915225.0707639363</v>
      </c>
      <c r="O1278">
        <f t="shared" si="464"/>
        <v>4032681.8228868544</v>
      </c>
      <c r="P1278">
        <f t="shared" si="464"/>
        <v>4153662.2775734598</v>
      </c>
      <c r="Q1278">
        <f t="shared" si="464"/>
        <v>4278272.1459006639</v>
      </c>
      <c r="R1278">
        <f t="shared" si="464"/>
        <v>4406620.3102776837</v>
      </c>
      <c r="S1278">
        <f t="shared" si="464"/>
        <v>4538818.9195860149</v>
      </c>
      <c r="T1278">
        <f t="shared" si="464"/>
        <v>4674983.4871735955</v>
      </c>
      <c r="U1278">
        <f t="shared" si="464"/>
        <v>4815232.9917888027</v>
      </c>
      <c r="V1278">
        <f t="shared" si="464"/>
        <v>4959689.9815424671</v>
      </c>
    </row>
    <row r="1279" spans="2:22">
      <c r="B1279" s="407" t="s">
        <v>657</v>
      </c>
      <c r="F1279">
        <v>34880</v>
      </c>
      <c r="G1279">
        <v>69000</v>
      </c>
      <c r="H1279">
        <v>32300</v>
      </c>
      <c r="I1279" s="21">
        <f>H1279/H1281</f>
        <v>0.71460176991150437</v>
      </c>
      <c r="J1279">
        <f>J257</f>
        <v>0</v>
      </c>
    </row>
    <row r="1280" spans="2:22">
      <c r="B1280" t="s">
        <v>627</v>
      </c>
      <c r="E1280" s="289">
        <f>SUM(E1281:E1286)</f>
        <v>1.0000000000000002</v>
      </c>
      <c r="F1280" s="9" t="s">
        <v>628</v>
      </c>
      <c r="G1280">
        <f>G1279-F1279</f>
        <v>34120</v>
      </c>
      <c r="H1280">
        <v>9300</v>
      </c>
      <c r="J1280">
        <f>J259</f>
        <v>35143.599999999999</v>
      </c>
      <c r="K1280">
        <f>K259</f>
        <v>40944</v>
      </c>
      <c r="L1280">
        <f>L259</f>
        <v>40944</v>
      </c>
    </row>
    <row r="1281" spans="2:22">
      <c r="B1281" t="s">
        <v>629</v>
      </c>
      <c r="E1281" s="289">
        <f>100%-SUM(E1282:E1286)</f>
        <v>0.13988167495112391</v>
      </c>
      <c r="F1281" s="19">
        <f>F1279-F1283</f>
        <v>10464</v>
      </c>
      <c r="G1281"/>
      <c r="H1281">
        <f>SUM(H1278:H1280)</f>
        <v>45200</v>
      </c>
      <c r="J1281">
        <f t="shared" ref="J1281:J1286" si="465">$F1281*J$1278/Billion</f>
        <v>11.510400000000001</v>
      </c>
      <c r="K1281">
        <f t="shared" ref="K1281:V1286" si="466">$F1281*K$1278/Billion</f>
        <v>37.492360983552004</v>
      </c>
      <c r="L1281">
        <f t="shared" si="466"/>
        <v>38.617131813058563</v>
      </c>
      <c r="M1281">
        <f t="shared" si="466"/>
        <v>39.775645767450314</v>
      </c>
      <c r="N1281">
        <f t="shared" si="466"/>
        <v>40.968915140473833</v>
      </c>
      <c r="O1281">
        <f t="shared" si="466"/>
        <v>42.197982594688042</v>
      </c>
      <c r="P1281">
        <f t="shared" si="466"/>
        <v>43.463922072528689</v>
      </c>
      <c r="Q1281">
        <f t="shared" si="466"/>
        <v>44.767839734704545</v>
      </c>
      <c r="R1281">
        <f t="shared" si="466"/>
        <v>46.11087492674568</v>
      </c>
      <c r="S1281">
        <f t="shared" si="466"/>
        <v>47.49420117454806</v>
      </c>
      <c r="T1281">
        <f t="shared" si="466"/>
        <v>48.919027209784502</v>
      </c>
      <c r="U1281">
        <f t="shared" si="466"/>
        <v>50.386598026078033</v>
      </c>
      <c r="V1281">
        <f t="shared" si="466"/>
        <v>51.898195966860378</v>
      </c>
    </row>
    <row r="1282" spans="2:22">
      <c r="B1282" t="s">
        <v>630</v>
      </c>
      <c r="E1282" s="21">
        <v>0.46388274831009851</v>
      </c>
      <c r="F1282" s="19"/>
      <c r="G1282"/>
      <c r="J1282">
        <f t="shared" si="465"/>
        <v>0</v>
      </c>
      <c r="K1282">
        <f t="shared" si="466"/>
        <v>0</v>
      </c>
      <c r="L1282">
        <f t="shared" si="466"/>
        <v>0</v>
      </c>
      <c r="M1282">
        <f t="shared" si="466"/>
        <v>0</v>
      </c>
      <c r="N1282">
        <f t="shared" si="466"/>
        <v>0</v>
      </c>
      <c r="O1282">
        <f t="shared" si="466"/>
        <v>0</v>
      </c>
      <c r="P1282">
        <f t="shared" si="466"/>
        <v>0</v>
      </c>
      <c r="Q1282">
        <f t="shared" si="466"/>
        <v>0</v>
      </c>
      <c r="R1282">
        <f t="shared" si="466"/>
        <v>0</v>
      </c>
      <c r="S1282">
        <f t="shared" si="466"/>
        <v>0</v>
      </c>
      <c r="T1282">
        <f t="shared" si="466"/>
        <v>0</v>
      </c>
      <c r="U1282">
        <f t="shared" si="466"/>
        <v>0</v>
      </c>
      <c r="V1282">
        <f t="shared" si="466"/>
        <v>0</v>
      </c>
    </row>
    <row r="1283" spans="2:22">
      <c r="B1283" s="407" t="s">
        <v>631</v>
      </c>
      <c r="E1283" s="21">
        <v>0.30382448025147268</v>
      </c>
      <c r="F1283" s="19">
        <f>F1279*70%</f>
        <v>24416</v>
      </c>
      <c r="G1283" s="19">
        <v>32300</v>
      </c>
      <c r="J1283">
        <f t="shared" si="465"/>
        <v>26.857600000000001</v>
      </c>
      <c r="K1283">
        <f t="shared" si="466"/>
        <v>87.48217562828799</v>
      </c>
      <c r="L1283">
        <f t="shared" si="466"/>
        <v>90.106640897136643</v>
      </c>
      <c r="M1283">
        <f t="shared" si="466"/>
        <v>92.809840124050751</v>
      </c>
      <c r="N1283">
        <f t="shared" si="466"/>
        <v>95.594135327772264</v>
      </c>
      <c r="O1283">
        <f t="shared" si="466"/>
        <v>98.461959387605432</v>
      </c>
      <c r="P1283">
        <f t="shared" si="466"/>
        <v>101.4158181692336</v>
      </c>
      <c r="Q1283">
        <f t="shared" si="466"/>
        <v>104.4582927143106</v>
      </c>
      <c r="R1283">
        <f t="shared" si="466"/>
        <v>107.59204149573993</v>
      </c>
      <c r="S1283">
        <f t="shared" si="466"/>
        <v>110.81980274061213</v>
      </c>
      <c r="T1283">
        <f t="shared" si="466"/>
        <v>114.1443968228305</v>
      </c>
      <c r="U1283">
        <f t="shared" si="466"/>
        <v>117.56872872751541</v>
      </c>
      <c r="V1283">
        <f t="shared" si="466"/>
        <v>121.09579058934088</v>
      </c>
    </row>
    <row r="1284" spans="2:22">
      <c r="B1284" s="407" t="s">
        <v>632</v>
      </c>
      <c r="E1284" s="21"/>
      <c r="F1284" s="19">
        <f>E1284*$F$1279</f>
        <v>0</v>
      </c>
      <c r="G1284"/>
      <c r="J1284">
        <f t="shared" si="465"/>
        <v>0</v>
      </c>
      <c r="K1284">
        <f t="shared" si="466"/>
        <v>0</v>
      </c>
      <c r="L1284">
        <f t="shared" si="466"/>
        <v>0</v>
      </c>
      <c r="M1284">
        <f t="shared" si="466"/>
        <v>0</v>
      </c>
      <c r="N1284">
        <f t="shared" si="466"/>
        <v>0</v>
      </c>
      <c r="O1284">
        <f t="shared" si="466"/>
        <v>0</v>
      </c>
      <c r="P1284">
        <f t="shared" si="466"/>
        <v>0</v>
      </c>
      <c r="Q1284">
        <f t="shared" si="466"/>
        <v>0</v>
      </c>
      <c r="R1284">
        <f t="shared" si="466"/>
        <v>0</v>
      </c>
      <c r="S1284">
        <f t="shared" si="466"/>
        <v>0</v>
      </c>
      <c r="T1284">
        <f t="shared" si="466"/>
        <v>0</v>
      </c>
      <c r="U1284">
        <f t="shared" si="466"/>
        <v>0</v>
      </c>
      <c r="V1284">
        <f t="shared" si="466"/>
        <v>0</v>
      </c>
    </row>
    <row r="1285" spans="2:22">
      <c r="B1285" s="407" t="s">
        <v>633</v>
      </c>
      <c r="E1285" s="21">
        <v>8.8616005826805858E-2</v>
      </c>
      <c r="F1285" s="19"/>
      <c r="G1285">
        <v>10464</v>
      </c>
      <c r="J1285">
        <f t="shared" si="465"/>
        <v>0</v>
      </c>
      <c r="K1285">
        <f t="shared" si="466"/>
        <v>0</v>
      </c>
      <c r="L1285">
        <f t="shared" si="466"/>
        <v>0</v>
      </c>
      <c r="M1285">
        <f t="shared" si="466"/>
        <v>0</v>
      </c>
      <c r="N1285">
        <f t="shared" si="466"/>
        <v>0</v>
      </c>
      <c r="O1285">
        <f t="shared" si="466"/>
        <v>0</v>
      </c>
      <c r="P1285">
        <f t="shared" si="466"/>
        <v>0</v>
      </c>
      <c r="Q1285">
        <f t="shared" si="466"/>
        <v>0</v>
      </c>
      <c r="R1285">
        <f t="shared" si="466"/>
        <v>0</v>
      </c>
      <c r="S1285">
        <f t="shared" si="466"/>
        <v>0</v>
      </c>
      <c r="T1285">
        <f t="shared" si="466"/>
        <v>0</v>
      </c>
      <c r="U1285">
        <f t="shared" si="466"/>
        <v>0</v>
      </c>
      <c r="V1285">
        <f t="shared" si="466"/>
        <v>0</v>
      </c>
    </row>
    <row r="1286" spans="2:22">
      <c r="B1286" s="407" t="s">
        <v>634</v>
      </c>
      <c r="E1286" s="21">
        <v>3.7950906604991121E-3</v>
      </c>
      <c r="F1286" s="19"/>
      <c r="G1286"/>
      <c r="J1286">
        <f t="shared" si="465"/>
        <v>0</v>
      </c>
      <c r="K1286">
        <f t="shared" si="466"/>
        <v>0</v>
      </c>
      <c r="L1286">
        <f t="shared" si="466"/>
        <v>0</v>
      </c>
      <c r="M1286">
        <f t="shared" si="466"/>
        <v>0</v>
      </c>
      <c r="N1286">
        <f t="shared" si="466"/>
        <v>0</v>
      </c>
      <c r="O1286">
        <f t="shared" si="466"/>
        <v>0</v>
      </c>
      <c r="P1286">
        <f t="shared" si="466"/>
        <v>0</v>
      </c>
      <c r="Q1286">
        <f t="shared" si="466"/>
        <v>0</v>
      </c>
      <c r="R1286">
        <f t="shared" si="466"/>
        <v>0</v>
      </c>
      <c r="S1286">
        <f t="shared" si="466"/>
        <v>0</v>
      </c>
      <c r="T1286">
        <f t="shared" si="466"/>
        <v>0</v>
      </c>
      <c r="U1286">
        <f t="shared" si="466"/>
        <v>0</v>
      </c>
      <c r="V1286">
        <f t="shared" si="466"/>
        <v>0</v>
      </c>
    </row>
    <row r="1287" spans="2:22">
      <c r="C1287" s="407"/>
      <c r="F1287">
        <f>SUM(F1281:F1286)</f>
        <v>34880</v>
      </c>
      <c r="G1287">
        <v>24416</v>
      </c>
      <c r="J1287" s="28">
        <f t="shared" ref="J1287:V1287" si="467">SUM(J1281:J1286)</f>
        <v>38.368000000000002</v>
      </c>
      <c r="K1287" s="28">
        <f t="shared" si="467"/>
        <v>124.97453661183999</v>
      </c>
      <c r="L1287" s="28">
        <f t="shared" si="467"/>
        <v>128.72377271019519</v>
      </c>
      <c r="M1287" s="28">
        <f t="shared" si="467"/>
        <v>132.58548589150107</v>
      </c>
      <c r="N1287" s="28">
        <f t="shared" si="467"/>
        <v>136.5630504682461</v>
      </c>
      <c r="O1287" s="28">
        <f t="shared" si="467"/>
        <v>140.65994198229347</v>
      </c>
      <c r="P1287" s="28">
        <f t="shared" si="467"/>
        <v>144.87974024176231</v>
      </c>
      <c r="Q1287" s="28">
        <f t="shared" si="467"/>
        <v>149.22613244901515</v>
      </c>
      <c r="R1287" s="28">
        <f t="shared" si="467"/>
        <v>153.7029164224856</v>
      </c>
      <c r="S1287" s="28">
        <f t="shared" si="467"/>
        <v>158.31400391516019</v>
      </c>
      <c r="T1287" s="28">
        <f t="shared" si="467"/>
        <v>163.06342403261499</v>
      </c>
      <c r="U1287" s="28">
        <f t="shared" si="467"/>
        <v>167.95532675359345</v>
      </c>
      <c r="V1287" s="28">
        <f t="shared" si="467"/>
        <v>172.99398655620126</v>
      </c>
    </row>
    <row r="1288" spans="2:22">
      <c r="G1288"/>
    </row>
    <row r="1289" spans="2:22">
      <c r="B1289" s="407" t="s">
        <v>483</v>
      </c>
      <c r="F1289">
        <f>-(F1287-F1287*E1297)</f>
        <v>-25462.400000000001</v>
      </c>
      <c r="G1289"/>
      <c r="J1289">
        <f>-(J1287-J1297)</f>
        <v>-28.00864</v>
      </c>
      <c r="K1289">
        <f t="shared" ref="K1289:V1289" si="468">-(K1287-K1297)</f>
        <v>-91.231411726643188</v>
      </c>
      <c r="L1289">
        <f t="shared" si="468"/>
        <v>-93.968354078442488</v>
      </c>
      <c r="M1289">
        <f t="shared" si="468"/>
        <v>-96.787404700795776</v>
      </c>
      <c r="N1289">
        <f t="shared" si="468"/>
        <v>-99.691026841819649</v>
      </c>
      <c r="O1289">
        <f t="shared" si="468"/>
        <v>-102.68175764707424</v>
      </c>
      <c r="P1289">
        <f t="shared" si="468"/>
        <v>-105.76221037648648</v>
      </c>
      <c r="Q1289">
        <f t="shared" si="468"/>
        <v>-108.93507668778106</v>
      </c>
      <c r="R1289">
        <f t="shared" si="468"/>
        <v>-112.20312898841448</v>
      </c>
      <c r="S1289">
        <f t="shared" si="468"/>
        <v>-115.56922285806692</v>
      </c>
      <c r="T1289">
        <f t="shared" si="468"/>
        <v>-119.03629954380894</v>
      </c>
      <c r="U1289">
        <f t="shared" si="468"/>
        <v>-122.60738853012322</v>
      </c>
      <c r="V1289">
        <f t="shared" si="468"/>
        <v>-126.28561018602693</v>
      </c>
    </row>
    <row r="1290" spans="2:22">
      <c r="B1290" s="279" t="s">
        <v>636</v>
      </c>
      <c r="C1290" s="280"/>
      <c r="D1290" s="280"/>
      <c r="E1290" s="280"/>
      <c r="F1290" s="281">
        <v>-2377</v>
      </c>
      <c r="G1290" s="21">
        <f>F1290/F1289</f>
        <v>9.3353336684680155E-2</v>
      </c>
      <c r="J1290">
        <f>$F1290*J$1278/Billion</f>
        <v>-2.6147</v>
      </c>
      <c r="K1290">
        <f t="shared" ref="K1290:V1293" si="469">$F1290*K$1278/Billion</f>
        <v>-8.5167566951359994</v>
      </c>
      <c r="L1290">
        <f t="shared" si="469"/>
        <v>-8.7722593959900799</v>
      </c>
      <c r="M1290">
        <f t="shared" si="469"/>
        <v>-9.0354271778697832</v>
      </c>
      <c r="N1290">
        <f t="shared" si="469"/>
        <v>-9.3064899932058776</v>
      </c>
      <c r="O1290">
        <f t="shared" si="469"/>
        <v>-9.5856846930020527</v>
      </c>
      <c r="P1290">
        <f t="shared" si="469"/>
        <v>-9.8732552337921149</v>
      </c>
      <c r="Q1290">
        <f t="shared" si="469"/>
        <v>-10.169452890805879</v>
      </c>
      <c r="R1290">
        <f t="shared" si="469"/>
        <v>-10.474536477530053</v>
      </c>
      <c r="S1290">
        <f t="shared" si="469"/>
        <v>-10.788772571855956</v>
      </c>
      <c r="T1290">
        <f t="shared" si="469"/>
        <v>-11.112435749011636</v>
      </c>
      <c r="U1290">
        <f t="shared" si="469"/>
        <v>-11.445808821481982</v>
      </c>
      <c r="V1290">
        <f t="shared" si="469"/>
        <v>-11.789183086126444</v>
      </c>
    </row>
    <row r="1291" spans="2:22">
      <c r="B1291" s="282" t="s">
        <v>637</v>
      </c>
      <c r="F1291" s="283">
        <v>-3174.08</v>
      </c>
      <c r="G1291"/>
      <c r="J1291">
        <f>$F1291*J$1278/Billion</f>
        <v>-3.4914879999999999</v>
      </c>
      <c r="K1291">
        <f t="shared" si="469"/>
        <v>-11.372682831677439</v>
      </c>
      <c r="L1291">
        <f t="shared" si="469"/>
        <v>-11.713863316627764</v>
      </c>
      <c r="M1291">
        <f t="shared" si="469"/>
        <v>-12.065279216126596</v>
      </c>
      <c r="N1291">
        <f t="shared" si="469"/>
        <v>-12.427237592610396</v>
      </c>
      <c r="O1291">
        <f t="shared" si="469"/>
        <v>-12.800054720388706</v>
      </c>
      <c r="P1291">
        <f t="shared" si="469"/>
        <v>-13.184056362000366</v>
      </c>
      <c r="Q1291">
        <f t="shared" si="469"/>
        <v>-13.579578052860379</v>
      </c>
      <c r="R1291">
        <f t="shared" si="469"/>
        <v>-13.986965394446189</v>
      </c>
      <c r="S1291">
        <f t="shared" si="469"/>
        <v>-14.406574356279577</v>
      </c>
      <c r="T1291">
        <f t="shared" si="469"/>
        <v>-14.838771586967965</v>
      </c>
      <c r="U1291">
        <f t="shared" si="469"/>
        <v>-15.283934734577002</v>
      </c>
      <c r="V1291">
        <f t="shared" si="469"/>
        <v>-15.742452776614313</v>
      </c>
    </row>
    <row r="1292" spans="2:22">
      <c r="B1292" s="282" t="s">
        <v>638</v>
      </c>
      <c r="F1292" s="293">
        <v>-12272.1430163898</v>
      </c>
      <c r="G1292"/>
      <c r="J1292">
        <f>$F1292*J$1278/Billion</f>
        <v>-13.49935731802878</v>
      </c>
      <c r="K1292">
        <f t="shared" si="469"/>
        <v>-43.970911316156638</v>
      </c>
      <c r="L1292">
        <f t="shared" si="469"/>
        <v>-45.290038655641339</v>
      </c>
      <c r="M1292">
        <f t="shared" si="469"/>
        <v>-46.648739815310584</v>
      </c>
      <c r="N1292">
        <f t="shared" si="469"/>
        <v>-48.048202009769902</v>
      </c>
      <c r="O1292">
        <f t="shared" si="469"/>
        <v>-49.489648070063005</v>
      </c>
      <c r="P1292">
        <f t="shared" si="469"/>
        <v>-50.974337512164887</v>
      </c>
      <c r="Q1292">
        <f t="shared" si="469"/>
        <v>-52.503567637529841</v>
      </c>
      <c r="R1292">
        <f t="shared" si="469"/>
        <v>-54.078674666655729</v>
      </c>
      <c r="S1292">
        <f t="shared" si="469"/>
        <v>-55.701034906655408</v>
      </c>
      <c r="T1292">
        <f t="shared" si="469"/>
        <v>-57.372065953855071</v>
      </c>
      <c r="U1292">
        <f t="shared" si="469"/>
        <v>-59.093227932470718</v>
      </c>
      <c r="V1292">
        <f t="shared" si="469"/>
        <v>-60.866024770444845</v>
      </c>
    </row>
    <row r="1293" spans="2:22">
      <c r="B1293" s="284" t="s">
        <v>639</v>
      </c>
      <c r="C1293" s="118"/>
      <c r="D1293" s="118"/>
      <c r="E1293" s="118"/>
      <c r="F1293" s="212">
        <f>F1289-SUM(F1290:F1292)</f>
        <v>-7639.176983610203</v>
      </c>
      <c r="G1293"/>
      <c r="J1293">
        <f>$F1293*J$1278/Billion</f>
        <v>-8.403094681971222</v>
      </c>
      <c r="K1293">
        <f t="shared" si="469"/>
        <v>-27.371060883673131</v>
      </c>
      <c r="L1293">
        <f t="shared" si="469"/>
        <v>-28.192192710183324</v>
      </c>
      <c r="M1293">
        <f t="shared" si="469"/>
        <v>-29.037958491488826</v>
      </c>
      <c r="N1293">
        <f t="shared" si="469"/>
        <v>-29.90909724623349</v>
      </c>
      <c r="O1293">
        <f t="shared" si="469"/>
        <v>-30.806370163620496</v>
      </c>
      <c r="P1293">
        <f t="shared" si="469"/>
        <v>-31.730561268529112</v>
      </c>
      <c r="Q1293">
        <f t="shared" si="469"/>
        <v>-32.682478106584981</v>
      </c>
      <c r="R1293">
        <f t="shared" si="469"/>
        <v>-33.66295244978253</v>
      </c>
      <c r="S1293">
        <f t="shared" si="469"/>
        <v>-34.672841023276014</v>
      </c>
      <c r="T1293">
        <f t="shared" si="469"/>
        <v>-35.713026253974299</v>
      </c>
      <c r="U1293">
        <f t="shared" si="469"/>
        <v>-36.784417041593521</v>
      </c>
      <c r="V1293">
        <f t="shared" si="469"/>
        <v>-37.887949552841327</v>
      </c>
    </row>
    <row r="1294" spans="2:22">
      <c r="F1294" s="21">
        <f>F1293/F1287</f>
        <v>-0.21901310159432921</v>
      </c>
      <c r="G1294"/>
      <c r="J1294">
        <f>SUM(J1290:J1293)</f>
        <v>-28.008640000000003</v>
      </c>
      <c r="K1294">
        <f t="shared" ref="K1294:V1294" si="470">SUM(K1290:K1293)</f>
        <v>-91.231411726643216</v>
      </c>
      <c r="L1294">
        <f t="shared" si="470"/>
        <v>-93.968354078442502</v>
      </c>
      <c r="M1294">
        <f t="shared" si="470"/>
        <v>-96.78740470079579</v>
      </c>
      <c r="N1294">
        <f t="shared" si="470"/>
        <v>-99.691026841819664</v>
      </c>
      <c r="O1294">
        <f t="shared" si="470"/>
        <v>-102.68175764707426</v>
      </c>
      <c r="P1294">
        <f t="shared" si="470"/>
        <v>-105.76221037648648</v>
      </c>
      <c r="Q1294">
        <f t="shared" si="470"/>
        <v>-108.93507668778108</v>
      </c>
      <c r="R1294">
        <f t="shared" si="470"/>
        <v>-112.20312898841451</v>
      </c>
      <c r="S1294">
        <f t="shared" si="470"/>
        <v>-115.56922285806695</v>
      </c>
      <c r="T1294">
        <f t="shared" si="470"/>
        <v>-119.03629954380898</v>
      </c>
      <c r="U1294">
        <f t="shared" si="470"/>
        <v>-122.60738853012322</v>
      </c>
      <c r="V1294">
        <f t="shared" si="470"/>
        <v>-126.28561018602693</v>
      </c>
    </row>
    <row r="1295" spans="2:22">
      <c r="G1295"/>
    </row>
    <row r="1296" spans="2:22">
      <c r="G1296"/>
    </row>
    <row r="1297" spans="2:22">
      <c r="B1297" t="s">
        <v>434</v>
      </c>
      <c r="E1297" s="39">
        <v>0.27</v>
      </c>
      <c r="G1297" s="21">
        <f>E1297+G1290</f>
        <v>0.36335333668468017</v>
      </c>
      <c r="J1297">
        <f>$E$1297*J1287</f>
        <v>10.359360000000001</v>
      </c>
      <c r="K1297">
        <f t="shared" ref="K1297:V1297" si="471">$E$1297*K1287</f>
        <v>33.743124885196799</v>
      </c>
      <c r="L1297">
        <f t="shared" si="471"/>
        <v>34.755418631752704</v>
      </c>
      <c r="M1297">
        <f t="shared" si="471"/>
        <v>35.79808119070529</v>
      </c>
      <c r="N1297">
        <f t="shared" si="471"/>
        <v>36.872023626426447</v>
      </c>
      <c r="O1297">
        <f t="shared" si="471"/>
        <v>37.97818433521924</v>
      </c>
      <c r="P1297">
        <f t="shared" si="471"/>
        <v>39.117529865275827</v>
      </c>
      <c r="Q1297">
        <f t="shared" si="471"/>
        <v>40.291055761234091</v>
      </c>
      <c r="R1297">
        <f t="shared" si="471"/>
        <v>41.499787434071116</v>
      </c>
      <c r="S1297">
        <f t="shared" si="471"/>
        <v>42.744781057093256</v>
      </c>
      <c r="T1297">
        <f t="shared" si="471"/>
        <v>44.027124488806052</v>
      </c>
      <c r="U1297">
        <f t="shared" si="471"/>
        <v>45.347938223470237</v>
      </c>
      <c r="V1297">
        <f t="shared" si="471"/>
        <v>46.708376370174342</v>
      </c>
    </row>
    <row r="1298" spans="2:22">
      <c r="G1298"/>
    </row>
    <row r="1299" spans="2:22">
      <c r="G1299"/>
    </row>
    <row r="1300" spans="2:22" ht="15.75">
      <c r="B1300" s="15" t="s">
        <v>644</v>
      </c>
      <c r="G1300"/>
    </row>
    <row r="1301" spans="2:22" ht="15.75">
      <c r="B1301" s="15" t="s">
        <v>656</v>
      </c>
      <c r="G1301"/>
    </row>
    <row r="1302" spans="2:22">
      <c r="B1302" t="s">
        <v>407</v>
      </c>
      <c r="G1302"/>
      <c r="J1302">
        <f>SUM(J256:J258,J361)</f>
        <v>1100000</v>
      </c>
      <c r="K1302">
        <f t="shared" ref="K1302:V1302" si="472">SUM(K256:K258,K361)</f>
        <v>3582985.568</v>
      </c>
      <c r="L1302">
        <f t="shared" si="472"/>
        <v>3690475.1350400001</v>
      </c>
      <c r="M1302">
        <f t="shared" si="472"/>
        <v>3801189.3890912002</v>
      </c>
      <c r="N1302">
        <f t="shared" si="472"/>
        <v>3915225.0707639363</v>
      </c>
      <c r="O1302">
        <f t="shared" si="472"/>
        <v>4032681.8228868544</v>
      </c>
      <c r="P1302">
        <f t="shared" si="472"/>
        <v>4153662.2775734598</v>
      </c>
      <c r="Q1302">
        <f t="shared" si="472"/>
        <v>4278272.1459006639</v>
      </c>
      <c r="R1302">
        <f t="shared" si="472"/>
        <v>4406620.3102776837</v>
      </c>
      <c r="S1302">
        <f t="shared" si="472"/>
        <v>4538818.9195860149</v>
      </c>
      <c r="T1302">
        <f t="shared" si="472"/>
        <v>4674983.4871735955</v>
      </c>
      <c r="U1302">
        <f t="shared" si="472"/>
        <v>4815232.9917888027</v>
      </c>
      <c r="V1302">
        <f t="shared" si="472"/>
        <v>4959689.9815424671</v>
      </c>
    </row>
    <row r="1303" spans="2:22">
      <c r="G1303"/>
    </row>
    <row r="1304" spans="2:22" ht="30">
      <c r="E1304" s="9" t="s">
        <v>645</v>
      </c>
      <c r="F1304" s="9" t="s">
        <v>646</v>
      </c>
      <c r="G1304" s="9" t="s">
        <v>642</v>
      </c>
    </row>
    <row r="1305" spans="2:22">
      <c r="B1305" t="s">
        <v>629</v>
      </c>
      <c r="E1305" s="19">
        <f t="shared" ref="E1305:E1310" si="473">F1281</f>
        <v>10464</v>
      </c>
      <c r="F1305" s="19">
        <f>E1305</f>
        <v>10464</v>
      </c>
      <c r="G1305"/>
      <c r="J1305">
        <f t="shared" ref="J1305:J1310" si="474">$F1305*J$1302/Billion</f>
        <v>11.510400000000001</v>
      </c>
      <c r="K1305">
        <f t="shared" ref="K1305:V1310" si="475">$F1305*K$1302/Billion</f>
        <v>37.492360983552004</v>
      </c>
      <c r="L1305">
        <f t="shared" si="475"/>
        <v>38.617131813058563</v>
      </c>
      <c r="M1305">
        <f t="shared" si="475"/>
        <v>39.775645767450314</v>
      </c>
      <c r="N1305">
        <f t="shared" si="475"/>
        <v>40.968915140473833</v>
      </c>
      <c r="O1305">
        <f t="shared" si="475"/>
        <v>42.197982594688042</v>
      </c>
      <c r="P1305">
        <f t="shared" si="475"/>
        <v>43.463922072528689</v>
      </c>
      <c r="Q1305">
        <f t="shared" si="475"/>
        <v>44.767839734704545</v>
      </c>
      <c r="R1305">
        <f t="shared" si="475"/>
        <v>46.11087492674568</v>
      </c>
      <c r="S1305">
        <f t="shared" si="475"/>
        <v>47.49420117454806</v>
      </c>
      <c r="T1305">
        <f t="shared" si="475"/>
        <v>48.919027209784502</v>
      </c>
      <c r="U1305">
        <f t="shared" si="475"/>
        <v>50.386598026078033</v>
      </c>
      <c r="V1305">
        <f t="shared" si="475"/>
        <v>51.898195966860378</v>
      </c>
    </row>
    <row r="1306" spans="2:22">
      <c r="B1306" t="s">
        <v>630</v>
      </c>
      <c r="E1306" s="19">
        <f t="shared" si="473"/>
        <v>0</v>
      </c>
      <c r="F1306" s="19">
        <f>E1306</f>
        <v>0</v>
      </c>
      <c r="G1306"/>
      <c r="J1306">
        <f t="shared" si="474"/>
        <v>0</v>
      </c>
      <c r="K1306">
        <f t="shared" si="475"/>
        <v>0</v>
      </c>
      <c r="L1306">
        <f t="shared" si="475"/>
        <v>0</v>
      </c>
      <c r="M1306">
        <f t="shared" si="475"/>
        <v>0</v>
      </c>
      <c r="N1306">
        <f t="shared" si="475"/>
        <v>0</v>
      </c>
      <c r="O1306">
        <f t="shared" si="475"/>
        <v>0</v>
      </c>
      <c r="P1306">
        <f t="shared" si="475"/>
        <v>0</v>
      </c>
      <c r="Q1306">
        <f t="shared" si="475"/>
        <v>0</v>
      </c>
      <c r="R1306">
        <f t="shared" si="475"/>
        <v>0</v>
      </c>
      <c r="S1306">
        <f t="shared" si="475"/>
        <v>0</v>
      </c>
      <c r="T1306">
        <f t="shared" si="475"/>
        <v>0</v>
      </c>
      <c r="U1306">
        <f t="shared" si="475"/>
        <v>0</v>
      </c>
      <c r="V1306">
        <f t="shared" si="475"/>
        <v>0</v>
      </c>
    </row>
    <row r="1307" spans="2:22">
      <c r="B1307" s="407" t="s">
        <v>631</v>
      </c>
      <c r="E1307" s="19">
        <f t="shared" si="473"/>
        <v>24416</v>
      </c>
      <c r="F1307" s="19">
        <f>-SUM(E1320:F1320)/G1307*E1307*120%</f>
        <v>9125.814219633221</v>
      </c>
      <c r="G1307">
        <f>E1307*(1-E1323)</f>
        <v>17823.68</v>
      </c>
      <c r="H1307">
        <f>E1307-F1307</f>
        <v>15290.185780366779</v>
      </c>
      <c r="J1307">
        <f t="shared" si="474"/>
        <v>10.038395641596543</v>
      </c>
      <c r="K1307">
        <f t="shared" si="475"/>
        <v>32.697660645195008</v>
      </c>
      <c r="L1307">
        <f t="shared" si="475"/>
        <v>33.678590464550865</v>
      </c>
      <c r="M1307">
        <f t="shared" si="475"/>
        <v>34.688948178487387</v>
      </c>
      <c r="N1307">
        <f t="shared" si="475"/>
        <v>35.729616623842013</v>
      </c>
      <c r="O1307">
        <f t="shared" si="475"/>
        <v>36.801505122557273</v>
      </c>
      <c r="P1307">
        <f t="shared" si="475"/>
        <v>37.905550276233996</v>
      </c>
      <c r="Q1307">
        <f t="shared" si="475"/>
        <v>39.042716784521012</v>
      </c>
      <c r="R1307">
        <f t="shared" si="475"/>
        <v>40.213998288056644</v>
      </c>
      <c r="S1307">
        <f t="shared" si="475"/>
        <v>41.420418236698346</v>
      </c>
      <c r="T1307">
        <f t="shared" si="475"/>
        <v>42.6630307837993</v>
      </c>
      <c r="U1307">
        <f t="shared" si="475"/>
        <v>43.942921707313268</v>
      </c>
      <c r="V1307">
        <f t="shared" si="475"/>
        <v>45.261209358532675</v>
      </c>
    </row>
    <row r="1308" spans="2:22">
      <c r="B1308" s="407" t="s">
        <v>632</v>
      </c>
      <c r="E1308" s="19">
        <f t="shared" si="473"/>
        <v>0</v>
      </c>
      <c r="F1308" s="19"/>
      <c r="G1308">
        <f>E1308*(1-E1323)</f>
        <v>0</v>
      </c>
      <c r="J1308">
        <f t="shared" si="474"/>
        <v>0</v>
      </c>
      <c r="K1308">
        <f t="shared" si="475"/>
        <v>0</v>
      </c>
      <c r="L1308">
        <f t="shared" si="475"/>
        <v>0</v>
      </c>
      <c r="M1308">
        <f t="shared" si="475"/>
        <v>0</v>
      </c>
      <c r="N1308">
        <f t="shared" si="475"/>
        <v>0</v>
      </c>
      <c r="O1308">
        <f t="shared" si="475"/>
        <v>0</v>
      </c>
      <c r="P1308">
        <f t="shared" si="475"/>
        <v>0</v>
      </c>
      <c r="Q1308">
        <f t="shared" si="475"/>
        <v>0</v>
      </c>
      <c r="R1308">
        <f t="shared" si="475"/>
        <v>0</v>
      </c>
      <c r="S1308">
        <f t="shared" si="475"/>
        <v>0</v>
      </c>
      <c r="T1308">
        <f t="shared" si="475"/>
        <v>0</v>
      </c>
      <c r="U1308">
        <f t="shared" si="475"/>
        <v>0</v>
      </c>
      <c r="V1308">
        <f t="shared" si="475"/>
        <v>0</v>
      </c>
    </row>
    <row r="1309" spans="2:22">
      <c r="B1309" s="407" t="s">
        <v>633</v>
      </c>
      <c r="E1309" s="19">
        <f t="shared" si="473"/>
        <v>0</v>
      </c>
      <c r="F1309" s="19"/>
      <c r="G1309"/>
      <c r="J1309">
        <f t="shared" si="474"/>
        <v>0</v>
      </c>
      <c r="K1309">
        <f t="shared" si="475"/>
        <v>0</v>
      </c>
      <c r="L1309">
        <f t="shared" si="475"/>
        <v>0</v>
      </c>
      <c r="M1309">
        <f t="shared" si="475"/>
        <v>0</v>
      </c>
      <c r="N1309">
        <f t="shared" si="475"/>
        <v>0</v>
      </c>
      <c r="O1309">
        <f t="shared" si="475"/>
        <v>0</v>
      </c>
      <c r="P1309">
        <f t="shared" si="475"/>
        <v>0</v>
      </c>
      <c r="Q1309">
        <f t="shared" si="475"/>
        <v>0</v>
      </c>
      <c r="R1309">
        <f t="shared" si="475"/>
        <v>0</v>
      </c>
      <c r="S1309">
        <f t="shared" si="475"/>
        <v>0</v>
      </c>
      <c r="T1309">
        <f t="shared" si="475"/>
        <v>0</v>
      </c>
      <c r="U1309">
        <f t="shared" si="475"/>
        <v>0</v>
      </c>
      <c r="V1309">
        <f t="shared" si="475"/>
        <v>0</v>
      </c>
    </row>
    <row r="1310" spans="2:22">
      <c r="B1310" s="407" t="s">
        <v>634</v>
      </c>
      <c r="E1310" s="19">
        <f t="shared" si="473"/>
        <v>0</v>
      </c>
      <c r="F1310" s="19">
        <f>E1310</f>
        <v>0</v>
      </c>
      <c r="G1310"/>
      <c r="J1310">
        <f t="shared" si="474"/>
        <v>0</v>
      </c>
      <c r="K1310">
        <f t="shared" si="475"/>
        <v>0</v>
      </c>
      <c r="L1310">
        <f t="shared" si="475"/>
        <v>0</v>
      </c>
      <c r="M1310">
        <f t="shared" si="475"/>
        <v>0</v>
      </c>
      <c r="N1310">
        <f t="shared" si="475"/>
        <v>0</v>
      </c>
      <c r="O1310">
        <f t="shared" si="475"/>
        <v>0</v>
      </c>
      <c r="P1310">
        <f t="shared" si="475"/>
        <v>0</v>
      </c>
      <c r="Q1310">
        <f t="shared" si="475"/>
        <v>0</v>
      </c>
      <c r="R1310">
        <f t="shared" si="475"/>
        <v>0</v>
      </c>
      <c r="S1310">
        <f t="shared" si="475"/>
        <v>0</v>
      </c>
      <c r="T1310">
        <f t="shared" si="475"/>
        <v>0</v>
      </c>
      <c r="U1310">
        <f t="shared" si="475"/>
        <v>0</v>
      </c>
      <c r="V1310">
        <f t="shared" si="475"/>
        <v>0</v>
      </c>
    </row>
    <row r="1311" spans="2:22">
      <c r="C1311" s="407"/>
      <c r="E1311">
        <f>SUM(E1305:E1310)</f>
        <v>34880</v>
      </c>
      <c r="F1311">
        <f>SUM(F1305:F1310)</f>
        <v>19589.814219633219</v>
      </c>
      <c r="G1311">
        <f>F1311-E1311</f>
        <v>-15290.185780366781</v>
      </c>
      <c r="J1311" s="28">
        <f t="shared" ref="J1311:V1311" si="476">SUM(J1305:J1310)</f>
        <v>21.548795641596541</v>
      </c>
      <c r="K1311" s="28">
        <f t="shared" si="476"/>
        <v>70.190021628747019</v>
      </c>
      <c r="L1311" s="28">
        <f t="shared" si="476"/>
        <v>72.295722277609428</v>
      </c>
      <c r="M1311" s="28">
        <f t="shared" si="476"/>
        <v>74.464593945937708</v>
      </c>
      <c r="N1311" s="28">
        <f t="shared" si="476"/>
        <v>76.698531764315845</v>
      </c>
      <c r="O1311" s="28">
        <f t="shared" si="476"/>
        <v>78.999487717245316</v>
      </c>
      <c r="P1311" s="28">
        <f t="shared" si="476"/>
        <v>81.369472348762685</v>
      </c>
      <c r="Q1311" s="28">
        <f t="shared" si="476"/>
        <v>83.810556519225557</v>
      </c>
      <c r="R1311" s="28">
        <f t="shared" si="476"/>
        <v>86.324873214802324</v>
      </c>
      <c r="S1311" s="28">
        <f t="shared" si="476"/>
        <v>88.914619411246406</v>
      </c>
      <c r="T1311" s="28">
        <f t="shared" si="476"/>
        <v>91.582057993583803</v>
      </c>
      <c r="U1311" s="28">
        <f t="shared" si="476"/>
        <v>94.329519733391294</v>
      </c>
      <c r="V1311" s="28">
        <f t="shared" si="476"/>
        <v>97.159405325393053</v>
      </c>
    </row>
    <row r="1312" spans="2:22">
      <c r="B1312" t="s">
        <v>648</v>
      </c>
      <c r="E1312" s="290">
        <f>SUM(E1311,E1313)</f>
        <v>9417.5999999999985</v>
      </c>
      <c r="F1312" s="290">
        <f>SUM(F1311,F1313)</f>
        <v>9748.3082477346543</v>
      </c>
      <c r="G1312"/>
    </row>
    <row r="1313" spans="2:22">
      <c r="B1313" t="s">
        <v>642</v>
      </c>
      <c r="E1313">
        <f>-(E1311-E1311*E1323)</f>
        <v>-25462.400000000001</v>
      </c>
      <c r="F1313">
        <f>SUM(F1314:F1317)</f>
        <v>-9841.5059718985649</v>
      </c>
      <c r="G1313">
        <f>E1313-F1313</f>
        <v>-15620.894028101437</v>
      </c>
      <c r="J1313">
        <f t="shared" ref="J1313:V1313" si="477">SUM(J1314:J1317)</f>
        <v>-10.825656569088421</v>
      </c>
      <c r="K1313">
        <f t="shared" si="477"/>
        <v>-35.261973864698376</v>
      </c>
      <c r="L1313">
        <f t="shared" si="477"/>
        <v>-36.31983308063932</v>
      </c>
      <c r="M1313">
        <f t="shared" si="477"/>
        <v>-37.409428073058507</v>
      </c>
      <c r="N1313">
        <f t="shared" si="477"/>
        <v>-38.531710915250265</v>
      </c>
      <c r="O1313">
        <f t="shared" si="477"/>
        <v>-39.687662242707766</v>
      </c>
      <c r="P1313">
        <f t="shared" si="477"/>
        <v>-40.878292109988998</v>
      </c>
      <c r="Q1313">
        <f t="shared" si="477"/>
        <v>-42.104640873288673</v>
      </c>
      <c r="R1313">
        <f t="shared" si="477"/>
        <v>-43.367780099487327</v>
      </c>
      <c r="S1313">
        <f t="shared" si="477"/>
        <v>-44.668813502471956</v>
      </c>
      <c r="T1313">
        <f t="shared" si="477"/>
        <v>-46.008877907546122</v>
      </c>
      <c r="U1313">
        <f t="shared" si="477"/>
        <v>-47.389144244772496</v>
      </c>
      <c r="V1313">
        <f t="shared" si="477"/>
        <v>-48.810818572115672</v>
      </c>
    </row>
    <row r="1314" spans="2:22">
      <c r="B1314" s="279" t="s">
        <v>636</v>
      </c>
      <c r="C1314" s="280"/>
      <c r="D1314" s="285">
        <f>E1314/E$1226</f>
        <v>4.1607538858938191E-2</v>
      </c>
      <c r="E1314" s="281">
        <f>F1290</f>
        <v>-2377</v>
      </c>
      <c r="F1314" s="281">
        <f>E1314</f>
        <v>-2377</v>
      </c>
      <c r="G1314" s="21"/>
      <c r="J1314">
        <f>$F1314*J$1302/Billion</f>
        <v>-2.6147</v>
      </c>
      <c r="K1314">
        <f t="shared" ref="K1314:V1317" si="478">$F1314*K$1302/Billion</f>
        <v>-8.5167566951359994</v>
      </c>
      <c r="L1314">
        <f t="shared" si="478"/>
        <v>-8.7722593959900799</v>
      </c>
      <c r="M1314">
        <f t="shared" si="478"/>
        <v>-9.0354271778697832</v>
      </c>
      <c r="N1314">
        <f t="shared" si="478"/>
        <v>-9.3064899932058776</v>
      </c>
      <c r="O1314">
        <f t="shared" si="478"/>
        <v>-9.5856846930020527</v>
      </c>
      <c r="P1314">
        <f t="shared" si="478"/>
        <v>-9.8732552337921149</v>
      </c>
      <c r="Q1314">
        <f t="shared" si="478"/>
        <v>-10.169452890805879</v>
      </c>
      <c r="R1314">
        <f t="shared" si="478"/>
        <v>-10.474536477530053</v>
      </c>
      <c r="S1314">
        <f t="shared" si="478"/>
        <v>-10.788772571855956</v>
      </c>
      <c r="T1314">
        <f t="shared" si="478"/>
        <v>-11.112435749011636</v>
      </c>
      <c r="U1314">
        <f t="shared" si="478"/>
        <v>-11.445808821481982</v>
      </c>
      <c r="V1314">
        <f t="shared" si="478"/>
        <v>-11.789183086126444</v>
      </c>
    </row>
    <row r="1315" spans="2:22">
      <c r="B1315" s="282" t="s">
        <v>637</v>
      </c>
      <c r="D1315" s="286">
        <f>E1315/E$1226</f>
        <v>5.5559805191997699E-2</v>
      </c>
      <c r="E1315" s="283">
        <f>F1291</f>
        <v>-3174.08</v>
      </c>
      <c r="F1315" s="281">
        <f>E1315</f>
        <v>-3174.08</v>
      </c>
      <c r="G1315"/>
      <c r="J1315">
        <f>$F1315*J$1302/Billion</f>
        <v>-3.4914879999999999</v>
      </c>
      <c r="K1315">
        <f t="shared" si="478"/>
        <v>-11.372682831677439</v>
      </c>
      <c r="L1315">
        <f t="shared" si="478"/>
        <v>-11.713863316627764</v>
      </c>
      <c r="M1315">
        <f t="shared" si="478"/>
        <v>-12.065279216126596</v>
      </c>
      <c r="N1315">
        <f t="shared" si="478"/>
        <v>-12.427237592610396</v>
      </c>
      <c r="O1315">
        <f t="shared" si="478"/>
        <v>-12.800054720388706</v>
      </c>
      <c r="P1315">
        <f t="shared" si="478"/>
        <v>-13.184056362000366</v>
      </c>
      <c r="Q1315">
        <f t="shared" si="478"/>
        <v>-13.579578052860379</v>
      </c>
      <c r="R1315">
        <f t="shared" si="478"/>
        <v>-13.986965394446189</v>
      </c>
      <c r="S1315">
        <f t="shared" si="478"/>
        <v>-14.406574356279577</v>
      </c>
      <c r="T1315">
        <f t="shared" si="478"/>
        <v>-14.838771586967965</v>
      </c>
      <c r="U1315">
        <f t="shared" si="478"/>
        <v>-15.283934734577002</v>
      </c>
      <c r="V1315">
        <f t="shared" si="478"/>
        <v>-15.742452776614313</v>
      </c>
    </row>
    <row r="1316" spans="2:22">
      <c r="B1316" s="282" t="s">
        <v>638</v>
      </c>
      <c r="D1316" s="288">
        <f>E1316/E1311</f>
        <v>-0.35183896262585435</v>
      </c>
      <c r="E1316" s="283">
        <f>F1292</f>
        <v>-12272.1430163898</v>
      </c>
      <c r="F1316" s="19">
        <v>0</v>
      </c>
      <c r="G1316"/>
      <c r="J1316">
        <f>$F1316*J$1302/Billion</f>
        <v>0</v>
      </c>
      <c r="K1316">
        <f t="shared" si="478"/>
        <v>0</v>
      </c>
      <c r="L1316">
        <f t="shared" si="478"/>
        <v>0</v>
      </c>
      <c r="M1316">
        <f t="shared" si="478"/>
        <v>0</v>
      </c>
      <c r="N1316">
        <f t="shared" si="478"/>
        <v>0</v>
      </c>
      <c r="O1316">
        <f t="shared" si="478"/>
        <v>0</v>
      </c>
      <c r="P1316">
        <f t="shared" si="478"/>
        <v>0</v>
      </c>
      <c r="Q1316">
        <f t="shared" si="478"/>
        <v>0</v>
      </c>
      <c r="R1316">
        <f t="shared" si="478"/>
        <v>0</v>
      </c>
      <c r="S1316">
        <f t="shared" si="478"/>
        <v>0</v>
      </c>
      <c r="T1316">
        <f t="shared" si="478"/>
        <v>0</v>
      </c>
      <c r="U1316">
        <f t="shared" si="478"/>
        <v>0</v>
      </c>
      <c r="V1316">
        <f t="shared" si="478"/>
        <v>0</v>
      </c>
    </row>
    <row r="1317" spans="2:22">
      <c r="B1317" s="284" t="s">
        <v>639</v>
      </c>
      <c r="C1317" s="118"/>
      <c r="D1317" s="287">
        <f>E1317/E$1226</f>
        <v>0.13371785998984762</v>
      </c>
      <c r="E1317" s="212">
        <f>F1293</f>
        <v>-7639.176983610203</v>
      </c>
      <c r="F1317" s="212">
        <f>F1311*E1318</f>
        <v>-4290.425971898565</v>
      </c>
      <c r="G1317"/>
      <c r="J1317">
        <f>$F1317*J$1302/Billion</f>
        <v>-4.7194685690884217</v>
      </c>
      <c r="K1317">
        <f t="shared" si="478"/>
        <v>-15.372534337884932</v>
      </c>
      <c r="L1317">
        <f t="shared" si="478"/>
        <v>-15.83371036802148</v>
      </c>
      <c r="M1317">
        <f t="shared" si="478"/>
        <v>-16.308721679062124</v>
      </c>
      <c r="N1317">
        <f t="shared" si="478"/>
        <v>-16.79798332943399</v>
      </c>
      <c r="O1317">
        <f t="shared" si="478"/>
        <v>-17.301922829317007</v>
      </c>
      <c r="P1317">
        <f t="shared" si="478"/>
        <v>-17.820980514196517</v>
      </c>
      <c r="Q1317">
        <f t="shared" si="478"/>
        <v>-18.355609929622414</v>
      </c>
      <c r="R1317">
        <f t="shared" si="478"/>
        <v>-18.906278227511084</v>
      </c>
      <c r="S1317">
        <f t="shared" si="478"/>
        <v>-19.47346657433642</v>
      </c>
      <c r="T1317">
        <f t="shared" si="478"/>
        <v>-20.057670571566518</v>
      </c>
      <c r="U1317">
        <f t="shared" si="478"/>
        <v>-20.659400688713507</v>
      </c>
      <c r="V1317">
        <f t="shared" si="478"/>
        <v>-21.279182709374915</v>
      </c>
    </row>
    <row r="1318" spans="2:22">
      <c r="D1318" s="288">
        <f>E1318/E$1226</f>
        <v>3.8336542428281992E-6</v>
      </c>
      <c r="E1318" s="21">
        <f>E1317/E1311</f>
        <v>-0.21901310159432921</v>
      </c>
      <c r="G1318"/>
    </row>
    <row r="1319" spans="2:22">
      <c r="E1319" s="407" t="s">
        <v>636</v>
      </c>
      <c r="F1319" s="407" t="s">
        <v>649</v>
      </c>
      <c r="G1319"/>
    </row>
    <row r="1320" spans="2:22">
      <c r="B1320" s="407" t="s">
        <v>658</v>
      </c>
      <c r="E1320">
        <v>-2377.45698361021</v>
      </c>
      <c r="F1320">
        <f>F1315</f>
        <v>-3174.08</v>
      </c>
      <c r="G1320"/>
    </row>
    <row r="1321" spans="2:22">
      <c r="G1321"/>
    </row>
    <row r="1322" spans="2:22">
      <c r="G1322"/>
    </row>
    <row r="1323" spans="2:22">
      <c r="B1323" t="s">
        <v>434</v>
      </c>
      <c r="E1323" s="39">
        <f>E1297</f>
        <v>0.27</v>
      </c>
      <c r="G1323"/>
      <c r="J1323">
        <f>SUM(J1311,J1313)</f>
        <v>10.72313907250812</v>
      </c>
      <c r="K1323">
        <f t="shared" ref="K1323:V1323" si="479">SUM(K1311,K1313)</f>
        <v>34.928047764048642</v>
      </c>
      <c r="L1323">
        <f t="shared" si="479"/>
        <v>35.975889196970108</v>
      </c>
      <c r="M1323">
        <f t="shared" si="479"/>
        <v>37.055165872879201</v>
      </c>
      <c r="N1323">
        <f t="shared" si="479"/>
        <v>38.16682084906558</v>
      </c>
      <c r="O1323">
        <f t="shared" si="479"/>
        <v>39.311825474537549</v>
      </c>
      <c r="P1323">
        <f t="shared" si="479"/>
        <v>40.491180238773687</v>
      </c>
      <c r="Q1323">
        <f t="shared" si="479"/>
        <v>41.705915645936884</v>
      </c>
      <c r="R1323">
        <f t="shared" si="479"/>
        <v>42.957093115314997</v>
      </c>
      <c r="S1323">
        <f t="shared" si="479"/>
        <v>44.24580590877445</v>
      </c>
      <c r="T1323">
        <f t="shared" si="479"/>
        <v>45.573180086037681</v>
      </c>
      <c r="U1323">
        <f t="shared" si="479"/>
        <v>46.940375488618798</v>
      </c>
      <c r="V1323">
        <f t="shared" si="479"/>
        <v>48.348586753277381</v>
      </c>
    </row>
    <row r="1324" spans="2:22">
      <c r="G1324"/>
    </row>
    <row r="1325" spans="2:22">
      <c r="G1325"/>
      <c r="I1325" s="21"/>
      <c r="K1325" s="21"/>
      <c r="L1325" s="21"/>
      <c r="M1325" s="21"/>
      <c r="N1325" s="21"/>
    </row>
    <row r="1326" spans="2:22" ht="15.75">
      <c r="B1326" s="15" t="s">
        <v>456</v>
      </c>
      <c r="G1326"/>
      <c r="I1326" s="21"/>
      <c r="K1326" s="21"/>
      <c r="L1326" s="21"/>
      <c r="M1326" s="21"/>
      <c r="N1326" s="21"/>
    </row>
    <row r="1327" spans="2:22">
      <c r="B1327" t="s">
        <v>471</v>
      </c>
      <c r="G1327"/>
      <c r="I1327" s="21"/>
      <c r="J1327">
        <f>J1302</f>
        <v>1100000</v>
      </c>
      <c r="K1327">
        <f t="shared" ref="K1327:V1327" si="480">K1302</f>
        <v>3582985.568</v>
      </c>
      <c r="L1327">
        <f t="shared" si="480"/>
        <v>3690475.1350400001</v>
      </c>
      <c r="M1327">
        <f t="shared" si="480"/>
        <v>3801189.3890912002</v>
      </c>
      <c r="N1327">
        <f t="shared" si="480"/>
        <v>3915225.0707639363</v>
      </c>
      <c r="O1327">
        <f t="shared" si="480"/>
        <v>4032681.8228868544</v>
      </c>
      <c r="P1327">
        <f t="shared" si="480"/>
        <v>4153662.2775734598</v>
      </c>
      <c r="Q1327">
        <f t="shared" si="480"/>
        <v>4278272.1459006639</v>
      </c>
      <c r="R1327">
        <f t="shared" si="480"/>
        <v>4406620.3102776837</v>
      </c>
      <c r="S1327">
        <f t="shared" si="480"/>
        <v>4538818.9195860149</v>
      </c>
      <c r="T1327">
        <f t="shared" si="480"/>
        <v>4674983.4871735955</v>
      </c>
      <c r="U1327">
        <f t="shared" si="480"/>
        <v>4815232.9917888027</v>
      </c>
      <c r="V1327">
        <f t="shared" si="480"/>
        <v>4959689.9815424671</v>
      </c>
    </row>
    <row r="1328" spans="2:22">
      <c r="B1328" t="s">
        <v>578</v>
      </c>
      <c r="G1328"/>
      <c r="I1328" s="21"/>
      <c r="J1328">
        <f>J1311</f>
        <v>21.548795641596541</v>
      </c>
      <c r="K1328">
        <f t="shared" ref="K1328:V1328" si="481">K1311</f>
        <v>70.190021628747019</v>
      </c>
      <c r="L1328">
        <f t="shared" si="481"/>
        <v>72.295722277609428</v>
      </c>
      <c r="M1328">
        <f t="shared" si="481"/>
        <v>74.464593945937708</v>
      </c>
      <c r="N1328">
        <f t="shared" si="481"/>
        <v>76.698531764315845</v>
      </c>
      <c r="O1328">
        <f t="shared" si="481"/>
        <v>78.999487717245316</v>
      </c>
      <c r="P1328">
        <f t="shared" si="481"/>
        <v>81.369472348762685</v>
      </c>
      <c r="Q1328">
        <f t="shared" si="481"/>
        <v>83.810556519225557</v>
      </c>
      <c r="R1328">
        <f t="shared" si="481"/>
        <v>86.324873214802324</v>
      </c>
      <c r="S1328">
        <f t="shared" si="481"/>
        <v>88.914619411246406</v>
      </c>
      <c r="T1328">
        <f t="shared" si="481"/>
        <v>91.582057993583803</v>
      </c>
      <c r="U1328">
        <f t="shared" si="481"/>
        <v>94.329519733391294</v>
      </c>
      <c r="V1328">
        <f t="shared" si="481"/>
        <v>97.159405325393053</v>
      </c>
    </row>
    <row r="1329" spans="2:22">
      <c r="B1329" t="s">
        <v>434</v>
      </c>
      <c r="G1329"/>
      <c r="I1329" s="21"/>
      <c r="J1329">
        <f>J1323</f>
        <v>10.72313907250812</v>
      </c>
      <c r="K1329">
        <f t="shared" ref="K1329:V1329" si="482">K1323</f>
        <v>34.928047764048642</v>
      </c>
      <c r="L1329">
        <f t="shared" si="482"/>
        <v>35.975889196970108</v>
      </c>
      <c r="M1329">
        <f t="shared" si="482"/>
        <v>37.055165872879201</v>
      </c>
      <c r="N1329">
        <f t="shared" si="482"/>
        <v>38.16682084906558</v>
      </c>
      <c r="O1329">
        <f t="shared" si="482"/>
        <v>39.311825474537549</v>
      </c>
      <c r="P1329">
        <f t="shared" si="482"/>
        <v>40.491180238773687</v>
      </c>
      <c r="Q1329">
        <f t="shared" si="482"/>
        <v>41.705915645936884</v>
      </c>
      <c r="R1329">
        <f t="shared" si="482"/>
        <v>42.957093115314997</v>
      </c>
      <c r="S1329">
        <f t="shared" si="482"/>
        <v>44.24580590877445</v>
      </c>
      <c r="T1329">
        <f t="shared" si="482"/>
        <v>45.573180086037681</v>
      </c>
      <c r="U1329">
        <f t="shared" si="482"/>
        <v>46.940375488618798</v>
      </c>
      <c r="V1329">
        <f t="shared" si="482"/>
        <v>48.348586753277381</v>
      </c>
    </row>
    <row r="1330" spans="2:22">
      <c r="G1330"/>
      <c r="I1330" s="21"/>
    </row>
    <row r="1331" spans="2:22">
      <c r="B1331" t="s">
        <v>819</v>
      </c>
      <c r="G1331"/>
      <c r="I1331" s="21"/>
      <c r="J1331">
        <f>J1327-J1278</f>
        <v>0</v>
      </c>
      <c r="K1331">
        <f t="shared" ref="K1331:V1331" si="483">K1327-K1278</f>
        <v>0</v>
      </c>
      <c r="L1331">
        <f t="shared" si="483"/>
        <v>0</v>
      </c>
      <c r="M1331">
        <f t="shared" si="483"/>
        <v>0</v>
      </c>
      <c r="N1331">
        <f t="shared" si="483"/>
        <v>0</v>
      </c>
      <c r="O1331">
        <f t="shared" si="483"/>
        <v>0</v>
      </c>
      <c r="P1331">
        <f t="shared" si="483"/>
        <v>0</v>
      </c>
      <c r="Q1331">
        <f t="shared" si="483"/>
        <v>0</v>
      </c>
      <c r="R1331">
        <f t="shared" si="483"/>
        <v>0</v>
      </c>
      <c r="S1331">
        <f t="shared" si="483"/>
        <v>0</v>
      </c>
      <c r="T1331">
        <f t="shared" si="483"/>
        <v>0</v>
      </c>
      <c r="U1331">
        <f t="shared" si="483"/>
        <v>0</v>
      </c>
      <c r="V1331">
        <f t="shared" si="483"/>
        <v>0</v>
      </c>
    </row>
    <row r="1332" spans="2:22">
      <c r="B1332" t="s">
        <v>9</v>
      </c>
      <c r="E1332">
        <f>F1311</f>
        <v>19589.814219633219</v>
      </c>
      <c r="G1332"/>
      <c r="I1332" s="21"/>
      <c r="J1332">
        <f>J1331*$E$1332/Billion</f>
        <v>0</v>
      </c>
      <c r="K1332">
        <f t="shared" ref="K1332:V1332" si="484">K1331*$E$1332/Billion</f>
        <v>0</v>
      </c>
      <c r="L1332">
        <f t="shared" si="484"/>
        <v>0</v>
      </c>
      <c r="M1332">
        <f t="shared" si="484"/>
        <v>0</v>
      </c>
      <c r="N1332">
        <f t="shared" si="484"/>
        <v>0</v>
      </c>
      <c r="O1332">
        <f t="shared" si="484"/>
        <v>0</v>
      </c>
      <c r="P1332">
        <f t="shared" si="484"/>
        <v>0</v>
      </c>
      <c r="Q1332">
        <f t="shared" si="484"/>
        <v>0</v>
      </c>
      <c r="R1332">
        <f t="shared" si="484"/>
        <v>0</v>
      </c>
      <c r="S1332">
        <f t="shared" si="484"/>
        <v>0</v>
      </c>
      <c r="T1332">
        <f t="shared" si="484"/>
        <v>0</v>
      </c>
      <c r="U1332">
        <f t="shared" si="484"/>
        <v>0</v>
      </c>
      <c r="V1332">
        <f t="shared" si="484"/>
        <v>0</v>
      </c>
    </row>
    <row r="1333" spans="2:22">
      <c r="B1333" t="s">
        <v>642</v>
      </c>
      <c r="E1333">
        <f>F1313-F1314</f>
        <v>-7464.5059718985649</v>
      </c>
      <c r="G1333" s="21">
        <f>$G$1297</f>
        <v>0.36335333668468017</v>
      </c>
      <c r="I1333" s="21"/>
      <c r="J1333">
        <f>$E1333*J$1331/Billion</f>
        <v>0</v>
      </c>
      <c r="K1333">
        <f t="shared" ref="K1333:V1333" si="485">$E1333*K$1331/Billion</f>
        <v>0</v>
      </c>
      <c r="L1333">
        <f t="shared" si="485"/>
        <v>0</v>
      </c>
      <c r="M1333">
        <f t="shared" si="485"/>
        <v>0</v>
      </c>
      <c r="N1333">
        <f t="shared" si="485"/>
        <v>0</v>
      </c>
      <c r="O1333">
        <f t="shared" si="485"/>
        <v>0</v>
      </c>
      <c r="P1333">
        <f t="shared" si="485"/>
        <v>0</v>
      </c>
      <c r="Q1333">
        <f t="shared" si="485"/>
        <v>0</v>
      </c>
      <c r="R1333">
        <f t="shared" si="485"/>
        <v>0</v>
      </c>
      <c r="S1333">
        <f t="shared" si="485"/>
        <v>0</v>
      </c>
      <c r="T1333">
        <f t="shared" si="485"/>
        <v>0</v>
      </c>
      <c r="U1333">
        <f t="shared" si="485"/>
        <v>0</v>
      </c>
      <c r="V1333">
        <f t="shared" si="485"/>
        <v>0</v>
      </c>
    </row>
    <row r="1334" spans="2:22">
      <c r="B1334" t="s">
        <v>820</v>
      </c>
      <c r="G1334"/>
      <c r="I1334" s="21"/>
      <c r="J1334">
        <f>J1332*$G$1333</f>
        <v>0</v>
      </c>
      <c r="K1334">
        <f t="shared" ref="K1334:U1334" si="486">K1332*$G$1333</f>
        <v>0</v>
      </c>
      <c r="L1334">
        <f t="shared" si="486"/>
        <v>0</v>
      </c>
      <c r="M1334">
        <f t="shared" si="486"/>
        <v>0</v>
      </c>
      <c r="N1334">
        <f t="shared" si="486"/>
        <v>0</v>
      </c>
      <c r="O1334">
        <f t="shared" si="486"/>
        <v>0</v>
      </c>
      <c r="P1334">
        <f t="shared" si="486"/>
        <v>0</v>
      </c>
      <c r="Q1334">
        <f t="shared" si="486"/>
        <v>0</v>
      </c>
      <c r="R1334">
        <f t="shared" si="486"/>
        <v>0</v>
      </c>
      <c r="S1334">
        <f t="shared" si="486"/>
        <v>0</v>
      </c>
      <c r="T1334">
        <f t="shared" si="486"/>
        <v>0</v>
      </c>
      <c r="U1334">
        <f t="shared" si="486"/>
        <v>0</v>
      </c>
      <c r="V1334">
        <f>T1334-K1334</f>
        <v>0</v>
      </c>
    </row>
    <row r="1335" spans="2:22">
      <c r="G1335"/>
      <c r="I1335" s="21"/>
      <c r="U1335" s="74"/>
      <c r="V1335" s="74"/>
    </row>
    <row r="1336" spans="2:22" ht="15.75">
      <c r="B1336" s="15" t="s">
        <v>654</v>
      </c>
      <c r="G1336"/>
      <c r="I1336" s="21"/>
    </row>
    <row r="1337" spans="2:22">
      <c r="B1337" t="s">
        <v>472</v>
      </c>
      <c r="G1337"/>
      <c r="J1337">
        <f>J1287</f>
        <v>38.368000000000002</v>
      </c>
      <c r="K1337">
        <f t="shared" ref="K1337:V1337" si="487">K1287</f>
        <v>124.97453661183999</v>
      </c>
      <c r="L1337">
        <f t="shared" si="487"/>
        <v>128.72377271019519</v>
      </c>
      <c r="M1337">
        <f t="shared" si="487"/>
        <v>132.58548589150107</v>
      </c>
      <c r="N1337">
        <f t="shared" si="487"/>
        <v>136.5630504682461</v>
      </c>
      <c r="O1337">
        <f t="shared" si="487"/>
        <v>140.65994198229347</v>
      </c>
      <c r="P1337">
        <f t="shared" si="487"/>
        <v>144.87974024176231</v>
      </c>
      <c r="Q1337">
        <f t="shared" si="487"/>
        <v>149.22613244901515</v>
      </c>
      <c r="R1337">
        <f t="shared" si="487"/>
        <v>153.7029164224856</v>
      </c>
      <c r="S1337">
        <f t="shared" si="487"/>
        <v>158.31400391516019</v>
      </c>
      <c r="T1337">
        <f t="shared" si="487"/>
        <v>163.06342403261499</v>
      </c>
      <c r="U1337">
        <f t="shared" si="487"/>
        <v>167.95532675359345</v>
      </c>
      <c r="V1337">
        <f t="shared" si="487"/>
        <v>172.99398655620126</v>
      </c>
    </row>
    <row r="1338" spans="2:22">
      <c r="B1338" t="s">
        <v>434</v>
      </c>
      <c r="G1338"/>
      <c r="J1338">
        <f>J1297</f>
        <v>10.359360000000001</v>
      </c>
      <c r="K1338">
        <f t="shared" ref="K1338:V1338" si="488">K1297</f>
        <v>33.743124885196799</v>
      </c>
      <c r="L1338">
        <f t="shared" si="488"/>
        <v>34.755418631752704</v>
      </c>
      <c r="M1338">
        <f t="shared" si="488"/>
        <v>35.79808119070529</v>
      </c>
      <c r="N1338">
        <f t="shared" si="488"/>
        <v>36.872023626426447</v>
      </c>
      <c r="O1338">
        <f t="shared" si="488"/>
        <v>37.97818433521924</v>
      </c>
      <c r="P1338">
        <f t="shared" si="488"/>
        <v>39.117529865275827</v>
      </c>
      <c r="Q1338">
        <f t="shared" si="488"/>
        <v>40.291055761234091</v>
      </c>
      <c r="R1338">
        <f t="shared" si="488"/>
        <v>41.499787434071116</v>
      </c>
      <c r="S1338">
        <f t="shared" si="488"/>
        <v>42.744781057093256</v>
      </c>
      <c r="T1338">
        <f t="shared" si="488"/>
        <v>44.027124488806052</v>
      </c>
      <c r="U1338">
        <f t="shared" si="488"/>
        <v>45.347938223470237</v>
      </c>
      <c r="V1338">
        <f t="shared" si="488"/>
        <v>46.708376370174342</v>
      </c>
    </row>
    <row r="1339" spans="2:22">
      <c r="G1339"/>
      <c r="L1339">
        <f t="shared" ref="L1339:U1339" si="489">L1329-L1338</f>
        <v>1.2204705652174042</v>
      </c>
      <c r="M1339">
        <f t="shared" si="489"/>
        <v>1.257084682173911</v>
      </c>
      <c r="N1339">
        <f t="shared" si="489"/>
        <v>1.2947972226391329</v>
      </c>
      <c r="O1339">
        <f t="shared" si="489"/>
        <v>1.3336411393183099</v>
      </c>
      <c r="P1339">
        <f t="shared" si="489"/>
        <v>1.3736503734978598</v>
      </c>
      <c r="Q1339">
        <f t="shared" si="489"/>
        <v>1.4148598847027927</v>
      </c>
      <c r="R1339">
        <f t="shared" si="489"/>
        <v>1.4573056812438807</v>
      </c>
      <c r="S1339">
        <f t="shared" si="489"/>
        <v>1.5010248516811941</v>
      </c>
      <c r="T1339">
        <f t="shared" si="489"/>
        <v>1.5460555972316286</v>
      </c>
      <c r="U1339">
        <f t="shared" si="489"/>
        <v>1.5924372651485612</v>
      </c>
      <c r="V1339">
        <f>T1339-K1339</f>
        <v>1.5460555972316286</v>
      </c>
    </row>
    <row r="1340" spans="2:22">
      <c r="B1340" s="407" t="s">
        <v>659</v>
      </c>
      <c r="G1340"/>
      <c r="J1340" s="74">
        <f t="shared" ref="J1340:T1340" si="490">J1329/J1338-1</f>
        <v>3.5115979414569898E-2</v>
      </c>
      <c r="K1340" s="74">
        <f t="shared" si="490"/>
        <v>3.511597941457012E-2</v>
      </c>
      <c r="L1340" s="74">
        <f t="shared" si="490"/>
        <v>3.5115979414570342E-2</v>
      </c>
      <c r="M1340" s="74">
        <f t="shared" si="490"/>
        <v>3.5115979414569898E-2</v>
      </c>
      <c r="N1340" s="74">
        <f t="shared" si="490"/>
        <v>3.511597941457012E-2</v>
      </c>
      <c r="O1340" s="74">
        <f t="shared" si="490"/>
        <v>3.511597941457012E-2</v>
      </c>
      <c r="P1340" s="74">
        <f t="shared" si="490"/>
        <v>3.511597941457012E-2</v>
      </c>
      <c r="Q1340" s="74">
        <f t="shared" si="490"/>
        <v>3.511597941457012E-2</v>
      </c>
      <c r="R1340" s="74">
        <f t="shared" si="490"/>
        <v>3.511597941457012E-2</v>
      </c>
      <c r="S1340" s="74">
        <f t="shared" si="490"/>
        <v>3.511597941457012E-2</v>
      </c>
      <c r="T1340" s="74">
        <f t="shared" si="490"/>
        <v>3.511597941457012E-2</v>
      </c>
    </row>
    <row r="1341" spans="2:22">
      <c r="G1341"/>
    </row>
    <row r="1342" spans="2:22" ht="24" thickBot="1">
      <c r="B1342" s="14" t="s">
        <v>660</v>
      </c>
      <c r="C1342" s="14"/>
      <c r="D1342" s="14"/>
      <c r="E1342" s="14"/>
      <c r="F1342" s="14"/>
      <c r="G1342" s="14"/>
      <c r="H1342" s="14"/>
      <c r="I1342" s="14"/>
      <c r="J1342" s="14"/>
      <c r="K1342" s="14"/>
      <c r="L1342" s="14"/>
      <c r="M1342" s="14"/>
      <c r="N1342" s="14"/>
      <c r="O1342" s="14"/>
      <c r="P1342" s="14"/>
      <c r="Q1342" s="14"/>
      <c r="R1342" s="14"/>
      <c r="S1342" s="14"/>
      <c r="T1342" s="14"/>
      <c r="U1342" s="14"/>
      <c r="V1342" s="14"/>
    </row>
    <row r="1343" spans="2:22">
      <c r="G1343"/>
    </row>
    <row r="1344" spans="2:22">
      <c r="B1344" s="2" t="s">
        <v>662</v>
      </c>
      <c r="G1344"/>
    </row>
    <row r="1345" spans="2:22">
      <c r="B1345" s="407" t="s">
        <v>9</v>
      </c>
      <c r="G1345"/>
    </row>
    <row r="1346" spans="2:22">
      <c r="B1346" s="407" t="s">
        <v>407</v>
      </c>
      <c r="G1346"/>
      <c r="J1346">
        <f>Calculation_FSL!J586</f>
        <v>750000</v>
      </c>
      <c r="K1346">
        <f>Calculation_FSL!K586</f>
        <v>772500</v>
      </c>
      <c r="L1346">
        <f>Calculation_FSL!L586</f>
        <v>795675</v>
      </c>
      <c r="M1346">
        <f>Calculation_FSL!M586</f>
        <v>819545.25</v>
      </c>
      <c r="N1346">
        <f>Calculation_FSL!N586</f>
        <v>844131.60750000016</v>
      </c>
      <c r="O1346">
        <f>Calculation_FSL!O586</f>
        <v>869455.5557250001</v>
      </c>
      <c r="P1346">
        <f>Calculation_FSL!P586</f>
        <v>895539.22239675012</v>
      </c>
      <c r="Q1346">
        <f>Calculation_FSL!Q586</f>
        <v>922405.39906865265</v>
      </c>
      <c r="R1346">
        <f>Calculation_FSL!R586</f>
        <v>950077.56104071229</v>
      </c>
      <c r="S1346">
        <f>Calculation_FSL!S586</f>
        <v>978579.88787193364</v>
      </c>
      <c r="T1346">
        <f>Calculation_FSL!T586</f>
        <v>1007937.2845080916</v>
      </c>
      <c r="U1346">
        <f>Calculation_FSL!U586</f>
        <v>1038175.4030433345</v>
      </c>
      <c r="V1346">
        <f>Calculation_FSL!V586</f>
        <v>1069320.6651346346</v>
      </c>
    </row>
    <row r="1347" spans="2:22">
      <c r="B1347" s="407" t="s">
        <v>821</v>
      </c>
      <c r="F1347" s="19">
        <f>Sheet3!G6</f>
        <v>26000</v>
      </c>
      <c r="G1347"/>
      <c r="J1347">
        <f>$F$1347</f>
        <v>26000</v>
      </c>
      <c r="K1347">
        <f t="shared" ref="K1347:V1347" si="491">$F$1347</f>
        <v>26000</v>
      </c>
      <c r="L1347">
        <f t="shared" si="491"/>
        <v>26000</v>
      </c>
      <c r="M1347">
        <f t="shared" si="491"/>
        <v>26000</v>
      </c>
      <c r="N1347">
        <f t="shared" si="491"/>
        <v>26000</v>
      </c>
      <c r="O1347">
        <f t="shared" si="491"/>
        <v>26000</v>
      </c>
      <c r="P1347">
        <f t="shared" si="491"/>
        <v>26000</v>
      </c>
      <c r="Q1347">
        <f t="shared" si="491"/>
        <v>26000</v>
      </c>
      <c r="R1347">
        <f t="shared" si="491"/>
        <v>26000</v>
      </c>
      <c r="S1347">
        <f t="shared" si="491"/>
        <v>26000</v>
      </c>
      <c r="T1347">
        <f t="shared" si="491"/>
        <v>26000</v>
      </c>
      <c r="U1347">
        <f t="shared" si="491"/>
        <v>26000</v>
      </c>
      <c r="V1347">
        <f t="shared" si="491"/>
        <v>26000</v>
      </c>
    </row>
    <row r="1348" spans="2:22">
      <c r="B1348" s="407" t="s">
        <v>822</v>
      </c>
      <c r="F1348" s="19">
        <f>Sheet3!G8</f>
        <v>29000</v>
      </c>
      <c r="G1348"/>
      <c r="J1348">
        <f>$F$1348</f>
        <v>29000</v>
      </c>
      <c r="K1348">
        <f t="shared" ref="K1348:V1348" si="492">$F$1348</f>
        <v>29000</v>
      </c>
      <c r="L1348">
        <f t="shared" si="492"/>
        <v>29000</v>
      </c>
      <c r="M1348">
        <f t="shared" si="492"/>
        <v>29000</v>
      </c>
      <c r="N1348">
        <f t="shared" si="492"/>
        <v>29000</v>
      </c>
      <c r="O1348">
        <f t="shared" si="492"/>
        <v>29000</v>
      </c>
      <c r="P1348">
        <f t="shared" si="492"/>
        <v>29000</v>
      </c>
      <c r="Q1348">
        <f t="shared" si="492"/>
        <v>29000</v>
      </c>
      <c r="R1348">
        <f t="shared" si="492"/>
        <v>29000</v>
      </c>
      <c r="S1348">
        <f t="shared" si="492"/>
        <v>29000</v>
      </c>
      <c r="T1348">
        <f t="shared" si="492"/>
        <v>29000</v>
      </c>
      <c r="U1348">
        <f t="shared" si="492"/>
        <v>29000</v>
      </c>
      <c r="V1348">
        <f t="shared" si="492"/>
        <v>29000</v>
      </c>
    </row>
    <row r="1349" spans="2:22">
      <c r="B1349" s="28" t="s">
        <v>9</v>
      </c>
      <c r="C1349" s="28"/>
      <c r="D1349" s="28"/>
      <c r="E1349" s="28"/>
      <c r="F1349" s="28"/>
      <c r="G1349" s="28"/>
      <c r="H1349" s="28"/>
      <c r="I1349" s="28"/>
      <c r="J1349" s="28">
        <f>SUM(J1346)*SUM(J1347:J1348)/Billion</f>
        <v>41.25</v>
      </c>
      <c r="K1349" s="28">
        <f t="shared" ref="K1349:V1349" si="493">SUM(K1346)*SUM(K1347:K1348)/Billion</f>
        <v>42.487499999999997</v>
      </c>
      <c r="L1349" s="28">
        <f t="shared" si="493"/>
        <v>43.762124999999997</v>
      </c>
      <c r="M1349" s="28">
        <f t="shared" si="493"/>
        <v>45.074988750000003</v>
      </c>
      <c r="N1349" s="28">
        <f t="shared" si="493"/>
        <v>46.42723841250001</v>
      </c>
      <c r="O1349" s="28">
        <f t="shared" si="493"/>
        <v>47.820055564875005</v>
      </c>
      <c r="P1349" s="28">
        <f t="shared" si="493"/>
        <v>49.254657231821255</v>
      </c>
      <c r="Q1349" s="28">
        <f t="shared" si="493"/>
        <v>50.732296948775897</v>
      </c>
      <c r="R1349" s="28">
        <f t="shared" si="493"/>
        <v>52.254265857239176</v>
      </c>
      <c r="S1349" s="28">
        <f t="shared" si="493"/>
        <v>53.821893832956356</v>
      </c>
      <c r="T1349" s="28">
        <f t="shared" si="493"/>
        <v>55.43655064794504</v>
      </c>
      <c r="U1349" s="28">
        <f t="shared" si="493"/>
        <v>57.099647167383402</v>
      </c>
      <c r="V1349" s="28">
        <f t="shared" si="493"/>
        <v>58.812636582404899</v>
      </c>
    </row>
    <row r="1350" spans="2:22">
      <c r="B1350" s="407"/>
      <c r="G1350"/>
    </row>
    <row r="1351" spans="2:22">
      <c r="B1351" s="407" t="s">
        <v>823</v>
      </c>
      <c r="F1351" s="19">
        <v>3770</v>
      </c>
      <c r="G1351"/>
      <c r="J1351">
        <f>-$F1351*J$1346/Billion</f>
        <v>-2.8275000000000001</v>
      </c>
      <c r="K1351">
        <f t="shared" ref="K1351:V1353" si="494">-$F1351*K$1346/Billion</f>
        <v>-2.9123250000000001</v>
      </c>
      <c r="L1351">
        <f t="shared" si="494"/>
        <v>-2.9996947500000002</v>
      </c>
      <c r="M1351">
        <f t="shared" si="494"/>
        <v>-3.0896855925</v>
      </c>
      <c r="N1351">
        <f t="shared" si="494"/>
        <v>-3.1823761602750005</v>
      </c>
      <c r="O1351">
        <f t="shared" si="494"/>
        <v>-3.2778474450832507</v>
      </c>
      <c r="P1351">
        <f t="shared" si="494"/>
        <v>-3.3761828684357482</v>
      </c>
      <c r="Q1351">
        <f t="shared" si="494"/>
        <v>-3.4774683544888205</v>
      </c>
      <c r="R1351">
        <f t="shared" si="494"/>
        <v>-3.5817924051234851</v>
      </c>
      <c r="S1351">
        <f t="shared" si="494"/>
        <v>-3.6892461772771896</v>
      </c>
      <c r="T1351">
        <f t="shared" si="494"/>
        <v>-3.7999235625955055</v>
      </c>
      <c r="U1351">
        <f t="shared" si="494"/>
        <v>-3.9139212694733709</v>
      </c>
      <c r="V1351">
        <f t="shared" si="494"/>
        <v>-4.0313389075575721</v>
      </c>
    </row>
    <row r="1352" spans="2:22">
      <c r="B1352" s="407" t="s">
        <v>824</v>
      </c>
      <c r="F1352" s="19">
        <v>11745.162976540701</v>
      </c>
      <c r="G1352"/>
      <c r="J1352">
        <f>-$F1352*J$1346/Billion</f>
        <v>-8.8088722324055251</v>
      </c>
      <c r="K1352">
        <f t="shared" si="494"/>
        <v>-9.073138399377692</v>
      </c>
      <c r="L1352">
        <f t="shared" si="494"/>
        <v>-9.3453325513590215</v>
      </c>
      <c r="M1352">
        <f t="shared" si="494"/>
        <v>-9.625692527899794</v>
      </c>
      <c r="N1352">
        <f t="shared" si="494"/>
        <v>-9.91446330373679</v>
      </c>
      <c r="O1352">
        <f t="shared" si="494"/>
        <v>-10.211897202848892</v>
      </c>
      <c r="P1352">
        <f t="shared" si="494"/>
        <v>-10.518254118934358</v>
      </c>
      <c r="Q1352">
        <f t="shared" si="494"/>
        <v>-10.83380174250239</v>
      </c>
      <c r="R1352">
        <f t="shared" si="494"/>
        <v>-11.158815794777462</v>
      </c>
      <c r="S1352">
        <f t="shared" si="494"/>
        <v>-11.493580268620788</v>
      </c>
      <c r="T1352">
        <f t="shared" si="494"/>
        <v>-11.838387676679409</v>
      </c>
      <c r="U1352">
        <f t="shared" si="494"/>
        <v>-12.193539306979794</v>
      </c>
      <c r="V1352">
        <f t="shared" si="494"/>
        <v>-12.559345486189189</v>
      </c>
    </row>
    <row r="1353" spans="2:22">
      <c r="B1353" s="407" t="s">
        <v>639</v>
      </c>
      <c r="E1353" s="39">
        <v>0.27</v>
      </c>
      <c r="F1353" s="19">
        <f>E1354-SUM(F1351:F1352,F1357)</f>
        <v>18980</v>
      </c>
      <c r="G1353"/>
      <c r="J1353">
        <f>-$F1353*J$1346/Billion</f>
        <v>-14.234999999999999</v>
      </c>
      <c r="K1353">
        <f t="shared" si="494"/>
        <v>-14.662050000000001</v>
      </c>
      <c r="L1353">
        <f t="shared" si="494"/>
        <v>-15.1019115</v>
      </c>
      <c r="M1353">
        <f t="shared" si="494"/>
        <v>-15.554968844999999</v>
      </c>
      <c r="N1353">
        <f t="shared" si="494"/>
        <v>-16.021617910350002</v>
      </c>
      <c r="O1353">
        <f t="shared" si="494"/>
        <v>-16.502266447660503</v>
      </c>
      <c r="P1353">
        <f t="shared" si="494"/>
        <v>-16.997334441090317</v>
      </c>
      <c r="Q1353">
        <f t="shared" si="494"/>
        <v>-17.50725447432303</v>
      </c>
      <c r="R1353">
        <f t="shared" si="494"/>
        <v>-18.032472108552721</v>
      </c>
      <c r="S1353">
        <f t="shared" si="494"/>
        <v>-18.573446271809299</v>
      </c>
      <c r="T1353">
        <f t="shared" si="494"/>
        <v>-19.130649659963577</v>
      </c>
      <c r="U1353">
        <f t="shared" si="494"/>
        <v>-19.704569149762488</v>
      </c>
      <c r="V1353">
        <f t="shared" si="494"/>
        <v>-20.295706224255362</v>
      </c>
    </row>
    <row r="1354" spans="2:22">
      <c r="B1354" s="407"/>
      <c r="E1354">
        <f>SUM(F1347:F1348)*(1-E1353)</f>
        <v>40150</v>
      </c>
      <c r="F1354" s="21">
        <f>F1353/SUM(F1347:F1348)</f>
        <v>0.34509090909090911</v>
      </c>
      <c r="G1354"/>
    </row>
    <row r="1355" spans="2:22">
      <c r="B1355" s="28" t="s">
        <v>139</v>
      </c>
      <c r="C1355" s="28"/>
      <c r="D1355" s="28"/>
      <c r="E1355" s="28"/>
      <c r="F1355" s="28"/>
      <c r="G1355" s="28"/>
      <c r="H1355" s="28"/>
      <c r="I1355" s="28"/>
      <c r="J1355" s="28">
        <f>SUM(J1349,J1351:J1353)</f>
        <v>15.378627767594473</v>
      </c>
      <c r="K1355" s="28">
        <f t="shared" ref="K1355:V1355" si="495">SUM(K1349,K1351:K1353)</f>
        <v>15.839986600622304</v>
      </c>
      <c r="L1355" s="28">
        <f t="shared" si="495"/>
        <v>16.315186198640973</v>
      </c>
      <c r="M1355" s="28">
        <f t="shared" si="495"/>
        <v>16.804641784600214</v>
      </c>
      <c r="N1355" s="28">
        <f t="shared" si="495"/>
        <v>17.308781038138221</v>
      </c>
      <c r="O1355" s="28">
        <f t="shared" si="495"/>
        <v>17.828044469282361</v>
      </c>
      <c r="P1355" s="28">
        <f t="shared" si="495"/>
        <v>18.362885803360832</v>
      </c>
      <c r="Q1355" s="28">
        <f t="shared" si="495"/>
        <v>18.913772377461658</v>
      </c>
      <c r="R1355" s="28">
        <f t="shared" si="495"/>
        <v>19.481185548785508</v>
      </c>
      <c r="S1355" s="28">
        <f t="shared" si="495"/>
        <v>20.065621115249076</v>
      </c>
      <c r="T1355" s="28">
        <f t="shared" si="495"/>
        <v>20.667589748706551</v>
      </c>
      <c r="U1355" s="28">
        <f t="shared" si="495"/>
        <v>21.28761744116775</v>
      </c>
      <c r="V1355" s="28">
        <f t="shared" si="495"/>
        <v>21.926245964402774</v>
      </c>
    </row>
    <row r="1356" spans="2:22">
      <c r="B1356" s="407"/>
      <c r="G1356"/>
      <c r="J1356" s="21">
        <f>J1355/J1349</f>
        <v>0.37281521860835087</v>
      </c>
    </row>
    <row r="1357" spans="2:22">
      <c r="B1357" s="407" t="s">
        <v>636</v>
      </c>
      <c r="F1357" s="30">
        <v>5654.8370234592976</v>
      </c>
      <c r="G1357"/>
      <c r="J1357">
        <f>-J1346*$F$1357/Billion</f>
        <v>-4.241127767594473</v>
      </c>
      <c r="K1357">
        <f t="shared" ref="K1357:V1357" si="496">-K1346*$F$1357/Billion</f>
        <v>-4.3683616006223076</v>
      </c>
      <c r="L1357">
        <f t="shared" si="496"/>
        <v>-4.4994124486409772</v>
      </c>
      <c r="M1357">
        <f t="shared" si="496"/>
        <v>-4.634394822100206</v>
      </c>
      <c r="N1357">
        <f t="shared" si="496"/>
        <v>-4.7734266667632133</v>
      </c>
      <c r="O1357">
        <f t="shared" si="496"/>
        <v>-4.9166294667661097</v>
      </c>
      <c r="P1357">
        <f t="shared" si="496"/>
        <v>-5.0641283507690922</v>
      </c>
      <c r="Q1357">
        <f t="shared" si="496"/>
        <v>-5.2160522012921655</v>
      </c>
      <c r="R1357">
        <f t="shared" si="496"/>
        <v>-5.372533767330931</v>
      </c>
      <c r="S1357">
        <f t="shared" si="496"/>
        <v>-5.5337097803508586</v>
      </c>
      <c r="T1357">
        <f t="shared" si="496"/>
        <v>-5.6997210737613839</v>
      </c>
      <c r="U1357">
        <f t="shared" si="496"/>
        <v>-5.8707127059742259</v>
      </c>
      <c r="V1357">
        <f t="shared" si="496"/>
        <v>-6.0468340871534538</v>
      </c>
    </row>
    <row r="1358" spans="2:22">
      <c r="B1358" s="28" t="s">
        <v>434</v>
      </c>
      <c r="C1358" s="28"/>
      <c r="D1358" s="28"/>
      <c r="E1358" s="28"/>
      <c r="F1358" s="28"/>
      <c r="G1358" s="28"/>
      <c r="H1358" s="28"/>
      <c r="I1358" s="28"/>
      <c r="J1358" s="28">
        <f>SUM(J1355,J1357)</f>
        <v>11.137499999999999</v>
      </c>
      <c r="K1358" s="28">
        <f t="shared" ref="K1358:V1358" si="497">SUM(K1355,K1357)</f>
        <v>11.471624999999996</v>
      </c>
      <c r="L1358" s="28">
        <f t="shared" si="497"/>
        <v>11.815773749999995</v>
      </c>
      <c r="M1358" s="28">
        <f t="shared" si="497"/>
        <v>12.170246962500009</v>
      </c>
      <c r="N1358" s="28">
        <f t="shared" si="497"/>
        <v>12.535354371375007</v>
      </c>
      <c r="O1358" s="28">
        <f t="shared" si="497"/>
        <v>12.91141500251625</v>
      </c>
      <c r="P1358" s="28">
        <f t="shared" si="497"/>
        <v>13.29875745259174</v>
      </c>
      <c r="Q1358" s="28">
        <f t="shared" si="497"/>
        <v>13.697720176169494</v>
      </c>
      <c r="R1358" s="28">
        <f t="shared" si="497"/>
        <v>14.108651781454576</v>
      </c>
      <c r="S1358" s="28">
        <f t="shared" si="497"/>
        <v>14.531911334898219</v>
      </c>
      <c r="T1358" s="28">
        <f t="shared" si="497"/>
        <v>14.967868674945166</v>
      </c>
      <c r="U1358" s="28">
        <f t="shared" si="497"/>
        <v>15.416904735193524</v>
      </c>
      <c r="V1358" s="28">
        <f t="shared" si="497"/>
        <v>15.879411877249321</v>
      </c>
    </row>
    <row r="1359" spans="2:22">
      <c r="G1359"/>
      <c r="J1359" s="289">
        <f>J1358/J1349</f>
        <v>0.26999999999999996</v>
      </c>
      <c r="K1359" s="21">
        <f t="shared" ref="K1359:V1359" si="498">K1358/K1349</f>
        <v>0.26999999999999991</v>
      </c>
      <c r="L1359" s="21">
        <f t="shared" si="498"/>
        <v>0.26999999999999991</v>
      </c>
      <c r="M1359" s="21">
        <f t="shared" si="498"/>
        <v>0.27000000000000018</v>
      </c>
      <c r="N1359" s="21">
        <f t="shared" si="498"/>
        <v>0.27000000000000007</v>
      </c>
      <c r="O1359" s="21">
        <f t="shared" si="498"/>
        <v>0.26999999999999996</v>
      </c>
      <c r="P1359" s="21">
        <f t="shared" si="498"/>
        <v>0.27</v>
      </c>
      <c r="Q1359" s="21">
        <f t="shared" si="498"/>
        <v>0.27</v>
      </c>
      <c r="R1359" s="21">
        <f t="shared" si="498"/>
        <v>0.26999999999999996</v>
      </c>
      <c r="S1359" s="21">
        <f t="shared" si="498"/>
        <v>0.27000000000000007</v>
      </c>
      <c r="T1359" s="21">
        <f t="shared" si="498"/>
        <v>0.27000000000000007</v>
      </c>
      <c r="U1359" s="21">
        <f t="shared" si="498"/>
        <v>0.27000000000000013</v>
      </c>
      <c r="V1359" s="21">
        <f t="shared" si="498"/>
        <v>0.26999999999999996</v>
      </c>
    </row>
    <row r="1360" spans="2:22">
      <c r="G1360"/>
    </row>
    <row r="1361" spans="2:22">
      <c r="B1361" s="2" t="s">
        <v>456</v>
      </c>
      <c r="G1361"/>
    </row>
    <row r="1362" spans="2:22">
      <c r="B1362" s="407" t="s">
        <v>9</v>
      </c>
      <c r="G1362"/>
    </row>
    <row r="1363" spans="2:22">
      <c r="B1363" s="407" t="s">
        <v>407</v>
      </c>
      <c r="G1363"/>
      <c r="J1363">
        <f>SUM(J586:J587)</f>
        <v>750000</v>
      </c>
      <c r="K1363">
        <f t="shared" ref="K1363:V1363" si="499">SUM(K586:K587)</f>
        <v>772500</v>
      </c>
      <c r="L1363">
        <f t="shared" si="499"/>
        <v>795675</v>
      </c>
      <c r="M1363">
        <f t="shared" si="499"/>
        <v>1019545.25</v>
      </c>
      <c r="N1363">
        <f t="shared" si="499"/>
        <v>1094131.6075000002</v>
      </c>
      <c r="O1363">
        <f t="shared" si="499"/>
        <v>1169455.5557250001</v>
      </c>
      <c r="P1363">
        <f t="shared" si="499"/>
        <v>1245539.22239675</v>
      </c>
      <c r="Q1363">
        <f t="shared" si="499"/>
        <v>1322405.3990686527</v>
      </c>
      <c r="R1363">
        <f t="shared" si="499"/>
        <v>1400077.5610407123</v>
      </c>
      <c r="S1363">
        <f t="shared" si="499"/>
        <v>1478579.8878719336</v>
      </c>
      <c r="T1363">
        <f t="shared" si="499"/>
        <v>1557937.2845080916</v>
      </c>
      <c r="U1363">
        <f t="shared" si="499"/>
        <v>1038175.4030433345</v>
      </c>
      <c r="V1363">
        <f t="shared" si="499"/>
        <v>1069320.6651346346</v>
      </c>
    </row>
    <row r="1364" spans="2:22">
      <c r="B1364" s="407" t="s">
        <v>821</v>
      </c>
      <c r="F1364" s="19">
        <f>F1347</f>
        <v>26000</v>
      </c>
      <c r="G1364"/>
      <c r="J1364">
        <f>$F$1364</f>
        <v>26000</v>
      </c>
      <c r="K1364">
        <f t="shared" ref="K1364:V1364" si="500">$F$1364</f>
        <v>26000</v>
      </c>
      <c r="L1364">
        <f t="shared" si="500"/>
        <v>26000</v>
      </c>
      <c r="M1364">
        <f t="shared" si="500"/>
        <v>26000</v>
      </c>
      <c r="N1364">
        <f t="shared" si="500"/>
        <v>26000</v>
      </c>
      <c r="O1364">
        <f t="shared" si="500"/>
        <v>26000</v>
      </c>
      <c r="P1364">
        <f t="shared" si="500"/>
        <v>26000</v>
      </c>
      <c r="Q1364">
        <f t="shared" si="500"/>
        <v>26000</v>
      </c>
      <c r="R1364">
        <f t="shared" si="500"/>
        <v>26000</v>
      </c>
      <c r="S1364">
        <f t="shared" si="500"/>
        <v>26000</v>
      </c>
      <c r="T1364">
        <f t="shared" si="500"/>
        <v>26000</v>
      </c>
      <c r="U1364">
        <f t="shared" si="500"/>
        <v>26000</v>
      </c>
      <c r="V1364">
        <f t="shared" si="500"/>
        <v>26000</v>
      </c>
    </row>
    <row r="1365" spans="2:22">
      <c r="B1365" s="407" t="s">
        <v>822</v>
      </c>
      <c r="F1365" s="19">
        <v>12910.73564857438</v>
      </c>
      <c r="G1365"/>
      <c r="J1365">
        <f>$F$1365</f>
        <v>12910.73564857438</v>
      </c>
      <c r="K1365">
        <f t="shared" ref="K1365:V1365" si="501">$F$1365</f>
        <v>12910.73564857438</v>
      </c>
      <c r="L1365">
        <f t="shared" si="501"/>
        <v>12910.73564857438</v>
      </c>
      <c r="M1365">
        <f t="shared" si="501"/>
        <v>12910.73564857438</v>
      </c>
      <c r="N1365">
        <f t="shared" si="501"/>
        <v>12910.73564857438</v>
      </c>
      <c r="O1365">
        <f t="shared" si="501"/>
        <v>12910.73564857438</v>
      </c>
      <c r="P1365">
        <f t="shared" si="501"/>
        <v>12910.73564857438</v>
      </c>
      <c r="Q1365">
        <f t="shared" si="501"/>
        <v>12910.73564857438</v>
      </c>
      <c r="R1365">
        <f t="shared" si="501"/>
        <v>12910.73564857438</v>
      </c>
      <c r="S1365">
        <f t="shared" si="501"/>
        <v>12910.73564857438</v>
      </c>
      <c r="T1365">
        <f t="shared" si="501"/>
        <v>12910.73564857438</v>
      </c>
      <c r="U1365">
        <f t="shared" si="501"/>
        <v>12910.73564857438</v>
      </c>
      <c r="V1365">
        <f t="shared" si="501"/>
        <v>12910.73564857438</v>
      </c>
    </row>
    <row r="1366" spans="2:22">
      <c r="B1366" s="28" t="s">
        <v>9</v>
      </c>
      <c r="C1366" s="28"/>
      <c r="D1366" s="28"/>
      <c r="E1366" s="28"/>
      <c r="F1366" s="28"/>
      <c r="G1366" s="28"/>
      <c r="H1366" s="28"/>
      <c r="I1366" s="28"/>
      <c r="J1366" s="28">
        <f>SUM(J1363)*SUM(J1364:J1365)/Billion</f>
        <v>29.183051736430787</v>
      </c>
      <c r="K1366" s="28">
        <f t="shared" ref="K1366:V1366" si="502">SUM(K1363)*SUM(K1364:K1365)/Billion</f>
        <v>30.058543288523708</v>
      </c>
      <c r="L1366" s="28">
        <f t="shared" si="502"/>
        <v>30.960299587179421</v>
      </c>
      <c r="M1366" s="28">
        <f t="shared" si="502"/>
        <v>39.671255704509683</v>
      </c>
      <c r="N1366" s="28">
        <f t="shared" si="502"/>
        <v>42.573465744182251</v>
      </c>
      <c r="O1366" s="28">
        <f t="shared" si="502"/>
        <v>45.504375981572117</v>
      </c>
      <c r="P1366" s="28">
        <f t="shared" si="502"/>
        <v>48.464847422610831</v>
      </c>
      <c r="Q1366" s="28">
        <f t="shared" si="502"/>
        <v>51.455766903407849</v>
      </c>
      <c r="R1366" s="28">
        <f t="shared" si="502"/>
        <v>54.478047865155915</v>
      </c>
      <c r="S1366" s="28">
        <f t="shared" si="502"/>
        <v>57.532631152283564</v>
      </c>
      <c r="T1366" s="28">
        <f t="shared" si="502"/>
        <v>60.62048583455217</v>
      </c>
      <c r="U1366" s="28">
        <f t="shared" si="502"/>
        <v>40.39616866467135</v>
      </c>
      <c r="V1366" s="28">
        <f t="shared" si="502"/>
        <v>41.608053724611494</v>
      </c>
    </row>
    <row r="1367" spans="2:22">
      <c r="B1367" s="407"/>
      <c r="G1367"/>
    </row>
    <row r="1368" spans="2:22">
      <c r="B1368" s="407" t="s">
        <v>823</v>
      </c>
      <c r="F1368" s="30">
        <f>F1351</f>
        <v>3770</v>
      </c>
      <c r="G1368"/>
      <c r="J1368">
        <f>-$F1368*J$1363/Billion</f>
        <v>-2.8275000000000001</v>
      </c>
      <c r="K1368">
        <f t="shared" ref="K1368:V1370" si="503">-$F1368*K$1363/Billion</f>
        <v>-2.9123250000000001</v>
      </c>
      <c r="L1368">
        <f t="shared" si="503"/>
        <v>-2.9996947500000002</v>
      </c>
      <c r="M1368">
        <f t="shared" si="503"/>
        <v>-3.8436855925</v>
      </c>
      <c r="N1368">
        <f t="shared" si="503"/>
        <v>-4.1248761602750008</v>
      </c>
      <c r="O1368">
        <f t="shared" si="503"/>
        <v>-4.40884744508325</v>
      </c>
      <c r="P1368">
        <f t="shared" si="503"/>
        <v>-4.695682868435747</v>
      </c>
      <c r="Q1368">
        <f t="shared" si="503"/>
        <v>-4.9854683544888196</v>
      </c>
      <c r="R1368">
        <f t="shared" si="503"/>
        <v>-5.2782924051234854</v>
      </c>
      <c r="S1368">
        <f t="shared" si="503"/>
        <v>-5.5742461772771899</v>
      </c>
      <c r="T1368">
        <f t="shared" si="503"/>
        <v>-5.873423562595506</v>
      </c>
      <c r="U1368">
        <f t="shared" si="503"/>
        <v>-3.9139212694733709</v>
      </c>
      <c r="V1368">
        <f t="shared" si="503"/>
        <v>-4.0313389075575721</v>
      </c>
    </row>
    <row r="1369" spans="2:22">
      <c r="B1369" s="407" t="s">
        <v>824</v>
      </c>
      <c r="F1369" s="30"/>
      <c r="G1369"/>
      <c r="J1369">
        <f>-$F1369*J$1363/Billion</f>
        <v>0</v>
      </c>
      <c r="K1369">
        <f t="shared" si="503"/>
        <v>0</v>
      </c>
      <c r="L1369">
        <f t="shared" si="503"/>
        <v>0</v>
      </c>
      <c r="M1369">
        <f t="shared" si="503"/>
        <v>0</v>
      </c>
      <c r="N1369">
        <f t="shared" si="503"/>
        <v>0</v>
      </c>
      <c r="O1369">
        <f t="shared" si="503"/>
        <v>0</v>
      </c>
      <c r="P1369">
        <f t="shared" si="503"/>
        <v>0</v>
      </c>
      <c r="Q1369">
        <f t="shared" si="503"/>
        <v>0</v>
      </c>
      <c r="R1369">
        <f t="shared" si="503"/>
        <v>0</v>
      </c>
      <c r="S1369">
        <f t="shared" si="503"/>
        <v>0</v>
      </c>
      <c r="T1369">
        <f t="shared" si="503"/>
        <v>0</v>
      </c>
      <c r="U1369">
        <f t="shared" si="503"/>
        <v>0</v>
      </c>
      <c r="V1369">
        <f t="shared" si="503"/>
        <v>0</v>
      </c>
    </row>
    <row r="1370" spans="2:22">
      <c r="B1370" s="407" t="s">
        <v>639</v>
      </c>
      <c r="F1370" s="30">
        <f>F1354*SUM(F1364:F1365)</f>
        <v>13427.741138362579</v>
      </c>
      <c r="G1370"/>
      <c r="J1370">
        <f>-$F1370*J$1363/Billion</f>
        <v>-10.070805853771935</v>
      </c>
      <c r="K1370">
        <f t="shared" si="503"/>
        <v>-10.372930029385092</v>
      </c>
      <c r="L1370">
        <f t="shared" si="503"/>
        <v>-10.684117930266645</v>
      </c>
      <c r="M1370">
        <f t="shared" si="503"/>
        <v>-13.69018969584716</v>
      </c>
      <c r="N1370">
        <f t="shared" si="503"/>
        <v>-14.69171599681053</v>
      </c>
      <c r="O1370">
        <f t="shared" si="503"/>
        <v>-15.703146475095254</v>
      </c>
      <c r="P1370">
        <f t="shared" si="503"/>
        <v>-16.724778256020976</v>
      </c>
      <c r="Q1370">
        <f t="shared" si="503"/>
        <v>-17.75691737866693</v>
      </c>
      <c r="R1370">
        <f t="shared" si="503"/>
        <v>-18.799879063284717</v>
      </c>
      <c r="S1370">
        <f t="shared" si="503"/>
        <v>-19.853987986733493</v>
      </c>
      <c r="T1370">
        <f t="shared" si="503"/>
        <v>-20.919578566178188</v>
      </c>
      <c r="U1370">
        <f t="shared" si="503"/>
        <v>-13.940350568281133</v>
      </c>
      <c r="V1370">
        <f t="shared" si="503"/>
        <v>-14.358561085329569</v>
      </c>
    </row>
    <row r="1371" spans="2:22">
      <c r="B1371" s="407"/>
      <c r="G1371"/>
    </row>
    <row r="1372" spans="2:22">
      <c r="B1372" s="28" t="s">
        <v>139</v>
      </c>
      <c r="C1372" s="28"/>
      <c r="D1372" s="28"/>
      <c r="E1372" s="28"/>
      <c r="F1372" s="28"/>
      <c r="G1372" s="28"/>
      <c r="H1372" s="28"/>
      <c r="I1372" s="28"/>
      <c r="J1372" s="28">
        <f>SUM(J1366,J1368:J1370)</f>
        <v>16.284745882658854</v>
      </c>
      <c r="K1372" s="28">
        <f t="shared" ref="K1372:V1372" si="504">SUM(K1366,K1368:K1370)</f>
        <v>16.773288259138617</v>
      </c>
      <c r="L1372" s="28">
        <f t="shared" si="504"/>
        <v>17.276486906912776</v>
      </c>
      <c r="M1372" s="28">
        <f t="shared" si="504"/>
        <v>22.137380416162522</v>
      </c>
      <c r="N1372" s="28">
        <f t="shared" si="504"/>
        <v>23.75687358709672</v>
      </c>
      <c r="O1372" s="28">
        <f t="shared" si="504"/>
        <v>25.392382061393619</v>
      </c>
      <c r="P1372" s="28">
        <f t="shared" si="504"/>
        <v>27.044386298154109</v>
      </c>
      <c r="Q1372" s="28">
        <f t="shared" si="504"/>
        <v>28.713381170252102</v>
      </c>
      <c r="R1372" s="28">
        <f t="shared" si="504"/>
        <v>30.399876396747711</v>
      </c>
      <c r="S1372" s="28">
        <f t="shared" si="504"/>
        <v>32.104396988272882</v>
      </c>
      <c r="T1372" s="28">
        <f t="shared" si="504"/>
        <v>33.827483705778477</v>
      </c>
      <c r="U1372" s="28">
        <f t="shared" si="504"/>
        <v>22.541896826916847</v>
      </c>
      <c r="V1372" s="28">
        <f t="shared" si="504"/>
        <v>23.218153731724357</v>
      </c>
    </row>
    <row r="1373" spans="2:22">
      <c r="B1373" s="407"/>
      <c r="G1373"/>
    </row>
    <row r="1374" spans="2:22">
      <c r="B1374" s="407" t="s">
        <v>636</v>
      </c>
      <c r="F1374" s="301">
        <f>F1357</f>
        <v>5654.8370234592976</v>
      </c>
      <c r="G1374"/>
      <c r="J1374">
        <f>-$F$1374*J1363/Billion</f>
        <v>-4.241127767594473</v>
      </c>
      <c r="K1374">
        <f t="shared" ref="K1374:V1374" si="505">-$F$1374*K1363/Billion</f>
        <v>-4.3683616006223076</v>
      </c>
      <c r="L1374">
        <f t="shared" si="505"/>
        <v>-4.4994124486409772</v>
      </c>
      <c r="M1374">
        <f t="shared" si="505"/>
        <v>-5.7653622267920657</v>
      </c>
      <c r="N1374">
        <f t="shared" si="505"/>
        <v>-6.1871359226280376</v>
      </c>
      <c r="O1374">
        <f t="shared" si="505"/>
        <v>-6.6130805738038978</v>
      </c>
      <c r="P1374">
        <f t="shared" si="505"/>
        <v>-7.0433213089798459</v>
      </c>
      <c r="Q1374">
        <f t="shared" si="505"/>
        <v>-7.4779870106758839</v>
      </c>
      <c r="R1374">
        <f t="shared" si="505"/>
        <v>-7.9172104278876141</v>
      </c>
      <c r="S1374">
        <f t="shared" si="505"/>
        <v>-8.3611282920805081</v>
      </c>
      <c r="T1374">
        <f t="shared" si="505"/>
        <v>-8.8098814366639981</v>
      </c>
      <c r="U1374">
        <f t="shared" si="505"/>
        <v>-5.8707127059742259</v>
      </c>
      <c r="V1374">
        <f t="shared" si="505"/>
        <v>-6.0468340871534538</v>
      </c>
    </row>
    <row r="1375" spans="2:22">
      <c r="B1375" s="28" t="s">
        <v>434</v>
      </c>
      <c r="C1375" s="28"/>
      <c r="D1375" s="28"/>
      <c r="E1375" s="28"/>
      <c r="F1375" s="28"/>
      <c r="G1375" s="28"/>
      <c r="H1375" s="28"/>
      <c r="I1375" s="28"/>
      <c r="J1375" s="28">
        <f t="shared" ref="J1375:V1375" si="506">SUM(J1372,J1374)</f>
        <v>12.04361811506438</v>
      </c>
      <c r="K1375" s="28">
        <f t="shared" si="506"/>
        <v>12.40492665851631</v>
      </c>
      <c r="L1375" s="28">
        <f t="shared" si="506"/>
        <v>12.777074458271798</v>
      </c>
      <c r="M1375" s="28">
        <f t="shared" si="506"/>
        <v>16.372018189370458</v>
      </c>
      <c r="N1375" s="28">
        <f t="shared" si="506"/>
        <v>17.569737664468683</v>
      </c>
      <c r="O1375" s="28">
        <f t="shared" si="506"/>
        <v>18.77930148758972</v>
      </c>
      <c r="P1375" s="28">
        <f t="shared" si="506"/>
        <v>20.001064989174264</v>
      </c>
      <c r="Q1375" s="28">
        <f t="shared" si="506"/>
        <v>21.235394159576217</v>
      </c>
      <c r="R1375" s="28">
        <f t="shared" si="506"/>
        <v>22.482665968860097</v>
      </c>
      <c r="S1375" s="28">
        <f t="shared" si="506"/>
        <v>23.743268696192374</v>
      </c>
      <c r="T1375" s="28">
        <f t="shared" si="506"/>
        <v>25.017602269114477</v>
      </c>
      <c r="U1375" s="28">
        <f t="shared" si="506"/>
        <v>16.67118412094262</v>
      </c>
      <c r="V1375" s="28">
        <f t="shared" si="506"/>
        <v>17.171319644570904</v>
      </c>
    </row>
    <row r="1376" spans="2:22">
      <c r="B1376" s="407"/>
      <c r="G1376"/>
    </row>
    <row r="1377" spans="2:22" ht="24" thickBot="1">
      <c r="B1377" s="14" t="s">
        <v>661</v>
      </c>
      <c r="C1377" s="14"/>
      <c r="D1377" s="14"/>
      <c r="E1377" s="14"/>
      <c r="F1377" s="14"/>
      <c r="G1377" s="14"/>
      <c r="H1377" s="14"/>
      <c r="I1377" s="14"/>
      <c r="J1377" s="14"/>
      <c r="K1377" s="14"/>
      <c r="L1377" s="14"/>
      <c r="M1377" s="14"/>
      <c r="N1377" s="14"/>
      <c r="O1377" s="14"/>
      <c r="P1377" s="14"/>
      <c r="Q1377" s="14"/>
      <c r="R1377" s="14"/>
      <c r="S1377" s="14"/>
      <c r="T1377" s="14"/>
      <c r="U1377" s="14"/>
      <c r="V1377" s="14"/>
    </row>
    <row r="1378" spans="2:22">
      <c r="G1378"/>
    </row>
    <row r="1379" spans="2:22">
      <c r="B1379" s="2" t="s">
        <v>662</v>
      </c>
      <c r="G1379"/>
    </row>
    <row r="1380" spans="2:22">
      <c r="B1380" s="407" t="s">
        <v>9</v>
      </c>
      <c r="G1380"/>
    </row>
    <row r="1381" spans="2:22">
      <c r="B1381" s="407" t="s">
        <v>407</v>
      </c>
      <c r="G1381"/>
      <c r="J1381" s="19"/>
      <c r="K1381" s="19">
        <v>1200000</v>
      </c>
      <c r="L1381" s="19">
        <f>K1381*(1+3%)</f>
        <v>1236000</v>
      </c>
      <c r="M1381" s="19">
        <f t="shared" ref="M1381:T1381" si="507">L1381*(1+3%)</f>
        <v>1273080</v>
      </c>
      <c r="N1381" s="19">
        <f t="shared" si="507"/>
        <v>1311272.4000000001</v>
      </c>
      <c r="O1381" s="19">
        <f t="shared" si="507"/>
        <v>1350610.5720000002</v>
      </c>
      <c r="P1381" s="19">
        <f t="shared" si="507"/>
        <v>1391128.8891600003</v>
      </c>
      <c r="Q1381" s="19">
        <f t="shared" si="507"/>
        <v>1432862.7558348002</v>
      </c>
      <c r="R1381" s="19">
        <f t="shared" si="507"/>
        <v>1475848.6385098442</v>
      </c>
      <c r="S1381" s="19">
        <f t="shared" si="507"/>
        <v>1520124.0976651395</v>
      </c>
      <c r="T1381" s="19">
        <f t="shared" si="507"/>
        <v>1565727.8205950938</v>
      </c>
      <c r="U1381" s="19">
        <f>T1381*(1+3%)</f>
        <v>1612699.6552129467</v>
      </c>
      <c r="V1381" s="19">
        <f>U1381*(1+3%)</f>
        <v>1661080.6448693352</v>
      </c>
    </row>
    <row r="1382" spans="2:22">
      <c r="B1382" s="407" t="s">
        <v>452</v>
      </c>
      <c r="F1382" s="19">
        <v>49000</v>
      </c>
      <c r="G1382"/>
    </row>
    <row r="1383" spans="2:22">
      <c r="B1383" s="28" t="s">
        <v>9</v>
      </c>
      <c r="C1383" s="28"/>
      <c r="D1383" s="28"/>
      <c r="E1383" s="28"/>
      <c r="F1383" s="28"/>
      <c r="G1383" s="28"/>
      <c r="H1383" s="28"/>
      <c r="I1383" s="28"/>
      <c r="J1383" s="28">
        <f>J1381*$F$1382/Billion</f>
        <v>0</v>
      </c>
      <c r="K1383" s="28">
        <f t="shared" ref="K1383:V1383" si="508">K1381*$F$1382/Billion</f>
        <v>58.8</v>
      </c>
      <c r="L1383" s="28">
        <f t="shared" si="508"/>
        <v>60.564</v>
      </c>
      <c r="M1383" s="28">
        <f t="shared" si="508"/>
        <v>62.380920000000003</v>
      </c>
      <c r="N1383" s="28">
        <f t="shared" si="508"/>
        <v>64.252347600000007</v>
      </c>
      <c r="O1383" s="28">
        <f t="shared" si="508"/>
        <v>66.179918028000003</v>
      </c>
      <c r="P1383" s="28">
        <f t="shared" si="508"/>
        <v>68.165315568840015</v>
      </c>
      <c r="Q1383" s="28">
        <f t="shared" si="508"/>
        <v>70.210275035905212</v>
      </c>
      <c r="R1383" s="28">
        <f t="shared" si="508"/>
        <v>72.316583286982365</v>
      </c>
      <c r="S1383" s="28">
        <f t="shared" si="508"/>
        <v>74.486080785591824</v>
      </c>
      <c r="T1383" s="28">
        <f t="shared" si="508"/>
        <v>76.720663209159596</v>
      </c>
      <c r="U1383" s="28">
        <f t="shared" si="508"/>
        <v>79.022283105434383</v>
      </c>
      <c r="V1383" s="28">
        <f t="shared" si="508"/>
        <v>81.392951598597421</v>
      </c>
    </row>
    <row r="1384" spans="2:22">
      <c r="B1384" s="407"/>
      <c r="G1384"/>
    </row>
    <row r="1385" spans="2:22">
      <c r="B1385" s="407" t="s">
        <v>642</v>
      </c>
      <c r="F1385" s="39">
        <f>1-37%</f>
        <v>0.63</v>
      </c>
      <c r="G1385"/>
      <c r="J1385">
        <f>-J1383*$F$1385</f>
        <v>0</v>
      </c>
      <c r="K1385">
        <f t="shared" ref="K1385:V1385" si="509">-K1383*$F$1385</f>
        <v>-37.043999999999997</v>
      </c>
      <c r="L1385">
        <f t="shared" si="509"/>
        <v>-38.155320000000003</v>
      </c>
      <c r="M1385">
        <f t="shared" si="509"/>
        <v>-39.2999796</v>
      </c>
      <c r="N1385">
        <f t="shared" si="509"/>
        <v>-40.478978988000001</v>
      </c>
      <c r="O1385">
        <f t="shared" si="509"/>
        <v>-41.693348357640005</v>
      </c>
      <c r="P1385">
        <f t="shared" si="509"/>
        <v>-42.944148808369206</v>
      </c>
      <c r="Q1385">
        <f t="shared" si="509"/>
        <v>-44.232473272620283</v>
      </c>
      <c r="R1385">
        <f t="shared" si="509"/>
        <v>-45.559447470798887</v>
      </c>
      <c r="S1385">
        <f t="shared" si="509"/>
        <v>-46.926230894922853</v>
      </c>
      <c r="T1385">
        <f t="shared" si="509"/>
        <v>-48.334017821770544</v>
      </c>
      <c r="U1385">
        <f t="shared" si="509"/>
        <v>-49.784038356423665</v>
      </c>
      <c r="V1385">
        <f t="shared" si="509"/>
        <v>-51.277559507116372</v>
      </c>
    </row>
    <row r="1386" spans="2:22">
      <c r="B1386" s="407"/>
      <c r="G1386"/>
    </row>
    <row r="1387" spans="2:22">
      <c r="B1387" s="28" t="s">
        <v>139</v>
      </c>
      <c r="C1387" s="28"/>
      <c r="D1387" s="28"/>
      <c r="E1387" s="28"/>
      <c r="F1387" s="28"/>
      <c r="G1387" s="28"/>
      <c r="H1387" s="28"/>
      <c r="I1387" s="28"/>
      <c r="J1387" s="28">
        <f>SUM(J1383,J1385)</f>
        <v>0</v>
      </c>
      <c r="K1387" s="28">
        <f>SUM(K1383,K1385)</f>
        <v>21.756</v>
      </c>
      <c r="L1387" s="28">
        <f t="shared" ref="L1387:V1387" si="510">SUM(L1383,L1385)</f>
        <v>22.408679999999997</v>
      </c>
      <c r="M1387" s="28">
        <f t="shared" si="510"/>
        <v>23.080940400000003</v>
      </c>
      <c r="N1387" s="28">
        <f t="shared" si="510"/>
        <v>23.773368612000006</v>
      </c>
      <c r="O1387" s="28">
        <f t="shared" si="510"/>
        <v>24.486569670359998</v>
      </c>
      <c r="P1387" s="28">
        <f t="shared" si="510"/>
        <v>25.221166760470808</v>
      </c>
      <c r="Q1387" s="28">
        <f t="shared" si="510"/>
        <v>25.97780176328493</v>
      </c>
      <c r="R1387" s="28">
        <f t="shared" si="510"/>
        <v>26.757135816183478</v>
      </c>
      <c r="S1387" s="28">
        <f t="shared" si="510"/>
        <v>27.559849890668971</v>
      </c>
      <c r="T1387" s="28">
        <f t="shared" si="510"/>
        <v>28.386645387389052</v>
      </c>
      <c r="U1387" s="28">
        <f t="shared" si="510"/>
        <v>29.238244749010718</v>
      </c>
      <c r="V1387" s="28">
        <f t="shared" si="510"/>
        <v>30.115392091481048</v>
      </c>
    </row>
    <row r="1388" spans="2:22">
      <c r="B1388" s="407"/>
      <c r="G1388"/>
    </row>
    <row r="1389" spans="2:22">
      <c r="B1389" s="2" t="s">
        <v>456</v>
      </c>
      <c r="G1389"/>
    </row>
    <row r="1390" spans="2:22">
      <c r="B1390" s="407" t="s">
        <v>9</v>
      </c>
      <c r="G1390"/>
      <c r="M1390">
        <f>N1392-N1393</f>
        <v>36411.149742396541</v>
      </c>
      <c r="N1390">
        <f>N1393*I1391</f>
        <v>24565.224469237051</v>
      </c>
      <c r="O1390">
        <f>N1393-N1390</f>
        <v>9023.6257883664075</v>
      </c>
    </row>
    <row r="1391" spans="2:22">
      <c r="B1391" s="407" t="s">
        <v>407</v>
      </c>
      <c r="G1391"/>
      <c r="H1391">
        <v>18000</v>
      </c>
      <c r="I1391" s="21">
        <f>H1391/H$1394</f>
        <v>0.73135056070209659</v>
      </c>
      <c r="J1391">
        <f>J514</f>
        <v>0</v>
      </c>
      <c r="K1391">
        <f t="shared" ref="K1391:V1391" si="511">K514</f>
        <v>0</v>
      </c>
      <c r="L1391">
        <f t="shared" si="511"/>
        <v>0</v>
      </c>
      <c r="M1391">
        <f t="shared" si="511"/>
        <v>0</v>
      </c>
      <c r="N1391">
        <f t="shared" si="511"/>
        <v>1600000</v>
      </c>
      <c r="O1391">
        <f t="shared" si="511"/>
        <v>1760000.0000000002</v>
      </c>
      <c r="P1391">
        <f t="shared" si="511"/>
        <v>1936000.0000000002</v>
      </c>
      <c r="Q1391">
        <f t="shared" si="511"/>
        <v>2129600.0000000005</v>
      </c>
      <c r="R1391">
        <f t="shared" si="511"/>
        <v>2257376.0000000009</v>
      </c>
      <c r="S1391">
        <f t="shared" si="511"/>
        <v>2392818.560000001</v>
      </c>
      <c r="T1391" s="462">
        <f t="shared" si="511"/>
        <v>2536387.6736000013</v>
      </c>
      <c r="U1391">
        <f t="shared" si="511"/>
        <v>2688570.9340160014</v>
      </c>
      <c r="V1391">
        <f t="shared" si="511"/>
        <v>2849885.190056962</v>
      </c>
    </row>
    <row r="1392" spans="2:22">
      <c r="B1392" s="407"/>
      <c r="G1392"/>
      <c r="H1392">
        <v>5000</v>
      </c>
      <c r="I1392" s="21">
        <f>H1392/H$1394</f>
        <v>0.20315293352836014</v>
      </c>
      <c r="K1392">
        <f>K512</f>
        <v>51336.707841719995</v>
      </c>
      <c r="L1392">
        <f t="shared" ref="L1392:V1392" si="512">L512</f>
        <v>52876.8090769716</v>
      </c>
      <c r="M1392">
        <f t="shared" si="512"/>
        <v>54463.113349280749</v>
      </c>
      <c r="N1392">
        <f t="shared" si="512"/>
        <v>70000</v>
      </c>
      <c r="O1392">
        <f t="shared" si="512"/>
        <v>84000</v>
      </c>
      <c r="P1392">
        <f t="shared" si="512"/>
        <v>84000</v>
      </c>
      <c r="Q1392">
        <f t="shared" si="512"/>
        <v>92399.999999999985</v>
      </c>
      <c r="R1392">
        <f t="shared" si="512"/>
        <v>92399.999999999985</v>
      </c>
      <c r="S1392">
        <f t="shared" si="512"/>
        <v>97944</v>
      </c>
      <c r="T1392">
        <f t="shared" si="512"/>
        <v>97944</v>
      </c>
      <c r="U1392">
        <f t="shared" si="512"/>
        <v>103820.64000000001</v>
      </c>
      <c r="V1392">
        <f t="shared" si="512"/>
        <v>103820.64000000001</v>
      </c>
    </row>
    <row r="1393" spans="2:22">
      <c r="B1393" s="407" t="s">
        <v>452</v>
      </c>
      <c r="F1393" s="21">
        <v>1</v>
      </c>
      <c r="G1393" s="74">
        <f>$G$513</f>
        <v>0.47984071796576366</v>
      </c>
      <c r="H1393">
        <v>1612</v>
      </c>
      <c r="I1393" s="21">
        <f>H1393/H$1394</f>
        <v>6.5496505769543314E-2</v>
      </c>
      <c r="K1393" s="43"/>
      <c r="L1393">
        <f>$G$1393*L1392*$F$1393</f>
        <v>25372.446031232663</v>
      </c>
      <c r="M1393">
        <f t="shared" ref="M1393:V1393" si="513">$G$1393*M1392*$F$1393</f>
        <v>26133.619412169643</v>
      </c>
      <c r="N1393">
        <f t="shared" si="513"/>
        <v>33588.850257603459</v>
      </c>
      <c r="O1393">
        <f t="shared" si="513"/>
        <v>40306.620309124148</v>
      </c>
      <c r="P1393">
        <f t="shared" si="513"/>
        <v>40306.620309124148</v>
      </c>
      <c r="Q1393">
        <f t="shared" si="513"/>
        <v>44337.282340036552</v>
      </c>
      <c r="R1393">
        <f t="shared" si="513"/>
        <v>44337.282340036552</v>
      </c>
      <c r="S1393">
        <f t="shared" si="513"/>
        <v>46997.519280438755</v>
      </c>
      <c r="T1393">
        <f t="shared" si="513"/>
        <v>46997.519280438755</v>
      </c>
      <c r="U1393">
        <f t="shared" si="513"/>
        <v>49817.37043726509</v>
      </c>
      <c r="V1393">
        <f t="shared" si="513"/>
        <v>49817.37043726509</v>
      </c>
    </row>
    <row r="1394" spans="2:22">
      <c r="B1394" s="28" t="s">
        <v>9</v>
      </c>
      <c r="C1394" s="28"/>
      <c r="D1394" s="28"/>
      <c r="E1394" s="28"/>
      <c r="F1394" s="28"/>
      <c r="G1394" s="28"/>
      <c r="H1394" s="28">
        <f>SUM(H1391:H1393)</f>
        <v>24612</v>
      </c>
      <c r="I1394" s="28"/>
      <c r="J1394" s="28">
        <f>J1391*J1393</f>
        <v>0</v>
      </c>
      <c r="K1394" s="28">
        <f>K1391*K1393</f>
        <v>0</v>
      </c>
      <c r="L1394" s="28">
        <f>L1391*L1393/Billion</f>
        <v>0</v>
      </c>
      <c r="M1394" s="28">
        <f t="shared" ref="M1394:V1394" si="514">M1391*M1393/Billion</f>
        <v>0</v>
      </c>
      <c r="N1394" s="28">
        <f t="shared" si="514"/>
        <v>53.742160412165532</v>
      </c>
      <c r="O1394" s="28">
        <f t="shared" si="514"/>
        <v>70.939651744058509</v>
      </c>
      <c r="P1394" s="28">
        <f t="shared" si="514"/>
        <v>78.033616918464361</v>
      </c>
      <c r="Q1394" s="28">
        <f t="shared" si="514"/>
        <v>94.420676471341864</v>
      </c>
      <c r="R1394" s="28">
        <f t="shared" si="514"/>
        <v>100.08591705962239</v>
      </c>
      <c r="S1394" s="28">
        <f t="shared" si="514"/>
        <v>112.45653640819174</v>
      </c>
      <c r="T1394" s="28">
        <f t="shared" si="514"/>
        <v>119.20392859268325</v>
      </c>
      <c r="U1394" s="28">
        <f t="shared" si="514"/>
        <v>133.93753416673894</v>
      </c>
      <c r="V1394" s="28">
        <f t="shared" si="514"/>
        <v>141.97378621674329</v>
      </c>
    </row>
    <row r="1395" spans="2:22">
      <c r="B1395" s="407"/>
      <c r="G1395"/>
    </row>
    <row r="1396" spans="2:22">
      <c r="B1396" s="407" t="s">
        <v>642</v>
      </c>
      <c r="F1396" s="39">
        <f>1-37%</f>
        <v>0.63</v>
      </c>
      <c r="G1396"/>
      <c r="J1396">
        <f>-J1394*$F$1396</f>
        <v>0</v>
      </c>
      <c r="K1396">
        <f t="shared" ref="K1396:V1396" si="515">-K1394*$F$1396</f>
        <v>0</v>
      </c>
      <c r="L1396">
        <f t="shared" si="515"/>
        <v>0</v>
      </c>
      <c r="M1396">
        <f t="shared" si="515"/>
        <v>0</v>
      </c>
      <c r="N1396">
        <f t="shared" si="515"/>
        <v>-33.857561059664285</v>
      </c>
      <c r="O1396">
        <f t="shared" si="515"/>
        <v>-44.691980598756864</v>
      </c>
      <c r="P1396">
        <f t="shared" si="515"/>
        <v>-49.161178658632551</v>
      </c>
      <c r="Q1396">
        <f t="shared" si="515"/>
        <v>-59.485026176945375</v>
      </c>
      <c r="R1396">
        <f t="shared" si="515"/>
        <v>-63.054127747562106</v>
      </c>
      <c r="S1396">
        <f t="shared" si="515"/>
        <v>-70.847617937160791</v>
      </c>
      <c r="T1396">
        <f t="shared" si="515"/>
        <v>-75.098475013390456</v>
      </c>
      <c r="U1396">
        <f t="shared" si="515"/>
        <v>-84.380646525045535</v>
      </c>
      <c r="V1396">
        <f t="shared" si="515"/>
        <v>-89.443485316548276</v>
      </c>
    </row>
    <row r="1397" spans="2:22">
      <c r="B1397" s="407"/>
      <c r="G1397"/>
      <c r="K1397" s="43"/>
    </row>
    <row r="1398" spans="2:22">
      <c r="B1398" s="28" t="s">
        <v>139</v>
      </c>
      <c r="C1398" s="28"/>
      <c r="D1398" s="28"/>
      <c r="E1398" s="28"/>
      <c r="F1398" s="28"/>
      <c r="G1398" s="28"/>
      <c r="H1398" s="28"/>
      <c r="I1398" s="28"/>
      <c r="J1398" s="28">
        <f>SUM(J1394,J1396)</f>
        <v>0</v>
      </c>
      <c r="K1398" s="43">
        <f t="shared" ref="K1398:V1398" si="516">SUM(K1394,K1396)</f>
        <v>0</v>
      </c>
      <c r="L1398" s="28">
        <f t="shared" si="516"/>
        <v>0</v>
      </c>
      <c r="M1398" s="28">
        <f t="shared" si="516"/>
        <v>0</v>
      </c>
      <c r="N1398" s="459">
        <f t="shared" si="516"/>
        <v>19.884599352501247</v>
      </c>
      <c r="O1398" s="28">
        <f t="shared" si="516"/>
        <v>26.247671145301645</v>
      </c>
      <c r="P1398" s="28">
        <f t="shared" si="516"/>
        <v>28.87243825983181</v>
      </c>
      <c r="Q1398" s="28">
        <f t="shared" si="516"/>
        <v>34.935650294396488</v>
      </c>
      <c r="R1398" s="28">
        <f t="shared" si="516"/>
        <v>37.031789312060283</v>
      </c>
      <c r="S1398" s="28">
        <f t="shared" si="516"/>
        <v>41.608918471030947</v>
      </c>
      <c r="T1398" s="28">
        <f t="shared" si="516"/>
        <v>44.105453579292799</v>
      </c>
      <c r="U1398" s="28">
        <f t="shared" si="516"/>
        <v>49.556887641693407</v>
      </c>
      <c r="V1398" s="28">
        <f t="shared" si="516"/>
        <v>52.530300900195016</v>
      </c>
    </row>
    <row r="1399" spans="2:22">
      <c r="B1399" s="407"/>
      <c r="G1399"/>
    </row>
    <row r="1400" spans="2:22">
      <c r="B1400" s="407" t="s">
        <v>636</v>
      </c>
      <c r="F1400" s="39">
        <v>0.1</v>
      </c>
      <c r="G1400"/>
      <c r="J1400">
        <f>-J1398*$F$1400</f>
        <v>0</v>
      </c>
      <c r="K1400">
        <f t="shared" ref="K1400:V1400" si="517">-K1398*$F$1400</f>
        <v>0</v>
      </c>
      <c r="L1400">
        <f t="shared" si="517"/>
        <v>0</v>
      </c>
      <c r="M1400">
        <f t="shared" si="517"/>
        <v>0</v>
      </c>
      <c r="N1400">
        <f t="shared" si="517"/>
        <v>-1.9884599352501249</v>
      </c>
      <c r="O1400">
        <f t="shared" si="517"/>
        <v>-2.6247671145301648</v>
      </c>
      <c r="P1400">
        <f t="shared" si="517"/>
        <v>-2.8872438259831812</v>
      </c>
      <c r="Q1400">
        <f t="shared" si="517"/>
        <v>-3.4935650294396492</v>
      </c>
      <c r="R1400">
        <f t="shared" si="517"/>
        <v>-3.7031789312060286</v>
      </c>
      <c r="S1400">
        <f t="shared" si="517"/>
        <v>-4.1608918471030947</v>
      </c>
      <c r="T1400">
        <f t="shared" si="517"/>
        <v>-4.4105453579292799</v>
      </c>
      <c r="U1400">
        <f t="shared" si="517"/>
        <v>-4.9556887641693415</v>
      </c>
      <c r="V1400">
        <f t="shared" si="517"/>
        <v>-5.2530300900195019</v>
      </c>
    </row>
    <row r="1401" spans="2:22">
      <c r="B1401" s="407"/>
      <c r="G1401"/>
    </row>
    <row r="1402" spans="2:22">
      <c r="B1402" s="28" t="s">
        <v>434</v>
      </c>
      <c r="C1402" s="28"/>
      <c r="D1402" s="28"/>
      <c r="E1402" s="28"/>
      <c r="F1402" s="28"/>
      <c r="G1402" s="28"/>
      <c r="H1402" s="28"/>
      <c r="I1402" s="28"/>
      <c r="J1402" s="28">
        <f>SUM(J1398,J1400)</f>
        <v>0</v>
      </c>
      <c r="K1402" s="28">
        <f t="shared" ref="K1402:V1402" si="518">SUM(K1398,K1400)</f>
        <v>0</v>
      </c>
      <c r="L1402" s="28">
        <f t="shared" si="518"/>
        <v>0</v>
      </c>
      <c r="M1402" s="28">
        <f t="shared" si="518"/>
        <v>0</v>
      </c>
      <c r="N1402" s="28">
        <f t="shared" si="518"/>
        <v>17.896139417251124</v>
      </c>
      <c r="O1402" s="28">
        <f t="shared" si="518"/>
        <v>23.62290403077148</v>
      </c>
      <c r="P1402" s="28">
        <f t="shared" si="518"/>
        <v>25.98519443384863</v>
      </c>
      <c r="Q1402" s="28">
        <f t="shared" si="518"/>
        <v>31.442085264956837</v>
      </c>
      <c r="R1402" s="28">
        <f t="shared" si="518"/>
        <v>33.328610380854258</v>
      </c>
      <c r="S1402" s="28">
        <f t="shared" si="518"/>
        <v>37.448026623927852</v>
      </c>
      <c r="T1402" s="28">
        <f t="shared" si="518"/>
        <v>39.694908221363519</v>
      </c>
      <c r="U1402" s="28">
        <f t="shared" si="518"/>
        <v>44.60119887752407</v>
      </c>
      <c r="V1402" s="28">
        <f t="shared" si="518"/>
        <v>47.277270810175516</v>
      </c>
    </row>
    <row r="1403" spans="2:22">
      <c r="G1403"/>
    </row>
    <row r="1404" spans="2:22" ht="24" thickBot="1">
      <c r="B1404" s="14" t="s">
        <v>663</v>
      </c>
      <c r="C1404" s="14"/>
      <c r="D1404" s="14"/>
      <c r="E1404" s="14"/>
      <c r="F1404" s="14"/>
      <c r="G1404" s="14"/>
      <c r="H1404" s="14"/>
      <c r="I1404" s="14"/>
      <c r="J1404" s="14"/>
      <c r="K1404" s="14"/>
      <c r="L1404" s="14"/>
      <c r="M1404" s="14"/>
      <c r="N1404" s="14"/>
      <c r="O1404" s="14"/>
      <c r="P1404" s="14"/>
      <c r="Q1404" s="14"/>
      <c r="R1404" s="14"/>
      <c r="S1404" s="14"/>
      <c r="T1404" s="14"/>
      <c r="U1404" s="14"/>
      <c r="V1404" s="14"/>
    </row>
    <row r="1405" spans="2:22">
      <c r="G1405"/>
    </row>
    <row r="1406" spans="2:22">
      <c r="B1406" t="s">
        <v>664</v>
      </c>
      <c r="G1406"/>
      <c r="J1406">
        <f>SUM(J1408,J1413)</f>
        <v>3666225.2759999996</v>
      </c>
      <c r="K1406">
        <f t="shared" ref="K1406:V1406" si="519">SUM(K1408,K1413)</f>
        <v>3776212.0342799998</v>
      </c>
      <c r="L1406">
        <f t="shared" si="519"/>
        <v>3889498.3953083996</v>
      </c>
      <c r="M1406">
        <f t="shared" si="519"/>
        <v>4006183.3471676521</v>
      </c>
      <c r="N1406">
        <f t="shared" si="519"/>
        <v>4126368.847582682</v>
      </c>
      <c r="O1406">
        <f t="shared" si="519"/>
        <v>4250159.9130101623</v>
      </c>
      <c r="P1406">
        <f t="shared" si="519"/>
        <v>4377664.7104004677</v>
      </c>
      <c r="Q1406">
        <f t="shared" si="519"/>
        <v>4508994.6517124819</v>
      </c>
      <c r="R1406">
        <f t="shared" si="519"/>
        <v>4644264.4912638562</v>
      </c>
      <c r="S1406">
        <f t="shared" si="519"/>
        <v>4783592.4260017723</v>
      </c>
      <c r="T1406">
        <f t="shared" si="519"/>
        <v>4927100.1987818247</v>
      </c>
      <c r="U1406">
        <f t="shared" si="519"/>
        <v>5074913.2047452796</v>
      </c>
      <c r="V1406">
        <f t="shared" si="519"/>
        <v>5227160.6008876376</v>
      </c>
    </row>
    <row r="1407" spans="2:22">
      <c r="B1407" s="407" t="s">
        <v>665</v>
      </c>
      <c r="G1407"/>
    </row>
    <row r="1408" spans="2:22">
      <c r="B1408" t="s">
        <v>407</v>
      </c>
      <c r="G1408"/>
      <c r="J1408">
        <f>J1215</f>
        <v>1602574.2089999998</v>
      </c>
      <c r="K1408">
        <f t="shared" ref="K1408:V1408" si="520">K1215</f>
        <v>1650651.4352699998</v>
      </c>
      <c r="L1408">
        <f t="shared" si="520"/>
        <v>1700170.9783280997</v>
      </c>
      <c r="M1408">
        <f t="shared" si="520"/>
        <v>1751176.1076779428</v>
      </c>
      <c r="N1408">
        <f t="shared" si="520"/>
        <v>1803711.3909082813</v>
      </c>
      <c r="O1408">
        <f t="shared" si="520"/>
        <v>1857822.7326355297</v>
      </c>
      <c r="P1408">
        <f t="shared" si="520"/>
        <v>1913557.4146145957</v>
      </c>
      <c r="Q1408">
        <f t="shared" si="520"/>
        <v>1970964.1370530336</v>
      </c>
      <c r="R1408">
        <f t="shared" si="520"/>
        <v>2030093.0611646248</v>
      </c>
      <c r="S1408">
        <f t="shared" si="520"/>
        <v>2090995.8529995636</v>
      </c>
      <c r="T1408">
        <f t="shared" si="520"/>
        <v>2153725.7285895501</v>
      </c>
      <c r="U1408">
        <f t="shared" si="520"/>
        <v>2218337.5004472369</v>
      </c>
      <c r="V1408">
        <f t="shared" si="520"/>
        <v>2284887.625460654</v>
      </c>
    </row>
    <row r="1409" spans="2:22">
      <c r="B1409" s="407" t="s">
        <v>666</v>
      </c>
      <c r="F1409" s="20">
        <f>E1224-F1224</f>
        <v>17219.465423859547</v>
      </c>
      <c r="G1409"/>
    </row>
    <row r="1410" spans="2:22">
      <c r="B1410" s="28" t="s">
        <v>665</v>
      </c>
      <c r="C1410" s="28"/>
      <c r="D1410" s="28"/>
      <c r="E1410" s="28"/>
      <c r="F1410" s="28"/>
      <c r="G1410" s="28"/>
      <c r="H1410" s="28"/>
      <c r="I1410" s="28"/>
      <c r="J1410" s="28">
        <f>J1408*$F$1409/Billion</f>
        <v>27.595471181044559</v>
      </c>
      <c r="K1410" s="28">
        <f t="shared" ref="K1410:V1410" si="521">K1408*$F$1409/Billion</f>
        <v>28.423335316475896</v>
      </c>
      <c r="L1410" s="28">
        <f t="shared" si="521"/>
        <v>29.276035375970174</v>
      </c>
      <c r="M1410" s="28">
        <f t="shared" si="521"/>
        <v>30.154316437249278</v>
      </c>
      <c r="N1410" s="28">
        <f t="shared" si="521"/>
        <v>31.058945930366761</v>
      </c>
      <c r="O1410" s="28">
        <f t="shared" si="521"/>
        <v>31.990714308277763</v>
      </c>
      <c r="P1410" s="28">
        <f t="shared" si="521"/>
        <v>32.950435737526099</v>
      </c>
      <c r="Q1410" s="28">
        <f t="shared" si="521"/>
        <v>33.938948809651883</v>
      </c>
      <c r="R1410" s="28">
        <f t="shared" si="521"/>
        <v>34.957117273941435</v>
      </c>
      <c r="S1410" s="28">
        <f t="shared" si="521"/>
        <v>36.005830792159685</v>
      </c>
      <c r="T1410" s="28">
        <f t="shared" si="521"/>
        <v>37.086005715924472</v>
      </c>
      <c r="U1410" s="28">
        <f t="shared" si="521"/>
        <v>38.19858588740221</v>
      </c>
      <c r="V1410" s="28">
        <f t="shared" si="521"/>
        <v>39.344543464024277</v>
      </c>
    </row>
    <row r="1411" spans="2:22">
      <c r="G1411"/>
    </row>
    <row r="1412" spans="2:22">
      <c r="B1412" s="407" t="s">
        <v>667</v>
      </c>
      <c r="G1412"/>
    </row>
    <row r="1413" spans="2:22">
      <c r="B1413" t="s">
        <v>407</v>
      </c>
      <c r="G1413"/>
      <c r="J1413">
        <f>J1239</f>
        <v>2063651.067</v>
      </c>
      <c r="K1413">
        <f t="shared" ref="K1413:V1413" si="522">K1239</f>
        <v>2125560.59901</v>
      </c>
      <c r="L1413">
        <f t="shared" si="522"/>
        <v>2189327.4169803001</v>
      </c>
      <c r="M1413">
        <f t="shared" si="522"/>
        <v>2255007.239489709</v>
      </c>
      <c r="N1413">
        <f t="shared" si="522"/>
        <v>2322657.4566744007</v>
      </c>
      <c r="O1413">
        <f t="shared" si="522"/>
        <v>2392337.1803746326</v>
      </c>
      <c r="P1413">
        <f t="shared" si="522"/>
        <v>2464107.2957858718</v>
      </c>
      <c r="Q1413">
        <f t="shared" si="522"/>
        <v>2538030.5146594481</v>
      </c>
      <c r="R1413">
        <f t="shared" si="522"/>
        <v>2614171.4300992312</v>
      </c>
      <c r="S1413">
        <f t="shared" si="522"/>
        <v>2692596.5730022085</v>
      </c>
      <c r="T1413">
        <f t="shared" si="522"/>
        <v>2773374.4701922745</v>
      </c>
      <c r="U1413">
        <f t="shared" si="522"/>
        <v>2856575.7042980432</v>
      </c>
      <c r="V1413">
        <f t="shared" si="522"/>
        <v>2942272.975426984</v>
      </c>
    </row>
    <row r="1414" spans="2:22">
      <c r="B1414" s="407" t="s">
        <v>666</v>
      </c>
      <c r="F1414" s="20">
        <f>E1248-F1248</f>
        <v>13240.548627849945</v>
      </c>
      <c r="G1414"/>
    </row>
    <row r="1415" spans="2:22">
      <c r="B1415" s="28" t="s">
        <v>667</v>
      </c>
      <c r="C1415" s="28"/>
      <c r="D1415" s="28"/>
      <c r="E1415" s="28"/>
      <c r="F1415" s="28"/>
      <c r="G1415" s="28"/>
      <c r="H1415" s="28"/>
      <c r="I1415" s="28"/>
      <c r="J1415" s="28">
        <f>J1413*$F1414/Billion</f>
        <v>27.323872303527924</v>
      </c>
      <c r="K1415" s="28">
        <f t="shared" ref="K1415:V1415" si="523">K1413*$F1414/Billion</f>
        <v>28.143588472633763</v>
      </c>
      <c r="L1415" s="28">
        <f t="shared" si="523"/>
        <v>28.987896126812775</v>
      </c>
      <c r="M1415" s="28">
        <f t="shared" si="523"/>
        <v>29.857533010617157</v>
      </c>
      <c r="N1415" s="28">
        <f t="shared" si="523"/>
        <v>30.753259000935682</v>
      </c>
      <c r="O1415" s="28">
        <f t="shared" si="523"/>
        <v>31.675856770963748</v>
      </c>
      <c r="P1415" s="28">
        <f t="shared" si="523"/>
        <v>32.626132474092664</v>
      </c>
      <c r="Q1415" s="28">
        <f t="shared" si="523"/>
        <v>33.604916448315443</v>
      </c>
      <c r="R1415" s="28">
        <f t="shared" si="523"/>
        <v>34.613063941764899</v>
      </c>
      <c r="S1415" s="28">
        <f t="shared" si="523"/>
        <v>35.651455860017855</v>
      </c>
      <c r="T1415" s="28">
        <f t="shared" si="523"/>
        <v>36.720999535818393</v>
      </c>
      <c r="U1415" s="28">
        <f t="shared" si="523"/>
        <v>37.822629521892942</v>
      </c>
      <c r="V1415" s="28">
        <f t="shared" si="523"/>
        <v>38.957308407549725</v>
      </c>
    </row>
    <row r="1416" spans="2:22">
      <c r="G1416"/>
    </row>
    <row r="1417" spans="2:22">
      <c r="B1417" t="s">
        <v>578</v>
      </c>
      <c r="G1417"/>
      <c r="J1417" s="462"/>
      <c r="L1417" s="462">
        <f t="shared" ref="L1417:V1417" si="524">SUM(L1415,L1410)</f>
        <v>58.263931502782953</v>
      </c>
      <c r="M1417">
        <f t="shared" si="524"/>
        <v>60.011849447866439</v>
      </c>
      <c r="N1417">
        <f t="shared" si="524"/>
        <v>61.812204931302446</v>
      </c>
      <c r="O1417">
        <f t="shared" si="524"/>
        <v>63.666571079241507</v>
      </c>
      <c r="P1417">
        <f t="shared" si="524"/>
        <v>65.576568211618763</v>
      </c>
      <c r="Q1417">
        <f t="shared" si="524"/>
        <v>67.543865257967326</v>
      </c>
      <c r="R1417">
        <f t="shared" si="524"/>
        <v>69.570181215706327</v>
      </c>
      <c r="S1417">
        <f t="shared" si="524"/>
        <v>71.657286652177532</v>
      </c>
      <c r="T1417">
        <f t="shared" si="524"/>
        <v>73.807005251742865</v>
      </c>
      <c r="U1417">
        <f t="shared" si="524"/>
        <v>76.021215409295152</v>
      </c>
      <c r="V1417">
        <f t="shared" si="524"/>
        <v>78.301851871574002</v>
      </c>
    </row>
    <row r="1418" spans="2:22">
      <c r="B1418" t="s">
        <v>642</v>
      </c>
      <c r="F1418">
        <f>1-F1420</f>
        <v>0.51</v>
      </c>
      <c r="G1418"/>
      <c r="J1418">
        <f>J1417-J1420</f>
        <v>0</v>
      </c>
      <c r="K1418">
        <f t="shared" ref="K1418:V1418" si="525">K1417-K1420</f>
        <v>0</v>
      </c>
      <c r="L1418">
        <f t="shared" si="525"/>
        <v>29.714605066419306</v>
      </c>
      <c r="M1418">
        <f t="shared" si="525"/>
        <v>30.606043218411884</v>
      </c>
      <c r="N1418">
        <f t="shared" si="525"/>
        <v>31.524224514964249</v>
      </c>
      <c r="O1418">
        <f t="shared" si="525"/>
        <v>32.469951250413168</v>
      </c>
      <c r="P1418">
        <f t="shared" si="525"/>
        <v>33.444049787925572</v>
      </c>
      <c r="Q1418">
        <f t="shared" si="525"/>
        <v>34.447371281563335</v>
      </c>
      <c r="R1418">
        <f t="shared" si="525"/>
        <v>35.480792420010225</v>
      </c>
      <c r="S1418">
        <f t="shared" si="525"/>
        <v>36.545216192610539</v>
      </c>
      <c r="T1418">
        <f t="shared" si="525"/>
        <v>37.641572678388862</v>
      </c>
      <c r="U1418">
        <f t="shared" si="525"/>
        <v>38.770819858740531</v>
      </c>
      <c r="V1418">
        <f t="shared" si="525"/>
        <v>39.933944454502743</v>
      </c>
    </row>
    <row r="1419" spans="2:22">
      <c r="G1419"/>
    </row>
    <row r="1420" spans="2:22">
      <c r="B1420" t="s">
        <v>434</v>
      </c>
      <c r="F1420" s="39">
        <v>0.49</v>
      </c>
      <c r="G1420"/>
      <c r="J1420">
        <f>J1417*$F$1420</f>
        <v>0</v>
      </c>
      <c r="K1420">
        <f t="shared" ref="K1420:V1420" si="526">K1417*$F$1420</f>
        <v>0</v>
      </c>
      <c r="L1420">
        <f t="shared" si="526"/>
        <v>28.549326436363646</v>
      </c>
      <c r="M1420">
        <f t="shared" si="526"/>
        <v>29.405806229454555</v>
      </c>
      <c r="N1420">
        <f t="shared" si="526"/>
        <v>30.287980416338197</v>
      </c>
      <c r="O1420">
        <f t="shared" si="526"/>
        <v>31.196619828828339</v>
      </c>
      <c r="P1420">
        <f t="shared" si="526"/>
        <v>32.132518423693192</v>
      </c>
      <c r="Q1420">
        <f t="shared" si="526"/>
        <v>33.096493976403991</v>
      </c>
      <c r="R1420">
        <f t="shared" si="526"/>
        <v>34.089388795696102</v>
      </c>
      <c r="S1420">
        <f t="shared" si="526"/>
        <v>35.112070459566993</v>
      </c>
      <c r="T1420">
        <f t="shared" si="526"/>
        <v>36.165432573354003</v>
      </c>
      <c r="U1420">
        <f t="shared" si="526"/>
        <v>37.250395550554622</v>
      </c>
      <c r="V1420">
        <f t="shared" si="526"/>
        <v>38.367907417071258</v>
      </c>
    </row>
    <row r="1421" spans="2:22">
      <c r="G1421"/>
    </row>
    <row r="1422" spans="2:22">
      <c r="G1422"/>
    </row>
    <row r="1423" spans="2:22">
      <c r="B1423" s="407" t="s">
        <v>668</v>
      </c>
      <c r="G1423"/>
    </row>
    <row r="1424" spans="2:22">
      <c r="B1424" s="407" t="s">
        <v>9</v>
      </c>
      <c r="G1424"/>
    </row>
    <row r="1425" spans="2:22">
      <c r="B1425" t="s">
        <v>407</v>
      </c>
      <c r="G1425"/>
      <c r="J1425">
        <f>J1302</f>
        <v>1100000</v>
      </c>
      <c r="K1425">
        <f t="shared" ref="K1425:V1425" si="527">K1302</f>
        <v>3582985.568</v>
      </c>
      <c r="L1425">
        <f t="shared" si="527"/>
        <v>3690475.1350400001</v>
      </c>
      <c r="M1425">
        <f t="shared" si="527"/>
        <v>3801189.3890912002</v>
      </c>
      <c r="N1425">
        <f t="shared" si="527"/>
        <v>3915225.0707639363</v>
      </c>
      <c r="O1425">
        <f t="shared" si="527"/>
        <v>4032681.8228868544</v>
      </c>
      <c r="P1425">
        <f t="shared" si="527"/>
        <v>4153662.2775734598</v>
      </c>
      <c r="Q1425">
        <f t="shared" si="527"/>
        <v>4278272.1459006639</v>
      </c>
      <c r="R1425">
        <f t="shared" si="527"/>
        <v>4406620.3102776837</v>
      </c>
      <c r="S1425">
        <f t="shared" si="527"/>
        <v>4538818.9195860149</v>
      </c>
      <c r="T1425">
        <f t="shared" si="527"/>
        <v>4674983.4871735955</v>
      </c>
      <c r="U1425">
        <f t="shared" si="527"/>
        <v>4815232.9917888027</v>
      </c>
      <c r="V1425">
        <f t="shared" si="527"/>
        <v>4959689.9815424671</v>
      </c>
    </row>
    <row r="1426" spans="2:22">
      <c r="B1426" s="407" t="s">
        <v>666</v>
      </c>
      <c r="F1426" s="20">
        <f>E1311-F1311</f>
        <v>15290.185780366781</v>
      </c>
      <c r="G1426"/>
    </row>
    <row r="1427" spans="2:22">
      <c r="B1427" s="28" t="s">
        <v>665</v>
      </c>
      <c r="C1427" s="28"/>
      <c r="D1427" s="28"/>
      <c r="E1427" s="28"/>
      <c r="F1427" s="28"/>
      <c r="G1427" s="28"/>
      <c r="H1427" s="28"/>
      <c r="I1427" s="28"/>
      <c r="J1427" s="28">
        <f t="shared" ref="J1427:V1427" si="528">J1425*$F1426/Billion</f>
        <v>16.819204358403461</v>
      </c>
      <c r="K1427" s="28">
        <f t="shared" si="528"/>
        <v>54.784514983092997</v>
      </c>
      <c r="L1427" s="459">
        <f t="shared" si="528"/>
        <v>56.428050432585785</v>
      </c>
      <c r="M1427" s="28">
        <f t="shared" si="528"/>
        <v>58.120891945563365</v>
      </c>
      <c r="N1427" s="28">
        <f t="shared" si="528"/>
        <v>59.864518703930258</v>
      </c>
      <c r="O1427" s="28">
        <f t="shared" si="528"/>
        <v>61.660454265048173</v>
      </c>
      <c r="P1427" s="28">
        <f t="shared" si="528"/>
        <v>63.510267892999607</v>
      </c>
      <c r="Q1427" s="28">
        <f t="shared" si="528"/>
        <v>65.415575929789611</v>
      </c>
      <c r="R1427" s="28">
        <f t="shared" si="528"/>
        <v>67.378043207683291</v>
      </c>
      <c r="S1427" s="28">
        <f t="shared" si="528"/>
        <v>69.399384503913808</v>
      </c>
      <c r="T1427" s="28">
        <f t="shared" si="528"/>
        <v>71.481366039031215</v>
      </c>
      <c r="U1427" s="28">
        <f t="shared" si="528"/>
        <v>73.625807020202146</v>
      </c>
      <c r="V1427" s="28">
        <f t="shared" si="528"/>
        <v>75.834581230808212</v>
      </c>
    </row>
    <row r="1428" spans="2:22">
      <c r="G1428"/>
    </row>
    <row r="1429" spans="2:22">
      <c r="B1429" t="s">
        <v>642</v>
      </c>
      <c r="G1429"/>
      <c r="J1429">
        <f>J1427-J1431</f>
        <v>9.5869464842899728</v>
      </c>
      <c r="K1429">
        <f t="shared" ref="K1429:V1429" si="529">K1427-K1431</f>
        <v>31.227173540363008</v>
      </c>
      <c r="L1429">
        <f t="shared" si="529"/>
        <v>32.163988746573899</v>
      </c>
      <c r="M1429">
        <f t="shared" si="529"/>
        <v>33.128908408971114</v>
      </c>
      <c r="N1429">
        <f t="shared" si="529"/>
        <v>34.122775661240247</v>
      </c>
      <c r="O1429">
        <f t="shared" si="529"/>
        <v>35.146458931077461</v>
      </c>
      <c r="P1429">
        <f t="shared" si="529"/>
        <v>36.200852699009772</v>
      </c>
      <c r="Q1429">
        <f t="shared" si="529"/>
        <v>37.28687827998008</v>
      </c>
      <c r="R1429">
        <f t="shared" si="529"/>
        <v>38.405484628379476</v>
      </c>
      <c r="S1429">
        <f t="shared" si="529"/>
        <v>39.557649167230871</v>
      </c>
      <c r="T1429">
        <f t="shared" si="529"/>
        <v>40.744378642247796</v>
      </c>
      <c r="U1429">
        <f t="shared" si="529"/>
        <v>41.966710001515224</v>
      </c>
      <c r="V1429">
        <f t="shared" si="529"/>
        <v>43.225711301560679</v>
      </c>
    </row>
    <row r="1430" spans="2:22">
      <c r="G1430"/>
    </row>
    <row r="1431" spans="2:22">
      <c r="B1431" t="s">
        <v>434</v>
      </c>
      <c r="F1431" s="39">
        <v>0.43</v>
      </c>
      <c r="G1431"/>
      <c r="J1431">
        <f>J1427*$F$1431</f>
        <v>7.232257874113488</v>
      </c>
      <c r="K1431">
        <f t="shared" ref="K1431:V1431" si="530">K1427*$F$1431</f>
        <v>23.557341442729989</v>
      </c>
      <c r="L1431">
        <f t="shared" si="530"/>
        <v>24.264061686011885</v>
      </c>
      <c r="M1431">
        <f t="shared" si="530"/>
        <v>24.991983536592247</v>
      </c>
      <c r="N1431">
        <f t="shared" si="530"/>
        <v>25.741743042690011</v>
      </c>
      <c r="O1431">
        <f t="shared" si="530"/>
        <v>26.513995333970716</v>
      </c>
      <c r="P1431">
        <f t="shared" si="530"/>
        <v>27.309415193989832</v>
      </c>
      <c r="Q1431">
        <f t="shared" si="530"/>
        <v>28.128697649809531</v>
      </c>
      <c r="R1431">
        <f t="shared" si="530"/>
        <v>28.972558579303815</v>
      </c>
      <c r="S1431">
        <f t="shared" si="530"/>
        <v>29.841735336682937</v>
      </c>
      <c r="T1431">
        <f t="shared" si="530"/>
        <v>30.736987396783423</v>
      </c>
      <c r="U1431">
        <f t="shared" si="530"/>
        <v>31.659097018686921</v>
      </c>
      <c r="V1431">
        <f t="shared" si="530"/>
        <v>32.608869929247533</v>
      </c>
    </row>
    <row r="1432" spans="2:22">
      <c r="G1432"/>
    </row>
    <row r="1433" spans="2:22">
      <c r="B1433" s="407" t="s">
        <v>825</v>
      </c>
      <c r="G1433"/>
    </row>
    <row r="1434" spans="2:22">
      <c r="B1434" s="407" t="s">
        <v>9</v>
      </c>
      <c r="G1434"/>
    </row>
    <row r="1435" spans="2:22">
      <c r="B1435" t="s">
        <v>407</v>
      </c>
      <c r="G1435"/>
      <c r="J1435">
        <f>J1363</f>
        <v>750000</v>
      </c>
      <c r="K1435">
        <f t="shared" ref="K1435:V1435" si="531">K1363</f>
        <v>772500</v>
      </c>
      <c r="L1435">
        <f t="shared" si="531"/>
        <v>795675</v>
      </c>
      <c r="M1435">
        <f t="shared" si="531"/>
        <v>1019545.25</v>
      </c>
      <c r="N1435">
        <f t="shared" si="531"/>
        <v>1094131.6075000002</v>
      </c>
      <c r="O1435">
        <f t="shared" si="531"/>
        <v>1169455.5557250001</v>
      </c>
      <c r="P1435">
        <f t="shared" si="531"/>
        <v>1245539.22239675</v>
      </c>
      <c r="Q1435">
        <f t="shared" si="531"/>
        <v>1322405.3990686527</v>
      </c>
      <c r="R1435">
        <f t="shared" si="531"/>
        <v>1400077.5610407123</v>
      </c>
      <c r="S1435">
        <f t="shared" si="531"/>
        <v>1478579.8878719336</v>
      </c>
      <c r="T1435">
        <f t="shared" si="531"/>
        <v>1557937.2845080916</v>
      </c>
      <c r="U1435">
        <f t="shared" si="531"/>
        <v>1038175.4030433345</v>
      </c>
      <c r="V1435">
        <f t="shared" si="531"/>
        <v>1069320.6651346346</v>
      </c>
    </row>
    <row r="1436" spans="2:22">
      <c r="B1436" s="407" t="s">
        <v>666</v>
      </c>
      <c r="F1436" s="20">
        <f>SUM(F1347:F1348)-SUM(F1364:F1365)</f>
        <v>16089.26435142562</v>
      </c>
      <c r="G1436"/>
    </row>
    <row r="1437" spans="2:22">
      <c r="B1437" s="28" t="s">
        <v>665</v>
      </c>
      <c r="C1437" s="28"/>
      <c r="D1437" s="28"/>
      <c r="E1437" s="28"/>
      <c r="F1437" s="28"/>
      <c r="G1437" s="28"/>
      <c r="H1437" s="28"/>
      <c r="I1437" s="28"/>
      <c r="J1437" s="28">
        <f t="shared" ref="J1437:V1437" si="532">J1435*$F1436/Billion</f>
        <v>12.066948263569214</v>
      </c>
      <c r="K1437" s="28">
        <f t="shared" si="532"/>
        <v>12.428956711476292</v>
      </c>
      <c r="L1437" s="459">
        <f t="shared" si="532"/>
        <v>12.80182541282058</v>
      </c>
      <c r="M1437" s="28">
        <f t="shared" si="532"/>
        <v>16.403733045490323</v>
      </c>
      <c r="N1437" s="28">
        <f t="shared" si="532"/>
        <v>17.60377266831776</v>
      </c>
      <c r="O1437" s="28">
        <f t="shared" si="532"/>
        <v>18.815679583302884</v>
      </c>
      <c r="P1437" s="28">
        <f t="shared" si="532"/>
        <v>20.039809809210414</v>
      </c>
      <c r="Q1437" s="28">
        <f t="shared" si="532"/>
        <v>21.276530045368041</v>
      </c>
      <c r="R1437" s="28">
        <f t="shared" si="532"/>
        <v>22.526217992083261</v>
      </c>
      <c r="S1437" s="28">
        <f t="shared" si="532"/>
        <v>23.789262680672792</v>
      </c>
      <c r="T1437" s="28">
        <f t="shared" si="532"/>
        <v>25.06606481339287</v>
      </c>
      <c r="U1437" s="28">
        <f t="shared" si="532"/>
        <v>16.703478502712045</v>
      </c>
      <c r="V1437" s="28">
        <f t="shared" si="532"/>
        <v>17.204582857793408</v>
      </c>
    </row>
    <row r="1438" spans="2:22">
      <c r="G1438"/>
    </row>
    <row r="1439" spans="2:22">
      <c r="B1439" t="s">
        <v>642</v>
      </c>
      <c r="G1439"/>
      <c r="J1439">
        <f>J1437-J1441</f>
        <v>6.8781605102344523</v>
      </c>
      <c r="K1439">
        <f t="shared" ref="K1439:V1439" si="533">K1437-K1441</f>
        <v>7.0845053255414872</v>
      </c>
      <c r="L1439">
        <f t="shared" si="533"/>
        <v>7.2970404853077309</v>
      </c>
      <c r="M1439">
        <f t="shared" si="533"/>
        <v>9.3501278359294844</v>
      </c>
      <c r="N1439">
        <f t="shared" si="533"/>
        <v>10.034150420941124</v>
      </c>
      <c r="O1439">
        <f t="shared" si="533"/>
        <v>10.724937362482644</v>
      </c>
      <c r="P1439">
        <f t="shared" si="533"/>
        <v>11.422691591249936</v>
      </c>
      <c r="Q1439">
        <f t="shared" si="533"/>
        <v>12.127622125859784</v>
      </c>
      <c r="R1439">
        <f t="shared" si="533"/>
        <v>12.83994425548746</v>
      </c>
      <c r="S1439">
        <f t="shared" si="533"/>
        <v>13.559879727983491</v>
      </c>
      <c r="T1439">
        <f t="shared" si="533"/>
        <v>14.287656943633936</v>
      </c>
      <c r="U1439">
        <f t="shared" si="533"/>
        <v>9.5209827465458652</v>
      </c>
      <c r="V1439">
        <f t="shared" si="533"/>
        <v>9.8066122289422424</v>
      </c>
    </row>
    <row r="1440" spans="2:22">
      <c r="G1440"/>
    </row>
    <row r="1441" spans="2:22">
      <c r="B1441" t="s">
        <v>434</v>
      </c>
      <c r="F1441" s="39">
        <v>0.43</v>
      </c>
      <c r="G1441"/>
      <c r="J1441">
        <f>J1437*$F$1441</f>
        <v>5.1887877533347622</v>
      </c>
      <c r="K1441">
        <f t="shared" ref="K1441:V1441" si="534">K1437*$F$1441</f>
        <v>5.3444513859348053</v>
      </c>
      <c r="L1441">
        <f t="shared" si="534"/>
        <v>5.5047849275128495</v>
      </c>
      <c r="M1441">
        <f t="shared" si="534"/>
        <v>7.053605209560839</v>
      </c>
      <c r="N1441">
        <f t="shared" si="534"/>
        <v>7.5696222473766364</v>
      </c>
      <c r="O1441">
        <f t="shared" si="534"/>
        <v>8.0907422208202409</v>
      </c>
      <c r="P1441">
        <f t="shared" si="534"/>
        <v>8.6171182179604777</v>
      </c>
      <c r="Q1441">
        <f t="shared" si="534"/>
        <v>9.1489079195082574</v>
      </c>
      <c r="R1441">
        <f t="shared" si="534"/>
        <v>9.6862737365958012</v>
      </c>
      <c r="S1441">
        <f t="shared" si="534"/>
        <v>10.229382952689301</v>
      </c>
      <c r="T1441">
        <f t="shared" si="534"/>
        <v>10.778407869758935</v>
      </c>
      <c r="U1441">
        <f t="shared" si="534"/>
        <v>7.1824957561661789</v>
      </c>
      <c r="V1441">
        <f t="shared" si="534"/>
        <v>7.3979706288511657</v>
      </c>
    </row>
    <row r="1442" spans="2:22">
      <c r="G1442"/>
    </row>
    <row r="1443" spans="2:22">
      <c r="G1443"/>
    </row>
    <row r="1444" spans="2:22">
      <c r="G1444"/>
    </row>
    <row r="1445" spans="2:22">
      <c r="B1445" s="407" t="s">
        <v>640</v>
      </c>
      <c r="G1445"/>
      <c r="J1445">
        <f>SUM(J1418,J1429,J1439)</f>
        <v>16.465106994524426</v>
      </c>
      <c r="K1445">
        <f t="shared" ref="K1445:V1445" si="535">SUM(K1418,K1429,K1439)</f>
        <v>38.311678865904497</v>
      </c>
      <c r="L1445">
        <f t="shared" si="535"/>
        <v>69.175634298300935</v>
      </c>
      <c r="M1445">
        <f t="shared" si="535"/>
        <v>73.085079463312482</v>
      </c>
      <c r="N1445">
        <f t="shared" si="535"/>
        <v>75.681150597145631</v>
      </c>
      <c r="O1445">
        <f t="shared" si="535"/>
        <v>78.341347543973285</v>
      </c>
      <c r="P1445">
        <f t="shared" si="535"/>
        <v>81.067594078185266</v>
      </c>
      <c r="Q1445">
        <f t="shared" si="535"/>
        <v>83.861871687403195</v>
      </c>
      <c r="R1445">
        <f t="shared" si="535"/>
        <v>86.726221303877168</v>
      </c>
      <c r="S1445">
        <f t="shared" si="535"/>
        <v>89.662745087824902</v>
      </c>
      <c r="T1445">
        <f t="shared" si="535"/>
        <v>92.673608264270584</v>
      </c>
      <c r="U1445">
        <f t="shared" si="535"/>
        <v>90.258512606801631</v>
      </c>
      <c r="V1445">
        <f t="shared" si="535"/>
        <v>92.966267985005658</v>
      </c>
    </row>
    <row r="1446" spans="2:22">
      <c r="G1446"/>
    </row>
    <row r="1447" spans="2:22" ht="24" thickBot="1">
      <c r="B1447" s="14" t="s">
        <v>300</v>
      </c>
      <c r="C1447" s="14"/>
      <c r="D1447" s="14"/>
      <c r="E1447" s="14"/>
      <c r="F1447" s="14"/>
      <c r="G1447" s="14"/>
      <c r="H1447" s="14"/>
      <c r="I1447" s="14"/>
      <c r="J1447" s="14"/>
      <c r="K1447" s="14"/>
      <c r="L1447" s="14"/>
      <c r="M1447" s="14"/>
      <c r="N1447" s="14"/>
      <c r="O1447" s="14"/>
      <c r="P1447" s="14"/>
      <c r="Q1447" s="14"/>
      <c r="R1447" s="14"/>
      <c r="S1447" s="14"/>
      <c r="T1447" s="14"/>
      <c r="U1447" s="14"/>
      <c r="V1447" s="14"/>
    </row>
    <row r="1448" spans="2:22">
      <c r="G1448"/>
      <c r="J1448" s="21"/>
    </row>
    <row r="1449" spans="2:22" ht="15.75">
      <c r="B1449" s="15" t="s">
        <v>301</v>
      </c>
      <c r="G1449"/>
      <c r="J1449" s="21"/>
    </row>
    <row r="1450" spans="2:22">
      <c r="G1450"/>
      <c r="J1450" s="21"/>
    </row>
    <row r="1451" spans="2:22">
      <c r="G1451"/>
      <c r="J1451" s="21"/>
    </row>
    <row r="1452" spans="2:22">
      <c r="B1452" s="407" t="s">
        <v>302</v>
      </c>
      <c r="G1452"/>
      <c r="J1452" s="21"/>
    </row>
    <row r="1453" spans="2:22">
      <c r="B1453" s="407" t="s">
        <v>9</v>
      </c>
      <c r="G1453"/>
      <c r="J1453" s="50">
        <f>Output_FSL!J44</f>
        <v>305.28863657531383</v>
      </c>
      <c r="K1453" s="50">
        <f>Output_FSL!K44</f>
        <v>427.60286647031637</v>
      </c>
      <c r="L1453" s="50">
        <f>Output_FSL!L44</f>
        <v>622.06488628652892</v>
      </c>
      <c r="M1453" s="50">
        <f>Output_FSL!M44</f>
        <v>754.46283287559299</v>
      </c>
      <c r="N1453" s="50">
        <f>Output_FSL!N44</f>
        <v>841.30957702557623</v>
      </c>
      <c r="O1453" s="50">
        <f>Output_FSL!O44</f>
        <v>917.90703723101194</v>
      </c>
      <c r="P1453" s="50">
        <f>Output_FSL!P44</f>
        <v>957.01687917243328</v>
      </c>
      <c r="Q1453" s="50">
        <f>Output_FSL!Q44</f>
        <v>1021.4431095703574</v>
      </c>
      <c r="R1453" s="50">
        <f>Output_FSL!R44</f>
        <v>1068.3291172001439</v>
      </c>
      <c r="S1453" s="50">
        <f>Output_FSL!S44</f>
        <v>1137.2219371080032</v>
      </c>
      <c r="T1453" s="50">
        <f>Output_FSL!T44</f>
        <v>1162.5819669451769</v>
      </c>
      <c r="U1453" s="50">
        <f>Output_FSL!U44</f>
        <v>1171.2143622958556</v>
      </c>
      <c r="V1453" s="50">
        <f>Output_FSL!V44</f>
        <v>1212.2895163049375</v>
      </c>
    </row>
    <row r="1454" spans="2:22">
      <c r="B1454" s="407" t="s">
        <v>303</v>
      </c>
      <c r="F1454" s="19">
        <v>45</v>
      </c>
      <c r="G1454"/>
      <c r="I1454" s="19">
        <v>45</v>
      </c>
      <c r="J1454" s="19">
        <v>45</v>
      </c>
      <c r="K1454" s="19">
        <v>45</v>
      </c>
      <c r="L1454" s="19">
        <v>45</v>
      </c>
      <c r="M1454" s="19">
        <v>45</v>
      </c>
      <c r="N1454" s="19">
        <v>45</v>
      </c>
      <c r="O1454" s="19">
        <v>45</v>
      </c>
      <c r="P1454" s="19">
        <v>45</v>
      </c>
      <c r="Q1454" s="19">
        <v>45</v>
      </c>
      <c r="R1454" s="19">
        <v>45</v>
      </c>
      <c r="S1454" s="19">
        <v>45</v>
      </c>
      <c r="T1454" s="19">
        <v>45</v>
      </c>
      <c r="U1454" s="19">
        <v>45</v>
      </c>
      <c r="V1454" s="19">
        <v>45</v>
      </c>
    </row>
    <row r="1455" spans="2:22">
      <c r="B1455" s="28" t="s">
        <v>304</v>
      </c>
      <c r="C1455" s="28"/>
      <c r="D1455" s="28"/>
      <c r="E1455" s="28"/>
      <c r="F1455" s="28"/>
      <c r="G1455" s="28"/>
      <c r="H1455" s="28"/>
      <c r="I1455" s="93">
        <f>Output_FSL!I97</f>
        <v>45</v>
      </c>
      <c r="J1455" s="47">
        <f t="shared" ref="J1455:V1455" si="536">J1453*J1454/J9</f>
        <v>37.535488103522198</v>
      </c>
      <c r="K1455" s="47">
        <f t="shared" si="536"/>
        <v>52.718161619628049</v>
      </c>
      <c r="L1455" s="47">
        <f t="shared" si="536"/>
        <v>76.692931186010412</v>
      </c>
      <c r="M1455" s="47">
        <f t="shared" si="536"/>
        <v>93.015965696990918</v>
      </c>
      <c r="N1455" s="47">
        <f t="shared" si="536"/>
        <v>103.43970209330855</v>
      </c>
      <c r="O1455" s="47">
        <f t="shared" si="536"/>
        <v>113.16662102848092</v>
      </c>
      <c r="P1455" s="47">
        <f t="shared" si="536"/>
        <v>117.98838236372465</v>
      </c>
      <c r="Q1455" s="47">
        <f t="shared" si="536"/>
        <v>125.93134227579748</v>
      </c>
      <c r="R1455" s="47">
        <f t="shared" si="536"/>
        <v>131.35194063936194</v>
      </c>
      <c r="S1455" s="47">
        <f t="shared" si="536"/>
        <v>140.2054443009867</v>
      </c>
      <c r="T1455" s="47">
        <f t="shared" si="536"/>
        <v>143.3320233220081</v>
      </c>
      <c r="U1455" s="47">
        <f t="shared" si="536"/>
        <v>144.3962912419548</v>
      </c>
      <c r="V1455" s="47">
        <f t="shared" si="536"/>
        <v>149.05198970962346</v>
      </c>
    </row>
    <row r="1456" spans="2:22">
      <c r="G1456"/>
      <c r="J1456" s="21"/>
    </row>
    <row r="1457" spans="2:22">
      <c r="B1457" s="407" t="s">
        <v>306</v>
      </c>
      <c r="G1457"/>
      <c r="J1457" s="21"/>
    </row>
    <row r="1458" spans="2:22">
      <c r="B1458" s="407" t="s">
        <v>307</v>
      </c>
      <c r="G1458"/>
      <c r="J1458" s="33">
        <v>0</v>
      </c>
      <c r="K1458" s="33">
        <v>0</v>
      </c>
      <c r="L1458" s="33">
        <v>0</v>
      </c>
      <c r="M1458" s="33">
        <v>0</v>
      </c>
      <c r="N1458" s="33">
        <v>0</v>
      </c>
      <c r="O1458" s="33">
        <v>0</v>
      </c>
      <c r="P1458" s="33">
        <v>0</v>
      </c>
      <c r="Q1458" s="33">
        <v>0</v>
      </c>
      <c r="R1458" s="33">
        <v>0</v>
      </c>
      <c r="S1458" s="33">
        <v>0</v>
      </c>
      <c r="T1458" s="33">
        <v>0</v>
      </c>
      <c r="U1458" s="33">
        <v>0</v>
      </c>
      <c r="V1458" s="33">
        <v>0</v>
      </c>
    </row>
    <row r="1459" spans="2:22">
      <c r="B1459" s="407" t="s">
        <v>308</v>
      </c>
      <c r="F1459" s="19">
        <v>40</v>
      </c>
      <c r="G1459"/>
    </row>
    <row r="1460" spans="2:22">
      <c r="B1460" s="28" t="s">
        <v>204</v>
      </c>
      <c r="C1460" s="28"/>
      <c r="D1460" s="28"/>
      <c r="E1460" s="28"/>
      <c r="F1460" s="28"/>
      <c r="G1460" s="28"/>
      <c r="H1460" s="28"/>
      <c r="I1460" s="28">
        <f>Output_FSL!I96</f>
        <v>0.51981068748259995</v>
      </c>
      <c r="J1460" s="28">
        <f t="shared" ref="J1460:S1460" si="537">J1458*$F1459/J$9*0+$I$1460</f>
        <v>0.51981068748259995</v>
      </c>
      <c r="K1460" s="28">
        <f t="shared" si="537"/>
        <v>0.51981068748259995</v>
      </c>
      <c r="L1460" s="28">
        <f t="shared" si="537"/>
        <v>0.51981068748259995</v>
      </c>
      <c r="M1460" s="28">
        <f t="shared" si="537"/>
        <v>0.51981068748259995</v>
      </c>
      <c r="N1460" s="28">
        <f t="shared" si="537"/>
        <v>0.51981068748259995</v>
      </c>
      <c r="O1460" s="28">
        <f t="shared" si="537"/>
        <v>0.51981068748259995</v>
      </c>
      <c r="P1460" s="28">
        <f t="shared" si="537"/>
        <v>0.51981068748259995</v>
      </c>
      <c r="Q1460" s="28">
        <f t="shared" si="537"/>
        <v>0.51981068748259995</v>
      </c>
      <c r="R1460" s="28">
        <f t="shared" si="537"/>
        <v>0.51981068748259995</v>
      </c>
      <c r="S1460" s="28">
        <f t="shared" si="537"/>
        <v>0.51981068748259995</v>
      </c>
      <c r="T1460" s="28">
        <f>T1458*$F1459/T$9</f>
        <v>0</v>
      </c>
      <c r="U1460" s="28">
        <f>U1458*$F1459/U$9</f>
        <v>0</v>
      </c>
      <c r="V1460" s="28">
        <f>V1458*$F1459/V$9</f>
        <v>0</v>
      </c>
    </row>
    <row r="1461" spans="2:22">
      <c r="G1461"/>
      <c r="J1461" s="21"/>
    </row>
    <row r="1462" spans="2:22">
      <c r="B1462" s="407" t="s">
        <v>309</v>
      </c>
      <c r="G1462"/>
      <c r="J1462" s="21"/>
    </row>
    <row r="1463" spans="2:22">
      <c r="B1463" s="407" t="s">
        <v>307</v>
      </c>
      <c r="G1463"/>
      <c r="I1463" s="23"/>
      <c r="J1463" s="50">
        <f>-Output_FSL!J45</f>
        <v>122.54305842795947</v>
      </c>
      <c r="K1463" s="50">
        <f>-Output_FSL!K45</f>
        <v>114.65876282442215</v>
      </c>
      <c r="L1463" s="50">
        <f>-Output_FSL!L45</f>
        <v>112.22496672828652</v>
      </c>
      <c r="M1463" s="50">
        <f>-Output_FSL!M45</f>
        <v>124.58113550223143</v>
      </c>
      <c r="N1463" s="50">
        <f>-Output_FSL!N45</f>
        <v>146.73492706822378</v>
      </c>
      <c r="O1463" s="50">
        <f>-Output_FSL!O45</f>
        <v>157.56435050601607</v>
      </c>
      <c r="P1463" s="50">
        <f>-Output_FSL!P45</f>
        <v>167.62312796545598</v>
      </c>
      <c r="Q1463" s="50">
        <f>-Output_FSL!Q45</f>
        <v>179.27913237363651</v>
      </c>
      <c r="R1463" s="50">
        <f>-Output_FSL!R45</f>
        <v>190.1349958139092</v>
      </c>
      <c r="S1463" s="50">
        <f>-Output_FSL!S45</f>
        <v>201.60267788366619</v>
      </c>
      <c r="T1463" s="50">
        <f>-Output_FSL!T45</f>
        <v>197.45913659428521</v>
      </c>
      <c r="U1463" s="50">
        <f>-Output_FSL!U45</f>
        <v>206.4094677279102</v>
      </c>
      <c r="V1463" s="50">
        <f>-Output_FSL!V45</f>
        <v>216.93114250485289</v>
      </c>
    </row>
    <row r="1464" spans="2:22">
      <c r="B1464" s="407" t="s">
        <v>310</v>
      </c>
      <c r="F1464" s="19">
        <v>30</v>
      </c>
      <c r="G1464"/>
      <c r="I1464" s="19">
        <v>30</v>
      </c>
      <c r="J1464" s="19">
        <v>30</v>
      </c>
      <c r="K1464" s="19">
        <v>30</v>
      </c>
      <c r="L1464" s="19">
        <v>30</v>
      </c>
      <c r="M1464" s="19">
        <v>30</v>
      </c>
      <c r="N1464" s="19">
        <v>30</v>
      </c>
      <c r="O1464" s="19">
        <v>30</v>
      </c>
      <c r="P1464" s="19">
        <v>30</v>
      </c>
      <c r="Q1464" s="19">
        <v>30</v>
      </c>
      <c r="R1464" s="19">
        <v>30</v>
      </c>
      <c r="S1464" s="19">
        <v>30</v>
      </c>
      <c r="T1464" s="19">
        <v>30</v>
      </c>
      <c r="U1464" s="19">
        <v>30</v>
      </c>
      <c r="V1464" s="19">
        <v>30</v>
      </c>
    </row>
    <row r="1465" spans="2:22">
      <c r="B1465" s="28" t="s">
        <v>240</v>
      </c>
      <c r="C1465" s="28"/>
      <c r="D1465" s="28"/>
      <c r="E1465" s="28"/>
      <c r="F1465" s="28"/>
      <c r="G1465" s="28"/>
      <c r="H1465" s="28"/>
      <c r="I1465" s="93">
        <f>Output_FSL!I103</f>
        <v>14.671985982904882</v>
      </c>
      <c r="J1465" s="47">
        <f t="shared" ref="J1465:V1465" si="538">J1463*J1464/J$9</f>
        <v>10.044512985898317</v>
      </c>
      <c r="K1465" s="47">
        <f t="shared" si="538"/>
        <v>9.4240079033771629</v>
      </c>
      <c r="L1465" s="47">
        <f t="shared" si="538"/>
        <v>9.2239698680783437</v>
      </c>
      <c r="M1465" s="47">
        <f t="shared" si="538"/>
        <v>10.23954538374505</v>
      </c>
      <c r="N1465" s="47">
        <f t="shared" si="538"/>
        <v>12.027453038378997</v>
      </c>
      <c r="O1465" s="47">
        <f t="shared" si="538"/>
        <v>12.950494562138307</v>
      </c>
      <c r="P1465" s="47">
        <f t="shared" si="538"/>
        <v>13.77724339442104</v>
      </c>
      <c r="Q1465" s="47">
        <f t="shared" si="538"/>
        <v>14.735271153997521</v>
      </c>
      <c r="R1465" s="47">
        <f t="shared" si="538"/>
        <v>15.584835722451574</v>
      </c>
      <c r="S1465" s="47">
        <f t="shared" si="538"/>
        <v>16.570083113725989</v>
      </c>
      <c r="T1465" s="47">
        <f t="shared" si="538"/>
        <v>16.22951807624262</v>
      </c>
      <c r="U1465" s="47">
        <f t="shared" si="538"/>
        <v>16.965161731061112</v>
      </c>
      <c r="V1465" s="47">
        <f t="shared" si="538"/>
        <v>17.781241188922369</v>
      </c>
    </row>
    <row r="1466" spans="2:22">
      <c r="G1466"/>
    </row>
    <row r="1467" spans="2:22">
      <c r="B1467" t="s">
        <v>300</v>
      </c>
      <c r="G1467"/>
      <c r="I1467" s="23">
        <f>SUM(I1455,I1460,-I1465)</f>
        <v>30.847824704577715</v>
      </c>
      <c r="J1467" s="23">
        <f>SUM(J1455,J1460,-J1465)</f>
        <v>28.01078580510648</v>
      </c>
      <c r="K1467" s="23">
        <f t="shared" ref="K1467:V1467" si="539">SUM(K1455,K1460,-K1465)</f>
        <v>43.813964403733479</v>
      </c>
      <c r="L1467" s="23">
        <f t="shared" si="539"/>
        <v>67.988772005414674</v>
      </c>
      <c r="M1467" s="23">
        <f t="shared" si="539"/>
        <v>83.296231000728469</v>
      </c>
      <c r="N1467" s="23">
        <f t="shared" si="539"/>
        <v>91.932059742412164</v>
      </c>
      <c r="O1467" s="23">
        <f t="shared" si="539"/>
        <v>100.73593715382522</v>
      </c>
      <c r="P1467" s="23">
        <f t="shared" si="539"/>
        <v>104.73094965678622</v>
      </c>
      <c r="Q1467" s="23">
        <f t="shared" si="539"/>
        <v>111.71588180928256</v>
      </c>
      <c r="R1467" s="23">
        <f t="shared" si="539"/>
        <v>116.28691560439296</v>
      </c>
      <c r="S1467" s="23">
        <f t="shared" si="539"/>
        <v>124.1551718747433</v>
      </c>
      <c r="T1467" s="23">
        <f t="shared" si="539"/>
        <v>127.10250524576549</v>
      </c>
      <c r="U1467" s="23">
        <f t="shared" si="539"/>
        <v>127.43112951089368</v>
      </c>
      <c r="V1467" s="23">
        <f t="shared" si="539"/>
        <v>131.27074852070109</v>
      </c>
    </row>
    <row r="1468" spans="2:22">
      <c r="B1468" t="s">
        <v>311</v>
      </c>
      <c r="G1468"/>
      <c r="J1468" s="23">
        <f>I1467-J1467</f>
        <v>2.837038899471235</v>
      </c>
      <c r="K1468" s="23">
        <f t="shared" ref="K1468:V1468" si="540">J1467-K1467</f>
        <v>-15.803178598626999</v>
      </c>
      <c r="L1468" s="23">
        <f t="shared" si="540"/>
        <v>-24.174807601681195</v>
      </c>
      <c r="M1468" s="23">
        <f t="shared" si="540"/>
        <v>-15.307458995313795</v>
      </c>
      <c r="N1468" s="23">
        <f t="shared" si="540"/>
        <v>-8.6358287416836959</v>
      </c>
      <c r="O1468" s="23">
        <f t="shared" si="540"/>
        <v>-8.8038774114130547</v>
      </c>
      <c r="P1468" s="23">
        <f t="shared" si="540"/>
        <v>-3.9950125029610035</v>
      </c>
      <c r="Q1468" s="23">
        <f t="shared" si="540"/>
        <v>-6.9849321524963415</v>
      </c>
      <c r="R1468" s="23">
        <f t="shared" si="540"/>
        <v>-4.5710337951103952</v>
      </c>
      <c r="S1468" s="23">
        <f t="shared" si="540"/>
        <v>-7.8682562703503436</v>
      </c>
      <c r="T1468" s="23">
        <f t="shared" si="540"/>
        <v>-2.9473333710221823</v>
      </c>
      <c r="U1468" s="23">
        <f t="shared" si="540"/>
        <v>-0.32862426512819809</v>
      </c>
      <c r="V1468" s="23">
        <f t="shared" si="540"/>
        <v>-3.8396190098074072</v>
      </c>
    </row>
    <row r="1469" spans="2:22">
      <c r="G1469"/>
    </row>
    <row r="1470" spans="2:22">
      <c r="G1470"/>
    </row>
    <row r="1471" spans="2:22" ht="24" thickBot="1">
      <c r="B1471" s="14" t="s">
        <v>312</v>
      </c>
      <c r="C1471" s="14"/>
      <c r="D1471" s="14"/>
      <c r="E1471" s="14"/>
      <c r="F1471" s="14"/>
      <c r="G1471" s="14"/>
      <c r="H1471" s="14"/>
      <c r="I1471" s="14"/>
      <c r="J1471" s="14" t="s">
        <v>313</v>
      </c>
      <c r="K1471" s="14"/>
      <c r="L1471" s="14"/>
      <c r="M1471" s="14"/>
      <c r="N1471" s="14"/>
      <c r="O1471" s="14"/>
      <c r="P1471" s="14"/>
      <c r="Q1471" s="14"/>
      <c r="R1471" s="14"/>
      <c r="S1471" s="14"/>
      <c r="T1471" s="14"/>
      <c r="U1471" s="14"/>
      <c r="V1471" s="14"/>
    </row>
    <row r="1472" spans="2:22">
      <c r="G1472"/>
      <c r="J1472" s="21"/>
    </row>
    <row r="1473" spans="2:22">
      <c r="G1473"/>
      <c r="I1473" s="9">
        <f t="shared" ref="I1473:V1473" si="541">I8</f>
        <v>2023</v>
      </c>
      <c r="J1473" s="9">
        <f t="shared" si="541"/>
        <v>2024</v>
      </c>
      <c r="K1473" s="9">
        <f t="shared" si="541"/>
        <v>2025</v>
      </c>
      <c r="L1473" s="9">
        <f t="shared" si="541"/>
        <v>2026</v>
      </c>
      <c r="M1473" s="9">
        <f t="shared" si="541"/>
        <v>2027</v>
      </c>
      <c r="N1473" s="9">
        <f t="shared" si="541"/>
        <v>2028</v>
      </c>
      <c r="O1473" s="9">
        <f t="shared" si="541"/>
        <v>2029</v>
      </c>
      <c r="P1473" s="9">
        <f t="shared" si="541"/>
        <v>2030</v>
      </c>
      <c r="Q1473" s="9">
        <f t="shared" si="541"/>
        <v>2031</v>
      </c>
      <c r="R1473" s="9">
        <f t="shared" si="541"/>
        <v>2032</v>
      </c>
      <c r="S1473" s="9">
        <f t="shared" si="541"/>
        <v>2033</v>
      </c>
      <c r="T1473" s="9">
        <f t="shared" si="541"/>
        <v>2034</v>
      </c>
      <c r="U1473" s="9">
        <f t="shared" si="541"/>
        <v>2035</v>
      </c>
      <c r="V1473" s="9">
        <f t="shared" si="541"/>
        <v>2036</v>
      </c>
    </row>
    <row r="1474" spans="2:22">
      <c r="B1474" s="455" t="s">
        <v>391</v>
      </c>
      <c r="G1474" s="17" t="s">
        <v>176</v>
      </c>
      <c r="I1474" s="92"/>
      <c r="J1474" s="92">
        <f>Input!K1258*Output_FSL!$F$30</f>
        <v>0</v>
      </c>
      <c r="K1474" s="92">
        <f>Input!L1258*Output_FSL!$F$30</f>
        <v>0</v>
      </c>
      <c r="L1474" s="30">
        <v>6.48452380952381</v>
      </c>
      <c r="M1474" s="30">
        <v>0.32500000000000001</v>
      </c>
      <c r="N1474" s="92">
        <f>Input!O1258*Output_FSL!$F$30</f>
        <v>0</v>
      </c>
      <c r="O1474" s="92">
        <f>Input!P1258*Output_FSL!$F$30</f>
        <v>0</v>
      </c>
      <c r="P1474" s="92">
        <f>Input!Q1258*Output_FSL!$F$30</f>
        <v>0</v>
      </c>
      <c r="Q1474" s="92">
        <f>Input!R1258*Output_FSL!$F$30</f>
        <v>0</v>
      </c>
      <c r="R1474" s="92">
        <f>Input!S1258*Output_FSL!$F$30</f>
        <v>0</v>
      </c>
      <c r="S1474" s="92">
        <f>Input!T1258*Output_FSL!$F$30</f>
        <v>0</v>
      </c>
      <c r="T1474" s="92">
        <f>Input!U1258*Output_FSL!$F$30</f>
        <v>0</v>
      </c>
      <c r="U1474" s="92">
        <f>Input!V1258*Output_FSL!$F$30</f>
        <v>0</v>
      </c>
      <c r="V1474" s="92">
        <f>Input!W1258*Output_FSL!$F$30</f>
        <v>0</v>
      </c>
    </row>
    <row r="1475" spans="2:22">
      <c r="B1475" t="s">
        <v>670</v>
      </c>
      <c r="G1475" s="17" t="s">
        <v>176</v>
      </c>
      <c r="I1475" s="92">
        <f>Input!J420</f>
        <v>10</v>
      </c>
      <c r="J1475" s="92">
        <f>Input!K420</f>
        <v>2.2999999999999998</v>
      </c>
      <c r="K1475" s="92">
        <f>Input!L420</f>
        <v>0.5</v>
      </c>
      <c r="L1475" s="91">
        <f>Input!M420</f>
        <v>0</v>
      </c>
      <c r="M1475" s="91">
        <f>Input!N420</f>
        <v>0</v>
      </c>
      <c r="N1475" s="91">
        <f>Input!O420</f>
        <v>0</v>
      </c>
      <c r="O1475" s="91">
        <f>Input!P420</f>
        <v>0</v>
      </c>
      <c r="P1475" s="91">
        <f>Input!Q420</f>
        <v>0</v>
      </c>
      <c r="Q1475" s="91">
        <f>Input!R420</f>
        <v>0</v>
      </c>
      <c r="R1475" s="91">
        <f>Input!S420</f>
        <v>0</v>
      </c>
      <c r="S1475" s="91">
        <f>Input!T420</f>
        <v>0</v>
      </c>
      <c r="T1475" s="91">
        <f>Input!U420</f>
        <v>0</v>
      </c>
      <c r="U1475" s="91">
        <f>Input!V420</f>
        <v>0</v>
      </c>
      <c r="V1475" s="91">
        <f>Input!W420</f>
        <v>0</v>
      </c>
    </row>
    <row r="1476" spans="2:22">
      <c r="B1476" t="s">
        <v>539</v>
      </c>
      <c r="G1476" s="17" t="s">
        <v>176</v>
      </c>
      <c r="I1476" s="23">
        <f>Input!J452</f>
        <v>2.2000000000000002</v>
      </c>
      <c r="J1476" s="23">
        <f>Input!K452</f>
        <v>5.4</v>
      </c>
      <c r="K1476" s="23">
        <f>Input!L452</f>
        <v>0.4</v>
      </c>
      <c r="L1476" s="23">
        <f>Input!M452</f>
        <v>0</v>
      </c>
      <c r="M1476" s="23">
        <f>Input!N452</f>
        <v>0</v>
      </c>
      <c r="N1476" s="23">
        <f>Input!O452</f>
        <v>0</v>
      </c>
      <c r="O1476" s="23">
        <f>Input!P452</f>
        <v>0</v>
      </c>
      <c r="P1476" s="23">
        <f>Input!Q452</f>
        <v>0</v>
      </c>
      <c r="Q1476" s="23">
        <f>Input!R452</f>
        <v>0</v>
      </c>
      <c r="R1476" s="23">
        <f>Input!S452</f>
        <v>0</v>
      </c>
      <c r="S1476" s="23">
        <f>Input!T452</f>
        <v>0</v>
      </c>
      <c r="T1476" s="23">
        <f>Input!U452</f>
        <v>0</v>
      </c>
      <c r="U1476" s="23">
        <f>Input!V452</f>
        <v>0</v>
      </c>
      <c r="V1476" s="23">
        <f>Input!W452</f>
        <v>0</v>
      </c>
    </row>
    <row r="1477" spans="2:22">
      <c r="B1477" s="407" t="s">
        <v>541</v>
      </c>
      <c r="G1477" s="17" t="s">
        <v>176</v>
      </c>
      <c r="I1477" s="23">
        <f>Input!J453</f>
        <v>0</v>
      </c>
      <c r="J1477" s="23">
        <f>Input!K1270</f>
        <v>0</v>
      </c>
      <c r="K1477" s="23">
        <f>Input!L1270</f>
        <v>0</v>
      </c>
      <c r="L1477" s="23">
        <f>Input!M1270</f>
        <v>6.0245926836766062</v>
      </c>
      <c r="M1477" s="23">
        <f>Input!N1270</f>
        <v>0</v>
      </c>
      <c r="N1477" s="23">
        <f>Input!O1270</f>
        <v>0</v>
      </c>
      <c r="O1477" s="23">
        <f>Input!P1270</f>
        <v>0</v>
      </c>
      <c r="P1477" s="23">
        <f>Input!Q1270</f>
        <v>0</v>
      </c>
      <c r="Q1477" s="23">
        <f>Input!R1270</f>
        <v>0</v>
      </c>
      <c r="R1477" s="23">
        <f>Input!S1270</f>
        <v>0</v>
      </c>
      <c r="S1477" s="23">
        <f>Input!T1270</f>
        <v>0</v>
      </c>
      <c r="T1477" s="23">
        <f>Input!U1270</f>
        <v>0</v>
      </c>
      <c r="U1477" s="23">
        <f>Input!V1270</f>
        <v>0</v>
      </c>
      <c r="V1477" s="23">
        <f>Input!W1270</f>
        <v>0</v>
      </c>
    </row>
    <row r="1478" spans="2:22">
      <c r="B1478" s="407" t="s">
        <v>826</v>
      </c>
      <c r="G1478" s="17" t="s">
        <v>176</v>
      </c>
      <c r="I1478" s="23"/>
      <c r="J1478" s="458">
        <f>Input!K1264</f>
        <v>0</v>
      </c>
      <c r="K1478" s="458">
        <f>Input!L1264</f>
        <v>0</v>
      </c>
      <c r="L1478" s="458">
        <f>Input!M1264</f>
        <v>3.7622963418383031</v>
      </c>
      <c r="M1478" s="23">
        <f>Input!N1264</f>
        <v>0</v>
      </c>
      <c r="N1478" s="23">
        <f>Input!O1264</f>
        <v>0</v>
      </c>
      <c r="O1478" s="23">
        <f>Input!P1264</f>
        <v>0</v>
      </c>
      <c r="P1478" s="23">
        <f>Input!Q1264</f>
        <v>0</v>
      </c>
      <c r="Q1478" s="23">
        <f>Input!R1264</f>
        <v>0</v>
      </c>
      <c r="R1478" s="23">
        <f>Input!S1264</f>
        <v>0</v>
      </c>
      <c r="S1478" s="23">
        <f>Input!T1264</f>
        <v>0</v>
      </c>
      <c r="T1478" s="23">
        <f>Input!U1264</f>
        <v>0</v>
      </c>
      <c r="U1478" s="23">
        <f>Input!V1264</f>
        <v>0</v>
      </c>
      <c r="V1478" s="23">
        <f>Input!W1264</f>
        <v>0</v>
      </c>
    </row>
    <row r="1479" spans="2:22">
      <c r="B1479" s="407" t="s">
        <v>548</v>
      </c>
      <c r="G1479" s="17" t="s">
        <v>176</v>
      </c>
      <c r="I1479" s="462">
        <f>Input!J499</f>
        <v>0</v>
      </c>
      <c r="J1479">
        <f>Input!K499*Output_FSL!$F$38</f>
        <v>0</v>
      </c>
      <c r="K1479">
        <f>Input!L499*Output_FSL!$F$38</f>
        <v>0</v>
      </c>
      <c r="L1479" s="23">
        <f>Input!M499*Output_FSL!$F$38</f>
        <v>2.5122963418383031</v>
      </c>
      <c r="M1479">
        <f>Input!N499*Output_FSL!$F$38</f>
        <v>2.5122963418383031</v>
      </c>
      <c r="N1479">
        <f>Input!O499*Output_FSL!$F$38</f>
        <v>0</v>
      </c>
      <c r="O1479">
        <f>Input!P499*Output_FSL!$F$38</f>
        <v>0</v>
      </c>
      <c r="P1479">
        <f>Input!Q499*Output_FSL!$F$38</f>
        <v>0</v>
      </c>
      <c r="Q1479">
        <f>Input!R499*Output_FSL!$F$38</f>
        <v>0</v>
      </c>
      <c r="R1479">
        <f>Input!S499*Output_FSL!$F$38</f>
        <v>0</v>
      </c>
      <c r="S1479">
        <f>Input!T499*Output_FSL!$F$38</f>
        <v>0</v>
      </c>
      <c r="T1479">
        <f>Input!U499*Output_FSL!$F$38</f>
        <v>0</v>
      </c>
      <c r="U1479">
        <f>Input!V499*Output_FSL!$F$38</f>
        <v>0</v>
      </c>
      <c r="V1479">
        <f>Input!W499*Output_FSL!$F$38</f>
        <v>0</v>
      </c>
    </row>
    <row r="1480" spans="2:22">
      <c r="B1480" s="407" t="s">
        <v>672</v>
      </c>
      <c r="G1480" s="17" t="s">
        <v>176</v>
      </c>
      <c r="I1480">
        <f>Input!J551</f>
        <v>0</v>
      </c>
      <c r="J1480">
        <f>Input!K551*Output_FSL!$F$37</f>
        <v>0</v>
      </c>
      <c r="K1480">
        <f>Input!L551*Output_FSL!$F$37</f>
        <v>0</v>
      </c>
      <c r="L1480" s="23">
        <f>Input!M551*Output_FSL!$F$37</f>
        <v>7.0245926836766062</v>
      </c>
      <c r="M1480">
        <f>Input!N551*Output_FSL!$F$37</f>
        <v>7</v>
      </c>
      <c r="N1480">
        <f>Input!O551*Output_FSL!$F$37</f>
        <v>0</v>
      </c>
      <c r="O1480">
        <f>Input!P551*Output_FSL!$F$37</f>
        <v>0</v>
      </c>
      <c r="P1480">
        <f>Input!Q551*Output_FSL!$F$37</f>
        <v>0</v>
      </c>
      <c r="Q1480">
        <f>Input!R551*Output_FSL!$F$37</f>
        <v>0</v>
      </c>
      <c r="R1480">
        <f>Input!S551*Output_FSL!$F$37</f>
        <v>0</v>
      </c>
      <c r="S1480">
        <f>Input!T551*Output_FSL!$F$37</f>
        <v>0</v>
      </c>
      <c r="T1480">
        <f>Input!U551*Output_FSL!$F$37</f>
        <v>0</v>
      </c>
      <c r="U1480">
        <f>Input!V551*Output_FSL!$F$37</f>
        <v>0</v>
      </c>
      <c r="V1480">
        <f>Input!W551*Output_FSL!$F$37</f>
        <v>0</v>
      </c>
    </row>
    <row r="1481" spans="2:22">
      <c r="B1481" s="407" t="s">
        <v>299</v>
      </c>
      <c r="G1481" s="17" t="s">
        <v>176</v>
      </c>
      <c r="I1481">
        <f>Input!J1190</f>
        <v>0</v>
      </c>
      <c r="J1481">
        <f>Input!K1190*Output_FSL!$F$40</f>
        <v>0</v>
      </c>
      <c r="K1481">
        <f>Input!L1190*Output_FSL!$F$40</f>
        <v>0</v>
      </c>
      <c r="L1481" s="23">
        <f>Input!M1190*Output_FSL!$F$40</f>
        <v>0</v>
      </c>
      <c r="M1481">
        <f>Input!N1190*Output_FSL!$F$40</f>
        <v>0</v>
      </c>
      <c r="N1481">
        <f>Input!O1190*Output_FSL!$F$40</f>
        <v>0</v>
      </c>
      <c r="O1481">
        <f>Input!P1190*Output_FSL!$F$40</f>
        <v>0</v>
      </c>
      <c r="P1481">
        <f>Input!Q1190*Output_FSL!$F$40</f>
        <v>0</v>
      </c>
      <c r="Q1481">
        <f>Input!R1190*Output_FSL!$F$40</f>
        <v>0</v>
      </c>
      <c r="R1481">
        <f>Input!S1190*Output_FSL!$F$40</f>
        <v>0</v>
      </c>
      <c r="S1481">
        <f>Input!T1190*Output_FSL!$F$40</f>
        <v>0</v>
      </c>
      <c r="T1481">
        <f>Input!U1190*Output_FSL!$F$40</f>
        <v>0</v>
      </c>
      <c r="U1481">
        <f>Input!V1190*Output_FSL!$F$40</f>
        <v>0</v>
      </c>
      <c r="V1481">
        <f>Input!W1190*Output_FSL!$F$40</f>
        <v>0</v>
      </c>
    </row>
    <row r="1482" spans="2:22">
      <c r="B1482" s="28" t="s">
        <v>316</v>
      </c>
      <c r="C1482" s="28"/>
      <c r="D1482" s="28"/>
      <c r="E1482" s="28"/>
      <c r="F1482" s="28"/>
      <c r="G1482" s="94" t="s">
        <v>176</v>
      </c>
      <c r="H1482" s="42">
        <f>SUM(I1482:V1482)</f>
        <v>56.445598202391928</v>
      </c>
      <c r="I1482" s="28">
        <f>SUM(I1475:I1481)</f>
        <v>12.2</v>
      </c>
      <c r="J1482" s="28">
        <f>SUM(J1474:J1481)</f>
        <v>7.7</v>
      </c>
      <c r="K1482" s="28">
        <f t="shared" ref="K1482:V1482" si="542">SUM(K1474:K1481)</f>
        <v>0.9</v>
      </c>
      <c r="L1482" s="459">
        <f t="shared" si="542"/>
        <v>25.80830186055363</v>
      </c>
      <c r="M1482" s="28">
        <f t="shared" si="542"/>
        <v>9.8372963418383037</v>
      </c>
      <c r="N1482" s="28">
        <f t="shared" si="542"/>
        <v>0</v>
      </c>
      <c r="O1482" s="28">
        <f t="shared" si="542"/>
        <v>0</v>
      </c>
      <c r="P1482" s="28">
        <f t="shared" si="542"/>
        <v>0</v>
      </c>
      <c r="Q1482" s="28">
        <f t="shared" si="542"/>
        <v>0</v>
      </c>
      <c r="R1482" s="28">
        <f t="shared" si="542"/>
        <v>0</v>
      </c>
      <c r="S1482" s="28">
        <f t="shared" si="542"/>
        <v>0</v>
      </c>
      <c r="T1482" s="28">
        <f t="shared" si="542"/>
        <v>0</v>
      </c>
      <c r="U1482" s="28">
        <f t="shared" si="542"/>
        <v>0</v>
      </c>
      <c r="V1482" s="28">
        <f t="shared" si="542"/>
        <v>0</v>
      </c>
    </row>
    <row r="1483" spans="2:22">
      <c r="G1483"/>
    </row>
    <row r="1484" spans="2:22">
      <c r="B1484" s="407" t="s">
        <v>316</v>
      </c>
      <c r="G1484" s="17" t="s">
        <v>315</v>
      </c>
      <c r="I1484">
        <f t="shared" ref="I1484:V1484" si="543">I1482*Million*USD_IDR/Billion</f>
        <v>198.43299999999999</v>
      </c>
      <c r="J1484" s="462">
        <f t="shared" si="543"/>
        <v>125.2405</v>
      </c>
      <c r="K1484">
        <f t="shared" si="543"/>
        <v>14.638500000000001</v>
      </c>
      <c r="L1484">
        <f t="shared" si="543"/>
        <v>419.77202976190478</v>
      </c>
      <c r="M1484">
        <f t="shared" si="543"/>
        <v>160.003625</v>
      </c>
      <c r="N1484">
        <f t="shared" si="543"/>
        <v>0</v>
      </c>
      <c r="O1484">
        <f t="shared" si="543"/>
        <v>0</v>
      </c>
      <c r="P1484">
        <f t="shared" si="543"/>
        <v>0</v>
      </c>
      <c r="Q1484">
        <f t="shared" si="543"/>
        <v>0</v>
      </c>
      <c r="R1484">
        <f t="shared" si="543"/>
        <v>0</v>
      </c>
      <c r="S1484">
        <f t="shared" si="543"/>
        <v>0</v>
      </c>
      <c r="T1484">
        <f t="shared" si="543"/>
        <v>0</v>
      </c>
      <c r="U1484">
        <f t="shared" si="543"/>
        <v>0</v>
      </c>
      <c r="V1484">
        <f t="shared" si="543"/>
        <v>0</v>
      </c>
    </row>
    <row r="1485" spans="2:22">
      <c r="G1485"/>
    </row>
    <row r="1486" spans="2:22">
      <c r="B1486" t="s">
        <v>195</v>
      </c>
      <c r="G1486"/>
      <c r="J1486">
        <f>I1489</f>
        <v>826.02231893299631</v>
      </c>
      <c r="K1486">
        <f t="shared" ref="K1486:V1486" si="544">J1489</f>
        <v>862.889756524061</v>
      </c>
      <c r="L1486">
        <f t="shared" si="544"/>
        <v>763.92857134205951</v>
      </c>
      <c r="M1486">
        <f t="shared" si="544"/>
        <v>1048.7327972008518</v>
      </c>
      <c r="N1486">
        <f t="shared" si="544"/>
        <v>1071.7950805136431</v>
      </c>
      <c r="O1486">
        <f t="shared" si="544"/>
        <v>927.59665045030715</v>
      </c>
      <c r="P1486">
        <f t="shared" si="544"/>
        <v>781.38948829332139</v>
      </c>
      <c r="Q1486">
        <f t="shared" si="544"/>
        <v>635.17341940081269</v>
      </c>
      <c r="R1486">
        <f t="shared" si="544"/>
        <v>488.94826563807067</v>
      </c>
      <c r="S1486">
        <f t="shared" si="544"/>
        <v>340.71384530769069</v>
      </c>
      <c r="T1486">
        <f t="shared" si="544"/>
        <v>192.46997307831995</v>
      </c>
      <c r="U1486">
        <f t="shared" si="544"/>
        <v>49.75430515007389</v>
      </c>
      <c r="V1486">
        <f t="shared" si="544"/>
        <v>-92.971196533882136</v>
      </c>
    </row>
    <row r="1487" spans="2:22">
      <c r="B1487" t="s">
        <v>58</v>
      </c>
      <c r="G1487"/>
      <c r="J1487">
        <f>J1484</f>
        <v>125.2405</v>
      </c>
      <c r="K1487">
        <f t="shared" ref="K1487:V1487" si="545">K1484</f>
        <v>14.638500000000001</v>
      </c>
      <c r="L1487">
        <f t="shared" si="545"/>
        <v>419.77202976190478</v>
      </c>
      <c r="M1487">
        <f t="shared" si="545"/>
        <v>160.003625</v>
      </c>
      <c r="N1487">
        <f t="shared" si="545"/>
        <v>0</v>
      </c>
      <c r="O1487">
        <f t="shared" si="545"/>
        <v>0</v>
      </c>
      <c r="P1487">
        <f t="shared" si="545"/>
        <v>0</v>
      </c>
      <c r="Q1487">
        <f t="shared" si="545"/>
        <v>0</v>
      </c>
      <c r="R1487">
        <f t="shared" si="545"/>
        <v>0</v>
      </c>
      <c r="S1487">
        <f t="shared" si="545"/>
        <v>0</v>
      </c>
      <c r="T1487">
        <f t="shared" si="545"/>
        <v>0</v>
      </c>
      <c r="U1487">
        <f t="shared" si="545"/>
        <v>0</v>
      </c>
      <c r="V1487">
        <f t="shared" si="545"/>
        <v>0</v>
      </c>
    </row>
    <row r="1488" spans="2:22">
      <c r="B1488" t="s">
        <v>317</v>
      </c>
      <c r="G1488"/>
      <c r="J1488">
        <f>Output_FSL!J51</f>
        <v>-88.373062408935311</v>
      </c>
      <c r="K1488">
        <f>Output_FSL!K51</f>
        <v>-113.59968518200156</v>
      </c>
      <c r="L1488">
        <f>Output_FSL!L51</f>
        <v>-134.96780390311255</v>
      </c>
      <c r="M1488">
        <f>Output_FSL!M51</f>
        <v>-136.94134168720862</v>
      </c>
      <c r="N1488">
        <f>Output_FSL!N51</f>
        <v>-144.19843006333596</v>
      </c>
      <c r="O1488">
        <f>Output_FSL!O51</f>
        <v>-146.20716215698582</v>
      </c>
      <c r="P1488">
        <f>Output_FSL!P51</f>
        <v>-146.2160688925087</v>
      </c>
      <c r="Q1488">
        <f>Output_FSL!Q51</f>
        <v>-146.225153762742</v>
      </c>
      <c r="R1488">
        <f>Output_FSL!R51</f>
        <v>-148.23442033038</v>
      </c>
      <c r="S1488">
        <f>Output_FSL!S51</f>
        <v>-148.24387222937074</v>
      </c>
      <c r="T1488">
        <f>Output_FSL!T51</f>
        <v>-142.71566792824606</v>
      </c>
      <c r="U1488">
        <f>Output_FSL!U51</f>
        <v>-142.72550168395603</v>
      </c>
      <c r="V1488">
        <f>Output_FSL!V51</f>
        <v>-142.7355321147802</v>
      </c>
    </row>
    <row r="1489" spans="2:22">
      <c r="B1489" s="28" t="s">
        <v>60</v>
      </c>
      <c r="C1489" s="28"/>
      <c r="D1489" s="28"/>
      <c r="E1489" s="28"/>
      <c r="F1489" s="28"/>
      <c r="G1489" s="28"/>
      <c r="H1489" s="28"/>
      <c r="I1489" s="28">
        <f>Output_FSL!I98</f>
        <v>826.02231893299631</v>
      </c>
      <c r="J1489" s="28">
        <f>SUM(J1486:J1488)</f>
        <v>862.889756524061</v>
      </c>
      <c r="K1489" s="28">
        <f t="shared" ref="K1489:V1489" si="546">SUM(K1486:K1488)</f>
        <v>763.92857134205951</v>
      </c>
      <c r="L1489" s="28">
        <f t="shared" si="546"/>
        <v>1048.7327972008518</v>
      </c>
      <c r="M1489" s="28">
        <f t="shared" si="546"/>
        <v>1071.7950805136431</v>
      </c>
      <c r="N1489" s="28">
        <f t="shared" si="546"/>
        <v>927.59665045030715</v>
      </c>
      <c r="O1489" s="28">
        <f t="shared" si="546"/>
        <v>781.38948829332139</v>
      </c>
      <c r="P1489" s="28">
        <f t="shared" si="546"/>
        <v>635.17341940081269</v>
      </c>
      <c r="Q1489" s="28">
        <f t="shared" si="546"/>
        <v>488.94826563807067</v>
      </c>
      <c r="R1489" s="28">
        <f t="shared" si="546"/>
        <v>340.71384530769069</v>
      </c>
      <c r="S1489" s="28">
        <f t="shared" si="546"/>
        <v>192.46997307831995</v>
      </c>
      <c r="T1489" s="28">
        <f t="shared" si="546"/>
        <v>49.75430515007389</v>
      </c>
      <c r="U1489" s="28">
        <f t="shared" si="546"/>
        <v>-92.971196533882136</v>
      </c>
      <c r="V1489" s="28">
        <f t="shared" si="546"/>
        <v>-235.70672864866233</v>
      </c>
    </row>
    <row r="1490" spans="2:22">
      <c r="G1490"/>
    </row>
    <row r="1491" spans="2:22" ht="24" thickBot="1">
      <c r="B1491" s="14" t="s">
        <v>319</v>
      </c>
      <c r="C1491" s="14"/>
      <c r="D1491" s="14"/>
      <c r="E1491" s="14"/>
      <c r="F1491" s="14"/>
      <c r="G1491" s="14"/>
      <c r="H1491" s="14"/>
      <c r="I1491" s="14"/>
      <c r="J1491" s="14" t="s">
        <v>313</v>
      </c>
      <c r="K1491" s="14"/>
      <c r="L1491" s="14"/>
      <c r="M1491" s="14"/>
      <c r="N1491" s="14"/>
      <c r="O1491" s="14"/>
      <c r="P1491" s="14"/>
      <c r="Q1491" s="14"/>
      <c r="R1491" s="14"/>
      <c r="S1491" s="14"/>
      <c r="T1491" s="14"/>
      <c r="U1491" s="14"/>
      <c r="V1491" s="14"/>
    </row>
    <row r="1492" spans="2:22">
      <c r="G1492"/>
    </row>
    <row r="1493" spans="2:22">
      <c r="B1493" s="407" t="s">
        <v>320</v>
      </c>
      <c r="G1493" s="17" t="s">
        <v>176</v>
      </c>
      <c r="J1493" s="57"/>
      <c r="K1493" s="57">
        <v>55</v>
      </c>
      <c r="L1493" s="57">
        <v>55</v>
      </c>
      <c r="M1493" s="57"/>
      <c r="N1493" s="57"/>
      <c r="O1493" s="57"/>
      <c r="P1493" s="57"/>
      <c r="Q1493" s="57"/>
      <c r="R1493" s="57"/>
      <c r="S1493" s="57"/>
      <c r="T1493" s="57"/>
      <c r="U1493" s="57"/>
      <c r="V1493" s="57"/>
    </row>
    <row r="1494" spans="2:22">
      <c r="B1494" s="407" t="s">
        <v>673</v>
      </c>
      <c r="F1494" s="231">
        <f>'Call Rights'!E59</f>
        <v>4</v>
      </c>
      <c r="G1494" s="17" t="s">
        <v>176</v>
      </c>
      <c r="J1494" s="98">
        <f>INDEX(J1495:J1498,$F$1494,0)</f>
        <v>0</v>
      </c>
      <c r="K1494" s="98">
        <f t="shared" ref="K1494:V1494" si="547">INDEX(K1495:K1498,$F$1494,0)</f>
        <v>0</v>
      </c>
      <c r="L1494" s="484">
        <f t="shared" si="547"/>
        <v>25.80830186055363</v>
      </c>
      <c r="M1494" s="98">
        <f t="shared" si="547"/>
        <v>9.8372963418383037</v>
      </c>
      <c r="N1494" s="98">
        <f t="shared" si="547"/>
        <v>0</v>
      </c>
      <c r="O1494" s="98">
        <f t="shared" si="547"/>
        <v>0</v>
      </c>
      <c r="P1494" s="98">
        <f t="shared" si="547"/>
        <v>0</v>
      </c>
      <c r="Q1494" s="98">
        <f t="shared" si="547"/>
        <v>0</v>
      </c>
      <c r="R1494" s="98">
        <f t="shared" si="547"/>
        <v>0</v>
      </c>
      <c r="S1494" s="98">
        <f t="shared" si="547"/>
        <v>0</v>
      </c>
      <c r="T1494" s="98">
        <f t="shared" si="547"/>
        <v>0</v>
      </c>
      <c r="U1494" s="98">
        <f t="shared" si="547"/>
        <v>0</v>
      </c>
      <c r="V1494" s="98">
        <f t="shared" si="547"/>
        <v>0</v>
      </c>
    </row>
    <row r="1495" spans="2:22">
      <c r="B1495" s="407" t="s">
        <v>172</v>
      </c>
      <c r="J1495" s="57"/>
      <c r="K1495" s="57">
        <v>25</v>
      </c>
      <c r="L1495" s="57"/>
      <c r="M1495" s="57"/>
      <c r="N1495" s="57"/>
      <c r="O1495" s="57"/>
      <c r="P1495" s="57"/>
      <c r="Q1495" s="57"/>
      <c r="R1495" s="57"/>
      <c r="S1495" s="57"/>
      <c r="T1495" s="57"/>
      <c r="U1495" s="57"/>
      <c r="V1495" s="57"/>
    </row>
    <row r="1496" spans="2:22">
      <c r="B1496" s="407" t="s">
        <v>88</v>
      </c>
      <c r="H1496" s="407" t="s">
        <v>674</v>
      </c>
      <c r="J1496" s="57"/>
      <c r="K1496" s="57">
        <v>25</v>
      </c>
      <c r="L1496" s="57"/>
      <c r="M1496" s="57"/>
      <c r="N1496" s="57">
        <f>85*(1+5.75%)</f>
        <v>89.887500000000003</v>
      </c>
      <c r="O1496" s="57"/>
      <c r="P1496" s="57"/>
      <c r="Q1496" s="57"/>
      <c r="R1496" s="57"/>
      <c r="S1496" s="57"/>
      <c r="T1496" s="57"/>
      <c r="U1496" s="57"/>
      <c r="V1496" s="57"/>
    </row>
    <row r="1497" spans="2:22">
      <c r="B1497" s="407" t="s">
        <v>89</v>
      </c>
      <c r="H1497" s="407"/>
      <c r="J1497" s="57"/>
      <c r="K1497" s="57"/>
      <c r="L1497" s="57">
        <v>55</v>
      </c>
      <c r="M1497" s="57">
        <v>55</v>
      </c>
      <c r="N1497" s="57"/>
      <c r="O1497" s="57"/>
      <c r="P1497" s="57"/>
      <c r="Q1497" s="57"/>
      <c r="R1497" s="57"/>
      <c r="S1497" s="57"/>
      <c r="T1497" s="57"/>
      <c r="U1497" s="57"/>
      <c r="V1497" s="57"/>
    </row>
    <row r="1498" spans="2:22">
      <c r="B1498" s="407" t="s">
        <v>827</v>
      </c>
      <c r="H1498" s="407"/>
      <c r="J1498" s="57"/>
      <c r="K1498" s="57"/>
      <c r="L1498" s="485">
        <f>SUM(Calculation_FSL!L1482)</f>
        <v>25.80830186055363</v>
      </c>
      <c r="M1498" s="57">
        <f>SUM(M1482:N1482)</f>
        <v>9.8372963418383037</v>
      </c>
      <c r="N1498" s="57"/>
      <c r="O1498" s="57"/>
      <c r="P1498" s="57"/>
      <c r="Q1498" s="57"/>
      <c r="R1498" s="57"/>
      <c r="S1498" s="57"/>
      <c r="T1498" s="57"/>
      <c r="U1498" s="57"/>
      <c r="V1498" s="57"/>
    </row>
    <row r="1499" spans="2:22">
      <c r="B1499" s="407"/>
      <c r="H1499" s="407"/>
    </row>
    <row r="1500" spans="2:22">
      <c r="B1500" s="407" t="s">
        <v>320</v>
      </c>
      <c r="G1500" s="17" t="s">
        <v>315</v>
      </c>
      <c r="J1500">
        <f>'Call Rights'!J48*Million*USD_IDR/Billion</f>
        <v>0</v>
      </c>
      <c r="K1500">
        <f>'Call Rights'!K48*Million*USD_IDR/Billion</f>
        <v>0</v>
      </c>
      <c r="L1500">
        <f>'Call Rights'!L48*Million*USD_IDR/Billion</f>
        <v>419.77202976190478</v>
      </c>
      <c r="M1500">
        <f>'Call Rights'!M48*Million*USD_IDR/Billion</f>
        <v>160.003625</v>
      </c>
      <c r="N1500">
        <f>'Call Rights'!N48*Million*USD_IDR/Billion</f>
        <v>0</v>
      </c>
      <c r="O1500">
        <f>'Call Rights'!O48*Million*USD_IDR/Billion</f>
        <v>0</v>
      </c>
      <c r="P1500">
        <f>'Call Rights'!P48*Million*USD_IDR/Billion</f>
        <v>0</v>
      </c>
      <c r="Q1500">
        <f>'Call Rights'!Q48*Million*USD_IDR/Billion</f>
        <v>0</v>
      </c>
      <c r="R1500">
        <f>'Call Rights'!R48*Million*USD_IDR/Billion</f>
        <v>0</v>
      </c>
      <c r="S1500">
        <f>'Call Rights'!S48*Million*USD_IDR/Billion</f>
        <v>0</v>
      </c>
      <c r="T1500">
        <f>'Call Rights'!T48*Million*USD_IDR/Billion</f>
        <v>0</v>
      </c>
      <c r="U1500">
        <f>'Call Rights'!U48*Million*USD_IDR/Billion</f>
        <v>0</v>
      </c>
      <c r="V1500">
        <f>'Call Rights'!V48*Million*USD_IDR/Billion</f>
        <v>0</v>
      </c>
    </row>
    <row r="1501" spans="2:22">
      <c r="G1501"/>
    </row>
    <row r="1502" spans="2:22">
      <c r="B1502" s="407" t="s">
        <v>321</v>
      </c>
      <c r="G1502" s="17" t="s">
        <v>176</v>
      </c>
      <c r="J1502" s="57"/>
      <c r="K1502" s="57"/>
      <c r="L1502" s="57"/>
      <c r="M1502" s="57"/>
      <c r="N1502" s="57"/>
      <c r="O1502" s="57">
        <v>20</v>
      </c>
      <c r="P1502" s="57"/>
      <c r="Q1502" s="57">
        <v>20</v>
      </c>
      <c r="R1502" s="57"/>
      <c r="S1502" s="57"/>
      <c r="T1502" s="57"/>
      <c r="U1502" s="57"/>
      <c r="V1502" s="57"/>
    </row>
    <row r="1503" spans="2:22">
      <c r="G1503"/>
    </row>
    <row r="1504" spans="2:22">
      <c r="B1504" s="2" t="s">
        <v>322</v>
      </c>
      <c r="G1504"/>
    </row>
    <row r="1505" spans="2:22">
      <c r="B1505" s="407" t="s">
        <v>57</v>
      </c>
      <c r="G1505"/>
      <c r="J1505">
        <f>I1507</f>
        <v>677.73059999999998</v>
      </c>
      <c r="K1505">
        <f t="shared" ref="K1505:V1505" si="548">J1507</f>
        <v>677.73059999999998</v>
      </c>
      <c r="L1505">
        <f t="shared" si="548"/>
        <v>677.73059999999998</v>
      </c>
      <c r="M1505">
        <f t="shared" si="548"/>
        <v>1097.5026297619047</v>
      </c>
      <c r="N1505">
        <f t="shared" si="548"/>
        <v>1257.5062547619048</v>
      </c>
      <c r="O1505">
        <f t="shared" si="548"/>
        <v>1257.5062547619048</v>
      </c>
      <c r="P1505">
        <f t="shared" si="548"/>
        <v>1257.5062547619048</v>
      </c>
      <c r="Q1505">
        <f t="shared" si="548"/>
        <v>1257.5062547619048</v>
      </c>
      <c r="R1505">
        <f t="shared" si="548"/>
        <v>1257.5062547619048</v>
      </c>
      <c r="S1505">
        <f t="shared" si="548"/>
        <v>1257.5062547619048</v>
      </c>
      <c r="T1505">
        <f t="shared" si="548"/>
        <v>1257.5062547619048</v>
      </c>
      <c r="U1505">
        <f t="shared" si="548"/>
        <v>1257.5062547619048</v>
      </c>
      <c r="V1505">
        <f t="shared" si="548"/>
        <v>1257.5062547619048</v>
      </c>
    </row>
    <row r="1506" spans="2:22">
      <c r="B1506" s="407" t="s">
        <v>58</v>
      </c>
      <c r="G1506"/>
      <c r="J1506">
        <f>J1500</f>
        <v>0</v>
      </c>
      <c r="K1506">
        <f t="shared" ref="K1506:V1506" si="549">K1500</f>
        <v>0</v>
      </c>
      <c r="L1506">
        <f t="shared" si="549"/>
        <v>419.77202976190478</v>
      </c>
      <c r="M1506">
        <f t="shared" si="549"/>
        <v>160.003625</v>
      </c>
      <c r="N1506">
        <f t="shared" si="549"/>
        <v>0</v>
      </c>
      <c r="O1506">
        <f t="shared" si="549"/>
        <v>0</v>
      </c>
      <c r="P1506">
        <f t="shared" si="549"/>
        <v>0</v>
      </c>
      <c r="Q1506">
        <f t="shared" si="549"/>
        <v>0</v>
      </c>
      <c r="R1506">
        <f t="shared" si="549"/>
        <v>0</v>
      </c>
      <c r="S1506">
        <f t="shared" si="549"/>
        <v>0</v>
      </c>
      <c r="T1506">
        <f t="shared" si="549"/>
        <v>0</v>
      </c>
      <c r="U1506">
        <f t="shared" si="549"/>
        <v>0</v>
      </c>
      <c r="V1506">
        <f t="shared" si="549"/>
        <v>0</v>
      </c>
    </row>
    <row r="1507" spans="2:22">
      <c r="B1507" s="407" t="s">
        <v>60</v>
      </c>
      <c r="G1507"/>
      <c r="I1507">
        <f>Output_FSL!I109</f>
        <v>677.73059999999998</v>
      </c>
      <c r="J1507">
        <f>SUM(J1505:J1506)</f>
        <v>677.73059999999998</v>
      </c>
      <c r="K1507">
        <f t="shared" ref="K1507:V1507" si="550">SUM(K1505:K1506)</f>
        <v>677.73059999999998</v>
      </c>
      <c r="L1507">
        <f t="shared" si="550"/>
        <v>1097.5026297619047</v>
      </c>
      <c r="M1507">
        <f t="shared" si="550"/>
        <v>1257.5062547619048</v>
      </c>
      <c r="N1507">
        <f t="shared" si="550"/>
        <v>1257.5062547619048</v>
      </c>
      <c r="O1507">
        <f t="shared" si="550"/>
        <v>1257.5062547619048</v>
      </c>
      <c r="P1507">
        <f t="shared" si="550"/>
        <v>1257.5062547619048</v>
      </c>
      <c r="Q1507">
        <f t="shared" si="550"/>
        <v>1257.5062547619048</v>
      </c>
      <c r="R1507">
        <f t="shared" si="550"/>
        <v>1257.5062547619048</v>
      </c>
      <c r="S1507">
        <f t="shared" si="550"/>
        <v>1257.5062547619048</v>
      </c>
      <c r="T1507">
        <f t="shared" si="550"/>
        <v>1257.5062547619048</v>
      </c>
      <c r="U1507">
        <f t="shared" si="550"/>
        <v>1257.5062547619048</v>
      </c>
      <c r="V1507">
        <f t="shared" si="550"/>
        <v>1257.5062547619048</v>
      </c>
    </row>
    <row r="1508" spans="2:22">
      <c r="G1508"/>
    </row>
    <row r="1509" spans="2:22" ht="24" thickBot="1">
      <c r="B1509" s="14" t="s">
        <v>323</v>
      </c>
      <c r="C1509" s="14"/>
      <c r="D1509" s="14"/>
      <c r="E1509" s="14"/>
      <c r="F1509" s="14"/>
      <c r="G1509" s="14"/>
      <c r="H1509" s="14"/>
      <c r="I1509" s="14"/>
      <c r="J1509" s="14" t="s">
        <v>313</v>
      </c>
      <c r="K1509" s="14"/>
      <c r="L1509" s="14"/>
      <c r="M1509" s="14"/>
      <c r="N1509" s="14"/>
      <c r="O1509" s="14"/>
      <c r="P1509" s="14"/>
      <c r="Q1509" s="14"/>
      <c r="R1509" s="14"/>
      <c r="S1509" s="14"/>
      <c r="T1509" s="14"/>
      <c r="U1509" s="14"/>
      <c r="V1509" s="14"/>
    </row>
    <row r="1510" spans="2:22">
      <c r="G1510"/>
    </row>
    <row r="1511" spans="2:22">
      <c r="B1511" s="407" t="s">
        <v>320</v>
      </c>
      <c r="G1511" s="17" t="s">
        <v>176</v>
      </c>
      <c r="J1511" s="57"/>
      <c r="K1511" s="57">
        <v>12</v>
      </c>
      <c r="L1511" s="57"/>
      <c r="M1511" s="57"/>
      <c r="N1511" s="57"/>
      <c r="O1511" s="57"/>
      <c r="P1511" s="57"/>
      <c r="Q1511" s="57"/>
      <c r="R1511" s="57"/>
      <c r="S1511" s="57"/>
      <c r="T1511" s="57"/>
      <c r="U1511" s="57"/>
      <c r="V1511" s="57"/>
    </row>
    <row r="1512" spans="2:22">
      <c r="G1512"/>
    </row>
    <row r="1513" spans="2:22">
      <c r="B1513" s="407" t="s">
        <v>320</v>
      </c>
      <c r="G1513" s="17" t="s">
        <v>315</v>
      </c>
      <c r="J1513">
        <f t="shared" ref="J1513:V1513" si="551">J1511*Million*USD_IDR/Billion</f>
        <v>0</v>
      </c>
      <c r="K1513">
        <f t="shared" si="551"/>
        <v>195.18</v>
      </c>
      <c r="L1513">
        <f t="shared" si="551"/>
        <v>0</v>
      </c>
      <c r="M1513">
        <f t="shared" si="551"/>
        <v>0</v>
      </c>
      <c r="N1513">
        <f t="shared" si="551"/>
        <v>0</v>
      </c>
      <c r="O1513">
        <f t="shared" si="551"/>
        <v>0</v>
      </c>
      <c r="P1513">
        <f t="shared" si="551"/>
        <v>0</v>
      </c>
      <c r="Q1513">
        <f t="shared" si="551"/>
        <v>0</v>
      </c>
      <c r="R1513">
        <f t="shared" si="551"/>
        <v>0</v>
      </c>
      <c r="S1513">
        <f t="shared" si="551"/>
        <v>0</v>
      </c>
      <c r="T1513">
        <f t="shared" si="551"/>
        <v>0</v>
      </c>
      <c r="U1513">
        <f t="shared" si="551"/>
        <v>0</v>
      </c>
      <c r="V1513">
        <f t="shared" si="551"/>
        <v>0</v>
      </c>
    </row>
    <row r="1514" spans="2:22">
      <c r="G1514"/>
    </row>
    <row r="1515" spans="2:22">
      <c r="B1515" s="407" t="s">
        <v>57</v>
      </c>
      <c r="G1515"/>
      <c r="J1515">
        <f>I1517</f>
        <v>224.51846524876009</v>
      </c>
      <c r="K1515">
        <f>J1517</f>
        <v>195.18</v>
      </c>
      <c r="L1515">
        <f t="shared" ref="L1515:V1515" si="552">K1517</f>
        <v>0</v>
      </c>
      <c r="M1515">
        <f t="shared" si="552"/>
        <v>0</v>
      </c>
      <c r="N1515">
        <f t="shared" si="552"/>
        <v>0</v>
      </c>
      <c r="O1515">
        <f t="shared" si="552"/>
        <v>0</v>
      </c>
      <c r="P1515">
        <f t="shared" si="552"/>
        <v>0</v>
      </c>
      <c r="Q1515">
        <f t="shared" si="552"/>
        <v>0</v>
      </c>
      <c r="R1515">
        <f t="shared" si="552"/>
        <v>0</v>
      </c>
      <c r="S1515">
        <f t="shared" si="552"/>
        <v>0</v>
      </c>
      <c r="T1515">
        <f t="shared" si="552"/>
        <v>0</v>
      </c>
      <c r="U1515">
        <f t="shared" si="552"/>
        <v>0</v>
      </c>
      <c r="V1515">
        <f t="shared" si="552"/>
        <v>0</v>
      </c>
    </row>
    <row r="1516" spans="2:22">
      <c r="B1516" s="407" t="s">
        <v>67</v>
      </c>
      <c r="G1516"/>
      <c r="J1516" s="57">
        <f>-(J1515-K1513)</f>
        <v>-29.338465248760087</v>
      </c>
      <c r="K1516">
        <f>-K1513</f>
        <v>-195.18</v>
      </c>
      <c r="L1516">
        <f t="shared" ref="L1516:V1516" si="553">-L1513</f>
        <v>0</v>
      </c>
      <c r="M1516">
        <f t="shared" si="553"/>
        <v>0</v>
      </c>
      <c r="N1516">
        <f t="shared" si="553"/>
        <v>0</v>
      </c>
      <c r="O1516">
        <f t="shared" si="553"/>
        <v>0</v>
      </c>
      <c r="P1516">
        <f t="shared" si="553"/>
        <v>0</v>
      </c>
      <c r="Q1516">
        <f t="shared" si="553"/>
        <v>0</v>
      </c>
      <c r="R1516">
        <f t="shared" si="553"/>
        <v>0</v>
      </c>
      <c r="S1516">
        <f t="shared" si="553"/>
        <v>0</v>
      </c>
      <c r="T1516">
        <f t="shared" si="553"/>
        <v>0</v>
      </c>
      <c r="U1516">
        <f t="shared" si="553"/>
        <v>0</v>
      </c>
      <c r="V1516">
        <f t="shared" si="553"/>
        <v>0</v>
      </c>
    </row>
    <row r="1517" spans="2:22">
      <c r="B1517" s="407" t="s">
        <v>60</v>
      </c>
      <c r="G1517"/>
      <c r="I1517">
        <f>Output_FSL!I104</f>
        <v>224.51846524876009</v>
      </c>
      <c r="J1517">
        <f>SUM(J1515:J1516)</f>
        <v>195.18</v>
      </c>
      <c r="K1517">
        <f>SUM(K1515:K1516)</f>
        <v>0</v>
      </c>
      <c r="L1517">
        <f t="shared" ref="L1517:V1517" si="554">SUM(L1515:L1516)</f>
        <v>0</v>
      </c>
      <c r="M1517">
        <f t="shared" si="554"/>
        <v>0</v>
      </c>
      <c r="N1517">
        <f t="shared" si="554"/>
        <v>0</v>
      </c>
      <c r="O1517">
        <f t="shared" si="554"/>
        <v>0</v>
      </c>
      <c r="P1517">
        <f t="shared" si="554"/>
        <v>0</v>
      </c>
      <c r="Q1517">
        <f t="shared" si="554"/>
        <v>0</v>
      </c>
      <c r="R1517">
        <f t="shared" si="554"/>
        <v>0</v>
      </c>
      <c r="S1517">
        <f t="shared" si="554"/>
        <v>0</v>
      </c>
      <c r="T1517">
        <f t="shared" si="554"/>
        <v>0</v>
      </c>
      <c r="U1517">
        <f t="shared" si="554"/>
        <v>0</v>
      </c>
      <c r="V1517">
        <f t="shared" si="554"/>
        <v>0</v>
      </c>
    </row>
    <row r="1518" spans="2:22">
      <c r="G1518"/>
    </row>
    <row r="1519" spans="2:22" ht="24" thickBot="1">
      <c r="B1519" s="14" t="s">
        <v>39</v>
      </c>
      <c r="C1519" s="14"/>
      <c r="D1519" s="14"/>
      <c r="E1519" s="14"/>
      <c r="F1519" s="14"/>
      <c r="G1519" s="14"/>
      <c r="H1519" s="14"/>
      <c r="I1519" s="14"/>
      <c r="J1519" s="14" t="s">
        <v>313</v>
      </c>
      <c r="K1519" s="14"/>
      <c r="L1519" s="14"/>
      <c r="M1519" s="14"/>
      <c r="N1519" s="14"/>
      <c r="O1519" s="14"/>
      <c r="P1519" s="14"/>
      <c r="Q1519" s="14"/>
      <c r="R1519" s="14"/>
      <c r="S1519" s="14"/>
      <c r="T1519" s="14"/>
      <c r="U1519" s="14"/>
      <c r="V1519" s="14"/>
    </row>
    <row r="1520" spans="2:22">
      <c r="G1520"/>
    </row>
    <row r="1521" spans="2:22">
      <c r="B1521" s="407" t="s">
        <v>324</v>
      </c>
      <c r="G1521" s="17" t="s">
        <v>315</v>
      </c>
      <c r="J1521">
        <f>J1484</f>
        <v>125.2405</v>
      </c>
      <c r="K1521">
        <f t="shared" ref="K1521:V1521" si="555">K1484</f>
        <v>14.638500000000001</v>
      </c>
      <c r="L1521">
        <f t="shared" si="555"/>
        <v>419.77202976190478</v>
      </c>
      <c r="M1521">
        <f t="shared" si="555"/>
        <v>160.003625</v>
      </c>
      <c r="N1521">
        <f t="shared" si="555"/>
        <v>0</v>
      </c>
      <c r="O1521">
        <f t="shared" si="555"/>
        <v>0</v>
      </c>
      <c r="P1521">
        <f t="shared" si="555"/>
        <v>0</v>
      </c>
      <c r="Q1521">
        <f t="shared" si="555"/>
        <v>0</v>
      </c>
      <c r="R1521">
        <f t="shared" si="555"/>
        <v>0</v>
      </c>
      <c r="S1521">
        <f t="shared" si="555"/>
        <v>0</v>
      </c>
      <c r="T1521">
        <f t="shared" si="555"/>
        <v>0</v>
      </c>
      <c r="U1521">
        <f t="shared" si="555"/>
        <v>0</v>
      </c>
      <c r="V1521">
        <f t="shared" si="555"/>
        <v>0</v>
      </c>
    </row>
    <row r="1523" spans="2:22">
      <c r="B1523" s="407" t="s">
        <v>48</v>
      </c>
      <c r="F1523" s="39">
        <v>1</v>
      </c>
      <c r="G1523" s="17" t="s">
        <v>325</v>
      </c>
      <c r="J1523">
        <f>J1521*$F$1523</f>
        <v>125.2405</v>
      </c>
      <c r="K1523">
        <f t="shared" ref="K1523:V1523" si="556">K1521*$F$1523</f>
        <v>14.638500000000001</v>
      </c>
      <c r="L1523">
        <f t="shared" si="556"/>
        <v>419.77202976190478</v>
      </c>
      <c r="M1523">
        <f t="shared" si="556"/>
        <v>160.003625</v>
      </c>
      <c r="N1523">
        <f t="shared" si="556"/>
        <v>0</v>
      </c>
      <c r="O1523">
        <f t="shared" si="556"/>
        <v>0</v>
      </c>
      <c r="P1523">
        <f t="shared" si="556"/>
        <v>0</v>
      </c>
      <c r="Q1523">
        <f t="shared" si="556"/>
        <v>0</v>
      </c>
      <c r="R1523">
        <f t="shared" si="556"/>
        <v>0</v>
      </c>
      <c r="S1523">
        <f t="shared" si="556"/>
        <v>0</v>
      </c>
      <c r="T1523">
        <f t="shared" si="556"/>
        <v>0</v>
      </c>
      <c r="U1523">
        <f t="shared" si="556"/>
        <v>0</v>
      </c>
      <c r="V1523">
        <f t="shared" si="556"/>
        <v>0</v>
      </c>
    </row>
    <row r="1524" spans="2:22">
      <c r="B1524" s="407" t="s">
        <v>47</v>
      </c>
      <c r="F1524">
        <f>100%-F1523</f>
        <v>0</v>
      </c>
      <c r="G1524" s="17" t="s">
        <v>325</v>
      </c>
      <c r="J1524">
        <f>J1521*$F$1524</f>
        <v>0</v>
      </c>
      <c r="K1524">
        <f t="shared" ref="K1524:V1524" si="557">K1521*$F$1524</f>
        <v>0</v>
      </c>
      <c r="L1524">
        <f t="shared" si="557"/>
        <v>0</v>
      </c>
      <c r="M1524">
        <f t="shared" si="557"/>
        <v>0</v>
      </c>
      <c r="N1524">
        <f t="shared" si="557"/>
        <v>0</v>
      </c>
      <c r="O1524">
        <f t="shared" si="557"/>
        <v>0</v>
      </c>
      <c r="P1524">
        <f t="shared" si="557"/>
        <v>0</v>
      </c>
      <c r="Q1524">
        <f t="shared" si="557"/>
        <v>0</v>
      </c>
      <c r="R1524">
        <f t="shared" si="557"/>
        <v>0</v>
      </c>
      <c r="S1524">
        <f t="shared" si="557"/>
        <v>0</v>
      </c>
      <c r="T1524">
        <f t="shared" si="557"/>
        <v>0</v>
      </c>
      <c r="U1524">
        <f t="shared" si="557"/>
        <v>0</v>
      </c>
      <c r="V1524">
        <f t="shared" si="557"/>
        <v>0</v>
      </c>
    </row>
    <row r="1525" spans="2:22">
      <c r="B1525" s="28" t="s">
        <v>326</v>
      </c>
      <c r="C1525" s="28"/>
      <c r="D1525" s="28"/>
      <c r="E1525" s="28"/>
      <c r="F1525" s="28"/>
      <c r="G1525" s="28"/>
      <c r="H1525" s="28"/>
      <c r="I1525" s="28"/>
      <c r="J1525" s="28">
        <f>SUM(J1523:J1524)</f>
        <v>125.2405</v>
      </c>
      <c r="K1525" s="28">
        <f t="shared" ref="K1525:V1525" si="558">SUM(K1523:K1524)</f>
        <v>14.638500000000001</v>
      </c>
      <c r="L1525" s="28">
        <f t="shared" si="558"/>
        <v>419.77202976190478</v>
      </c>
      <c r="M1525" s="28">
        <f t="shared" si="558"/>
        <v>160.003625</v>
      </c>
      <c r="N1525" s="28">
        <f t="shared" si="558"/>
        <v>0</v>
      </c>
      <c r="O1525" s="28">
        <f t="shared" si="558"/>
        <v>0</v>
      </c>
      <c r="P1525" s="28">
        <f t="shared" si="558"/>
        <v>0</v>
      </c>
      <c r="Q1525" s="28">
        <f t="shared" si="558"/>
        <v>0</v>
      </c>
      <c r="R1525" s="28">
        <f t="shared" si="558"/>
        <v>0</v>
      </c>
      <c r="S1525" s="28">
        <f t="shared" si="558"/>
        <v>0</v>
      </c>
      <c r="T1525" s="28">
        <f t="shared" si="558"/>
        <v>0</v>
      </c>
      <c r="U1525" s="28">
        <f t="shared" si="558"/>
        <v>0</v>
      </c>
      <c r="V1525" s="28">
        <f t="shared" si="558"/>
        <v>0</v>
      </c>
    </row>
    <row r="1527" spans="2:22" ht="15.75">
      <c r="B1527" s="15" t="s">
        <v>327</v>
      </c>
      <c r="G1527"/>
    </row>
    <row r="1528" spans="2:22">
      <c r="G1528"/>
    </row>
    <row r="1529" spans="2:22">
      <c r="B1529" t="s">
        <v>328</v>
      </c>
      <c r="G1529"/>
      <c r="J1529">
        <f>Output_FSL!J87</f>
        <v>60.638905050279995</v>
      </c>
      <c r="K1529">
        <f>Output_FSL!K87</f>
        <v>31.366562544943093</v>
      </c>
      <c r="L1529">
        <f>Output_FSL!L87</f>
        <v>3</v>
      </c>
      <c r="M1529">
        <f>Output_FSL!M87</f>
        <v>244.09774259633423</v>
      </c>
      <c r="N1529">
        <f>Output_FSL!N87</f>
        <v>542.02794862989776</v>
      </c>
      <c r="O1529">
        <f>Output_FSL!O87</f>
        <v>877.01778754869122</v>
      </c>
      <c r="P1529">
        <f>Output_FSL!P87</f>
        <v>1244.2405121657516</v>
      </c>
      <c r="Q1529">
        <f>Output_FSL!Q87</f>
        <v>1628.385465591248</v>
      </c>
      <c r="R1529">
        <f>Output_FSL!R87</f>
        <v>2033.3280319894423</v>
      </c>
      <c r="S1529">
        <f>Output_FSL!S87</f>
        <v>2457.9696194316007</v>
      </c>
      <c r="T1529">
        <f>Output_FSL!T87</f>
        <v>2905.4086267547709</v>
      </c>
      <c r="U1529">
        <f>Output_FSL!U87</f>
        <v>3367.3742002924587</v>
      </c>
      <c r="V1529">
        <f>Output_FSL!V87</f>
        <v>3829.7885442290199</v>
      </c>
    </row>
    <row r="1530" spans="2:22">
      <c r="B1530" t="s">
        <v>329</v>
      </c>
      <c r="G1530"/>
      <c r="J1530">
        <f>SUM(Output_FSL!J73,Output_FSL!J78,Output_FSL!J81:J82)</f>
        <v>-22.939639976514684</v>
      </c>
      <c r="K1530">
        <f>SUM(Output_FSL!K73,Output_FSL!K78,Output_FSL!K81:K82)</f>
        <v>-11.348337336582574</v>
      </c>
      <c r="L1530">
        <f>SUM(Output_FSL!L73,Output_FSL!L78,Output_FSL!L81:L82)</f>
        <v>288.09603083799487</v>
      </c>
      <c r="M1530">
        <f>SUM(Output_FSL!M73,Output_FSL!M78,Output_FSL!M81:M82)</f>
        <v>364.23180474175592</v>
      </c>
      <c r="N1530">
        <f>SUM(Output_FSL!N73,Output_FSL!N78,Output_FSL!N81:N82)</f>
        <v>410.84243126471392</v>
      </c>
      <c r="O1530">
        <f>SUM(Output_FSL!O73,Output_FSL!O78,Output_FSL!O81:O82)</f>
        <v>455.21438751920954</v>
      </c>
      <c r="P1530">
        <f>SUM(Output_FSL!P73,Output_FSL!P78,Output_FSL!P81:P82)</f>
        <v>476.92924567224429</v>
      </c>
      <c r="Q1530">
        <f>SUM(Output_FSL!Q73,Output_FSL!Q78,Output_FSL!Q81:Q82)</f>
        <v>507.51530223378001</v>
      </c>
      <c r="R1530">
        <f>SUM(Output_FSL!R73,Output_FSL!R78,Output_FSL!R81:R82)</f>
        <v>532.75456870461926</v>
      </c>
      <c r="S1530">
        <f>SUM(Output_FSL!S73,Output_FSL!S78,Output_FSL!S81:S82)</f>
        <v>566.29306678443561</v>
      </c>
      <c r="T1530">
        <f>SUM(Output_FSL!T73,Output_FSL!T78,Output_FSL!T81:T82)</f>
        <v>586.8595200429063</v>
      </c>
      <c r="U1530">
        <f>SUM(Output_FSL!U73,Output_FSL!U78,Output_FSL!U81:U82)</f>
        <v>585.92038735596964</v>
      </c>
      <c r="V1530">
        <f>SUM(Output_FSL!V73,Output_FSL!V78,Output_FSL!V81:V82)</f>
        <v>600.29516996690575</v>
      </c>
    </row>
    <row r="1531" spans="2:22">
      <c r="B1531" t="s">
        <v>330</v>
      </c>
      <c r="F1531" s="95"/>
      <c r="G1531"/>
      <c r="J1531">
        <v>-3</v>
      </c>
      <c r="K1531">
        <v>-3</v>
      </c>
      <c r="L1531">
        <v>-3</v>
      </c>
      <c r="M1531">
        <v>-3</v>
      </c>
      <c r="N1531">
        <v>-3</v>
      </c>
      <c r="O1531">
        <v>-3</v>
      </c>
      <c r="P1531">
        <v>-3</v>
      </c>
      <c r="Q1531">
        <v>-3</v>
      </c>
      <c r="R1531">
        <v>-3</v>
      </c>
      <c r="S1531">
        <v>-3</v>
      </c>
      <c r="T1531">
        <v>-3</v>
      </c>
      <c r="U1531">
        <v>-3</v>
      </c>
      <c r="V1531">
        <v>-3</v>
      </c>
    </row>
    <row r="1532" spans="2:22">
      <c r="B1532" s="28" t="s">
        <v>331</v>
      </c>
      <c r="C1532" s="28"/>
      <c r="D1532" s="28"/>
      <c r="E1532" s="28"/>
      <c r="F1532" s="28"/>
      <c r="G1532" s="28"/>
      <c r="H1532" s="28"/>
      <c r="I1532" s="28"/>
      <c r="J1532" s="28">
        <f>MAX(SUM(J1529:J1531),0)</f>
        <v>34.699265073765311</v>
      </c>
      <c r="K1532" s="28">
        <f t="shared" ref="K1532:V1532" si="559">MAX(SUM(K1529:K1531),0)</f>
        <v>17.018225208360519</v>
      </c>
      <c r="L1532" s="459">
        <f t="shared" si="559"/>
        <v>288.09603083799487</v>
      </c>
      <c r="M1532" s="28">
        <f t="shared" si="559"/>
        <v>605.32954733809015</v>
      </c>
      <c r="N1532" s="28">
        <f t="shared" si="559"/>
        <v>949.87037989461169</v>
      </c>
      <c r="O1532" s="28">
        <f t="shared" si="559"/>
        <v>1329.2321750679007</v>
      </c>
      <c r="P1532" s="28">
        <f t="shared" si="559"/>
        <v>1718.1697578379958</v>
      </c>
      <c r="Q1532" s="28">
        <f t="shared" si="559"/>
        <v>2132.9007678250282</v>
      </c>
      <c r="R1532" s="28">
        <f t="shared" si="559"/>
        <v>2563.0826006940615</v>
      </c>
      <c r="S1532" s="28">
        <f t="shared" si="559"/>
        <v>3021.2626862160364</v>
      </c>
      <c r="T1532" s="28">
        <f t="shared" si="559"/>
        <v>3489.2681467976772</v>
      </c>
      <c r="U1532" s="28">
        <f t="shared" si="559"/>
        <v>3950.2945876484282</v>
      </c>
      <c r="V1532" s="28">
        <f t="shared" si="559"/>
        <v>4427.0837141959255</v>
      </c>
    </row>
    <row r="1533" spans="2:22">
      <c r="G1533"/>
      <c r="K1533" s="203">
        <f>K1532/USD_IDR*Thousands</f>
        <v>1.0463095732161403</v>
      </c>
    </row>
    <row r="1534" spans="2:22">
      <c r="G1534"/>
    </row>
    <row r="1535" spans="2:22" ht="15.75">
      <c r="B1535" s="15" t="s">
        <v>332</v>
      </c>
      <c r="G1535"/>
    </row>
    <row r="1536" spans="2:22">
      <c r="F1536" s="9">
        <v>2023</v>
      </c>
      <c r="G1536"/>
    </row>
    <row r="1537" spans="2:22">
      <c r="B1537" t="s">
        <v>322</v>
      </c>
      <c r="F1537" s="29">
        <f>18*Million*USD_IDR/Billion</f>
        <v>292.77</v>
      </c>
      <c r="G1537" s="96">
        <v>1</v>
      </c>
    </row>
    <row r="1538" spans="2:22">
      <c r="B1538" t="s">
        <v>333</v>
      </c>
      <c r="F1538" s="35">
        <v>0.2</v>
      </c>
      <c r="G1538"/>
      <c r="J1538">
        <f t="shared" ref="J1538:V1538" si="560">$F$1537*$F$1538*J12</f>
        <v>58.554000000000002</v>
      </c>
      <c r="K1538">
        <f t="shared" si="560"/>
        <v>58.554000000000002</v>
      </c>
      <c r="L1538">
        <f t="shared" si="560"/>
        <v>58.554000000000002</v>
      </c>
      <c r="M1538">
        <f t="shared" si="560"/>
        <v>58.554000000000002</v>
      </c>
      <c r="N1538">
        <f t="shared" si="560"/>
        <v>58.554000000000002</v>
      </c>
      <c r="O1538">
        <f t="shared" si="560"/>
        <v>58.554000000000002</v>
      </c>
      <c r="P1538">
        <f t="shared" si="560"/>
        <v>58.554000000000002</v>
      </c>
      <c r="Q1538">
        <f t="shared" si="560"/>
        <v>58.554000000000002</v>
      </c>
      <c r="R1538">
        <f t="shared" si="560"/>
        <v>58.554000000000002</v>
      </c>
      <c r="S1538">
        <f t="shared" si="560"/>
        <v>58.554000000000002</v>
      </c>
      <c r="T1538">
        <f t="shared" si="560"/>
        <v>58.554000000000002</v>
      </c>
      <c r="U1538">
        <f t="shared" si="560"/>
        <v>58.554000000000002</v>
      </c>
      <c r="V1538">
        <f t="shared" si="560"/>
        <v>58.554000000000002</v>
      </c>
    </row>
    <row r="1539" spans="2:22">
      <c r="G1539"/>
    </row>
    <row r="1540" spans="2:22">
      <c r="B1540" t="s">
        <v>334</v>
      </c>
      <c r="G1540"/>
      <c r="J1540">
        <f>Output_FSL!J58</f>
        <v>40.429223963838851</v>
      </c>
      <c r="K1540">
        <f>Output_FSL!K58</f>
        <v>100.67365608004286</v>
      </c>
      <c r="L1540">
        <f>Output_FSL!L58</f>
        <v>177.30303453656353</v>
      </c>
      <c r="M1540">
        <f>Output_FSL!M58</f>
        <v>242.59792204986115</v>
      </c>
      <c r="N1540">
        <f>Output_FSL!N58</f>
        <v>275.27982994306166</v>
      </c>
      <c r="O1540">
        <f>Output_FSL!O58</f>
        <v>317.81110277363678</v>
      </c>
      <c r="P1540">
        <f>Output_FSL!P58</f>
        <v>334.70818928269659</v>
      </c>
      <c r="Q1540">
        <f>Output_FSL!Q58</f>
        <v>368.27508062353434</v>
      </c>
      <c r="R1540">
        <f>Output_FSL!R58</f>
        <v>389.09118216934974</v>
      </c>
      <c r="S1540">
        <f>Output_FSL!S58</f>
        <v>425.91745082541524</v>
      </c>
      <c r="T1540">
        <f>Output_FSL!T58</f>
        <v>447.09118548568244</v>
      </c>
      <c r="U1540">
        <f>Output_FSL!U58</f>
        <v>443.5235099371418</v>
      </c>
      <c r="V1540">
        <f>Output_FSL!V58</f>
        <v>461.39925686193294</v>
      </c>
    </row>
    <row r="1541" spans="2:22">
      <c r="B1541" t="s">
        <v>335</v>
      </c>
      <c r="G1541"/>
      <c r="J1541">
        <f>Output_FSL!I60</f>
        <v>290.59201234880987</v>
      </c>
      <c r="K1541">
        <f>Output_FSL!J60</f>
        <v>331.02123631264874</v>
      </c>
      <c r="L1541">
        <f>Output_FSL!K60</f>
        <v>431.6948923926916</v>
      </c>
      <c r="M1541">
        <f>Output_FSL!L60</f>
        <v>608.99792692925507</v>
      </c>
      <c r="N1541">
        <f>Output_FSL!M60</f>
        <v>851.59584897911623</v>
      </c>
      <c r="O1541">
        <f>Output_FSL!N60</f>
        <v>1126.8756789221779</v>
      </c>
      <c r="P1541">
        <f>Output_FSL!O60</f>
        <v>1444.6867816958147</v>
      </c>
      <c r="Q1541">
        <f>Output_FSL!P60</f>
        <v>1779.3949709785113</v>
      </c>
      <c r="R1541">
        <f>Output_FSL!Q60</f>
        <v>2147.6700516020455</v>
      </c>
      <c r="S1541">
        <f>Output_FSL!R60</f>
        <v>2536.7612337713954</v>
      </c>
      <c r="T1541">
        <f>Output_FSL!S60</f>
        <v>2962.6786845968104</v>
      </c>
      <c r="U1541">
        <f>Output_FSL!T60</f>
        <v>3409.7698700824926</v>
      </c>
      <c r="V1541">
        <f>Output_FSL!U60</f>
        <v>3853.2933800196342</v>
      </c>
    </row>
    <row r="1542" spans="2:22">
      <c r="B1542" t="s">
        <v>336</v>
      </c>
      <c r="G1542"/>
      <c r="J1542">
        <f>-J1538</f>
        <v>-58.554000000000002</v>
      </c>
      <c r="K1542">
        <f t="shared" ref="K1542:V1542" si="561">-K1538</f>
        <v>-58.554000000000002</v>
      </c>
      <c r="L1542">
        <f t="shared" si="561"/>
        <v>-58.554000000000002</v>
      </c>
      <c r="M1542">
        <f t="shared" si="561"/>
        <v>-58.554000000000002</v>
      </c>
      <c r="N1542">
        <f t="shared" si="561"/>
        <v>-58.554000000000002</v>
      </c>
      <c r="O1542">
        <f t="shared" si="561"/>
        <v>-58.554000000000002</v>
      </c>
      <c r="P1542">
        <f t="shared" si="561"/>
        <v>-58.554000000000002</v>
      </c>
      <c r="Q1542">
        <f t="shared" si="561"/>
        <v>-58.554000000000002</v>
      </c>
      <c r="R1542">
        <f t="shared" si="561"/>
        <v>-58.554000000000002</v>
      </c>
      <c r="S1542">
        <f t="shared" si="561"/>
        <v>-58.554000000000002</v>
      </c>
      <c r="T1542">
        <f t="shared" si="561"/>
        <v>-58.554000000000002</v>
      </c>
      <c r="U1542">
        <f t="shared" si="561"/>
        <v>-58.554000000000002</v>
      </c>
      <c r="V1542">
        <f t="shared" si="561"/>
        <v>-58.554000000000002</v>
      </c>
    </row>
    <row r="1543" spans="2:22">
      <c r="B1543" s="28" t="s">
        <v>337</v>
      </c>
      <c r="C1543" s="28"/>
      <c r="D1543" s="28"/>
      <c r="E1543" s="28"/>
      <c r="F1543" s="28"/>
      <c r="G1543" s="28"/>
      <c r="H1543" s="28"/>
      <c r="I1543" s="28"/>
      <c r="J1543" s="28">
        <f>MAX(SUM(J1540:J1542),0)</f>
        <v>272.46723631264877</v>
      </c>
      <c r="K1543" s="28">
        <f t="shared" ref="K1543:V1543" si="562">MAX(SUM(K1540:K1542),0)</f>
        <v>373.14089239269163</v>
      </c>
      <c r="L1543" s="459">
        <f t="shared" si="562"/>
        <v>550.4439269292551</v>
      </c>
      <c r="M1543" s="28">
        <f t="shared" si="562"/>
        <v>793.04184897911625</v>
      </c>
      <c r="N1543" s="28">
        <f t="shared" si="562"/>
        <v>1068.3216789221779</v>
      </c>
      <c r="O1543" s="28">
        <f t="shared" si="562"/>
        <v>1386.1327816958146</v>
      </c>
      <c r="P1543" s="28">
        <f t="shared" si="562"/>
        <v>1720.8409709785112</v>
      </c>
      <c r="Q1543" s="28">
        <f t="shared" si="562"/>
        <v>2089.1160516020454</v>
      </c>
      <c r="R1543" s="28">
        <f t="shared" si="562"/>
        <v>2478.2072337713953</v>
      </c>
      <c r="S1543" s="28">
        <f t="shared" si="562"/>
        <v>2904.1246845968108</v>
      </c>
      <c r="T1543" s="28">
        <f t="shared" si="562"/>
        <v>3351.215870082493</v>
      </c>
      <c r="U1543" s="28">
        <f t="shared" si="562"/>
        <v>3794.7393800196342</v>
      </c>
      <c r="V1543" s="28">
        <f t="shared" si="562"/>
        <v>4256.1386368815674</v>
      </c>
    </row>
    <row r="1544" spans="2:22">
      <c r="G1544"/>
    </row>
    <row r="1545" spans="2:22">
      <c r="B1545" t="s">
        <v>828</v>
      </c>
      <c r="G1545"/>
      <c r="J1545">
        <f>Output_FSL!J58-'Output_Standalone (IDR)'!J34-'Output_Standalone (IDR)'!J106</f>
        <v>-14.771391848822454</v>
      </c>
      <c r="K1545">
        <f>Output_FSL!K58-'Output_Standalone (IDR)'!K34-'Output_Standalone (IDR)'!K106</f>
        <v>43.209044215407474</v>
      </c>
      <c r="L1545">
        <f>Output_FSL!L58-'Output_Standalone (IDR)'!L34-'Output_Standalone (IDR)'!L106</f>
        <v>118.32568101934085</v>
      </c>
      <c r="M1545">
        <f>Output_FSL!M58-'Output_Standalone (IDR)'!M34-'Output_Standalone (IDR)'!M106</f>
        <v>180.90479912827993</v>
      </c>
      <c r="N1545">
        <f>Output_FSL!N58-'Output_Standalone (IDR)'!N34-'Output_Standalone (IDR)'!N106</f>
        <v>211.17167149546137</v>
      </c>
      <c r="O1545">
        <f>Output_FSL!O58-'Output_Standalone (IDR)'!O34-'Output_Standalone (IDR)'!O106</f>
        <v>247.79521772657026</v>
      </c>
      <c r="P1545">
        <f>Output_FSL!P58-'Output_Standalone (IDR)'!P34-'Output_Standalone (IDR)'!P106</f>
        <v>262.05900320592394</v>
      </c>
      <c r="Q1545">
        <f>Output_FSL!Q58-'Output_Standalone (IDR)'!Q34-'Output_Standalone (IDR)'!Q106</f>
        <v>292.94376299044296</v>
      </c>
      <c r="R1545">
        <f>Output_FSL!R58-'Output_Standalone (IDR)'!R34-'Output_Standalone (IDR)'!R106</f>
        <v>307.04953085178704</v>
      </c>
      <c r="S1545">
        <f>Output_FSL!S58-'Output_Standalone (IDR)'!S34-'Output_Standalone (IDR)'!S106</f>
        <v>340.95387190770748</v>
      </c>
      <c r="T1545">
        <f>Output_FSL!T58-'Output_Standalone (IDR)'!T34-'Output_Standalone (IDR)'!T106</f>
        <v>359.15395557628852</v>
      </c>
      <c r="U1545">
        <f>Output_FSL!U58-'Output_Standalone (IDR)'!U34-'Output_Standalone (IDR)'!U106</f>
        <v>352.56151411110477</v>
      </c>
      <c r="V1545">
        <f>Output_FSL!V58-'Output_Standalone (IDR)'!V34-'Output_Standalone (IDR)'!V106</f>
        <v>367.36213829600933</v>
      </c>
    </row>
    <row r="1546" spans="2:22">
      <c r="B1546" t="s">
        <v>829</v>
      </c>
      <c r="G1546"/>
      <c r="J1546">
        <f>'Output_Standalone (IDR)'!J34+'Output_Standalone (IDR)'!J106</f>
        <v>55.200615812661304</v>
      </c>
      <c r="K1546">
        <f>'Output_Standalone (IDR)'!K34+'Output_Standalone (IDR)'!K106</f>
        <v>57.464611864635387</v>
      </c>
      <c r="L1546">
        <f>'Output_Standalone (IDR)'!L34+'Output_Standalone (IDR)'!L106</f>
        <v>58.977353517222681</v>
      </c>
      <c r="M1546">
        <f>'Output_Standalone (IDR)'!M34+'Output_Standalone (IDR)'!M106</f>
        <v>61.693122921581221</v>
      </c>
      <c r="N1546">
        <f>'Output_Standalone (IDR)'!N34+'Output_Standalone (IDR)'!N106</f>
        <v>64.108158447600289</v>
      </c>
      <c r="O1546">
        <f>'Output_Standalone (IDR)'!O34+'Output_Standalone (IDR)'!O106</f>
        <v>70.015885047066519</v>
      </c>
      <c r="P1546">
        <f>'Output_Standalone (IDR)'!P34+'Output_Standalone (IDR)'!P106</f>
        <v>72.649186076772679</v>
      </c>
      <c r="Q1546">
        <f>'Output_Standalone (IDR)'!Q34+'Output_Standalone (IDR)'!Q106</f>
        <v>75.331317633091331</v>
      </c>
      <c r="R1546">
        <f>'Output_Standalone (IDR)'!R34+'Output_Standalone (IDR)'!R106</f>
        <v>82.041651317562696</v>
      </c>
      <c r="S1546">
        <f>'Output_Standalone (IDR)'!S34+'Output_Standalone (IDR)'!S106</f>
        <v>84.963578917707764</v>
      </c>
      <c r="T1546">
        <f>'Output_Standalone (IDR)'!T34+'Output_Standalone (IDR)'!T106</f>
        <v>87.937229909393935</v>
      </c>
      <c r="U1546">
        <f>'Output_Standalone (IDR)'!U34+'Output_Standalone (IDR)'!U106</f>
        <v>90.961995826037025</v>
      </c>
      <c r="V1546">
        <f>'Output_Standalone (IDR)'!V34+'Output_Standalone (IDR)'!V106</f>
        <v>94.03711856592362</v>
      </c>
    </row>
    <row r="1547" spans="2:22">
      <c r="B1547" t="s">
        <v>830</v>
      </c>
      <c r="F1547" s="35">
        <v>0.65</v>
      </c>
      <c r="G1547"/>
      <c r="J1547">
        <f>J1546*$F$1547</f>
        <v>35.88040027822985</v>
      </c>
      <c r="K1547">
        <f t="shared" ref="K1547:V1547" si="563">K1546*$F$1547</f>
        <v>37.351997712013002</v>
      </c>
      <c r="L1547">
        <f t="shared" si="563"/>
        <v>38.335279786194747</v>
      </c>
      <c r="M1547">
        <f t="shared" si="563"/>
        <v>40.100529899027798</v>
      </c>
      <c r="N1547">
        <f t="shared" si="563"/>
        <v>41.670302990940186</v>
      </c>
      <c r="O1547">
        <f t="shared" si="563"/>
        <v>45.510325280593236</v>
      </c>
      <c r="P1547">
        <f t="shared" si="563"/>
        <v>47.221970949902243</v>
      </c>
      <c r="Q1547">
        <f t="shared" si="563"/>
        <v>48.965356461509366</v>
      </c>
      <c r="R1547">
        <f t="shared" si="563"/>
        <v>53.327073356415752</v>
      </c>
      <c r="S1547">
        <f t="shared" si="563"/>
        <v>55.226326296510045</v>
      </c>
      <c r="T1547">
        <f t="shared" si="563"/>
        <v>57.159199441106061</v>
      </c>
      <c r="U1547">
        <f t="shared" si="563"/>
        <v>59.125297286924066</v>
      </c>
      <c r="V1547">
        <f t="shared" si="563"/>
        <v>61.124127067850353</v>
      </c>
    </row>
    <row r="1548" spans="2:22">
      <c r="G1548"/>
    </row>
    <row r="1549" spans="2:22">
      <c r="B1549" s="407" t="s">
        <v>831</v>
      </c>
      <c r="G1549"/>
      <c r="J1549">
        <f>SUM(J1545,J1547)</f>
        <v>21.109008429407396</v>
      </c>
      <c r="K1549">
        <f t="shared" ref="K1549:V1549" si="564">SUM(K1545,K1547)</f>
        <v>80.561041927420476</v>
      </c>
      <c r="L1549">
        <f t="shared" si="564"/>
        <v>156.66096080553558</v>
      </c>
      <c r="M1549">
        <f t="shared" si="564"/>
        <v>221.00532902730774</v>
      </c>
      <c r="N1549">
        <f t="shared" si="564"/>
        <v>252.84197448640157</v>
      </c>
      <c r="O1549">
        <f t="shared" si="564"/>
        <v>293.30554300716346</v>
      </c>
      <c r="P1549">
        <f t="shared" si="564"/>
        <v>309.28097415582619</v>
      </c>
      <c r="Q1549">
        <f t="shared" si="564"/>
        <v>341.90911945195234</v>
      </c>
      <c r="R1549">
        <f t="shared" si="564"/>
        <v>360.37660420820282</v>
      </c>
      <c r="S1549">
        <f t="shared" si="564"/>
        <v>396.1801982042175</v>
      </c>
      <c r="T1549">
        <f t="shared" si="564"/>
        <v>416.31315501739459</v>
      </c>
      <c r="U1549">
        <f t="shared" si="564"/>
        <v>411.68681139802885</v>
      </c>
      <c r="V1549">
        <f t="shared" si="564"/>
        <v>428.48626536385967</v>
      </c>
    </row>
    <row r="1550" spans="2:22">
      <c r="B1550" t="s">
        <v>332</v>
      </c>
      <c r="F1550" s="35">
        <v>0.3</v>
      </c>
      <c r="G1550"/>
      <c r="I1550">
        <f>SUM(J1550:V1550)</f>
        <v>1106.9150956448154</v>
      </c>
      <c r="J1550">
        <f>$F$1550*J1549</f>
        <v>6.3327025288222183</v>
      </c>
      <c r="K1550">
        <f t="shared" ref="K1550:V1550" si="565">$F$1550*K1549</f>
        <v>24.168312578226143</v>
      </c>
      <c r="L1550" s="462">
        <f t="shared" si="565"/>
        <v>46.998288241660674</v>
      </c>
      <c r="M1550">
        <f t="shared" si="565"/>
        <v>66.301598708192316</v>
      </c>
      <c r="N1550">
        <f t="shared" si="565"/>
        <v>75.852592345920471</v>
      </c>
      <c r="O1550">
        <f t="shared" si="565"/>
        <v>87.991662902149031</v>
      </c>
      <c r="P1550">
        <f t="shared" si="565"/>
        <v>92.784292246747853</v>
      </c>
      <c r="Q1550">
        <f t="shared" si="565"/>
        <v>102.5727358355857</v>
      </c>
      <c r="R1550">
        <f t="shared" si="565"/>
        <v>108.11298126246085</v>
      </c>
      <c r="S1550">
        <f t="shared" si="565"/>
        <v>118.85405946126525</v>
      </c>
      <c r="T1550">
        <f t="shared" si="565"/>
        <v>124.89394650521837</v>
      </c>
      <c r="U1550">
        <f t="shared" si="565"/>
        <v>123.50604341940866</v>
      </c>
      <c r="V1550">
        <f t="shared" si="565"/>
        <v>128.54587960915791</v>
      </c>
    </row>
    <row r="1551" spans="2:22">
      <c r="G1551"/>
      <c r="J1551">
        <f>Output_FSL!J58</f>
        <v>40.429223963838851</v>
      </c>
      <c r="K1551">
        <f>Output_FSL!K58</f>
        <v>100.67365608004286</v>
      </c>
      <c r="L1551">
        <f>Output_FSL!L58</f>
        <v>177.30303453656353</v>
      </c>
      <c r="M1551">
        <f>Output_FSL!M58</f>
        <v>242.59792204986115</v>
      </c>
      <c r="N1551">
        <f>Output_FSL!N58</f>
        <v>275.27982994306166</v>
      </c>
      <c r="O1551">
        <f>Output_FSL!O58</f>
        <v>317.81110277363678</v>
      </c>
      <c r="P1551">
        <f>Output_FSL!P58</f>
        <v>334.70818928269659</v>
      </c>
      <c r="Q1551">
        <f>Output_FSL!Q58</f>
        <v>368.27508062353434</v>
      </c>
      <c r="R1551">
        <f>Output_FSL!R58</f>
        <v>389.09118216934974</v>
      </c>
      <c r="S1551">
        <f>Output_FSL!S58</f>
        <v>425.91745082541524</v>
      </c>
      <c r="T1551">
        <f>Output_FSL!T58</f>
        <v>447.09118548568244</v>
      </c>
      <c r="U1551">
        <f>Output_FSL!U58</f>
        <v>443.5235099371418</v>
      </c>
      <c r="V1551">
        <f>Output_FSL!V58</f>
        <v>461.39925686193294</v>
      </c>
    </row>
    <row r="1552" spans="2:22" ht="15.75">
      <c r="B1552" s="15" t="s">
        <v>338</v>
      </c>
      <c r="G1552"/>
    </row>
    <row r="1553" spans="2:22">
      <c r="G1553"/>
    </row>
    <row r="1554" spans="2:22">
      <c r="B1554" t="s">
        <v>57</v>
      </c>
      <c r="G1554"/>
      <c r="J1554">
        <f>Output_FSL!I60</f>
        <v>290.59201234880987</v>
      </c>
      <c r="K1554">
        <f>Output_FSL!J60</f>
        <v>331.02123631264874</v>
      </c>
      <c r="L1554">
        <f>Output_FSL!K60</f>
        <v>431.6948923926916</v>
      </c>
      <c r="M1554">
        <f>Output_FSL!L60</f>
        <v>608.99792692925507</v>
      </c>
      <c r="N1554">
        <f>Output_FSL!M60</f>
        <v>851.59584897911623</v>
      </c>
      <c r="O1554">
        <f>Output_FSL!N60</f>
        <v>1126.8756789221779</v>
      </c>
      <c r="P1554">
        <f>Output_FSL!O60</f>
        <v>1444.6867816958147</v>
      </c>
      <c r="Q1554">
        <f>Output_FSL!P60</f>
        <v>1779.3949709785113</v>
      </c>
      <c r="R1554">
        <f>Output_FSL!Q60</f>
        <v>2147.6700516020455</v>
      </c>
      <c r="S1554">
        <f>Output_FSL!R60</f>
        <v>2536.7612337713954</v>
      </c>
      <c r="T1554">
        <f>Output_FSL!S60</f>
        <v>2962.6786845968104</v>
      </c>
      <c r="U1554">
        <f>Output_FSL!T60</f>
        <v>3409.7698700824926</v>
      </c>
      <c r="V1554">
        <f>Output_FSL!U60</f>
        <v>3853.2933800196342</v>
      </c>
    </row>
    <row r="1555" spans="2:22">
      <c r="B1555" s="407" t="s">
        <v>334</v>
      </c>
      <c r="G1555"/>
      <c r="J1555">
        <f>Output_FSL!J58</f>
        <v>40.429223963838851</v>
      </c>
      <c r="K1555">
        <f>Output_FSL!K58</f>
        <v>100.67365608004286</v>
      </c>
      <c r="L1555">
        <f>Output_FSL!L58</f>
        <v>177.30303453656353</v>
      </c>
      <c r="M1555">
        <f>Output_FSL!M58</f>
        <v>242.59792204986115</v>
      </c>
      <c r="N1555">
        <f>Output_FSL!N58</f>
        <v>275.27982994306166</v>
      </c>
      <c r="O1555">
        <f>Output_FSL!O58</f>
        <v>317.81110277363678</v>
      </c>
      <c r="P1555">
        <f>Output_FSL!P58</f>
        <v>334.70818928269659</v>
      </c>
      <c r="Q1555">
        <f>Output_FSL!Q58</f>
        <v>368.27508062353434</v>
      </c>
      <c r="R1555">
        <f>Output_FSL!R58</f>
        <v>389.09118216934974</v>
      </c>
      <c r="S1555">
        <f>Output_FSL!S58</f>
        <v>425.91745082541524</v>
      </c>
      <c r="T1555">
        <f>Output_FSL!T58</f>
        <v>447.09118548568244</v>
      </c>
      <c r="U1555">
        <f>Output_FSL!U58</f>
        <v>443.5235099371418</v>
      </c>
      <c r="V1555">
        <f>Output_FSL!V58</f>
        <v>461.39925686193294</v>
      </c>
    </row>
    <row r="1556" spans="2:22">
      <c r="B1556" t="s">
        <v>332</v>
      </c>
      <c r="F1556" s="35">
        <v>0.3</v>
      </c>
      <c r="G1556"/>
      <c r="I1556">
        <f>SUM(J1556:V1556)</f>
        <v>-1099.7650082749499</v>
      </c>
      <c r="J1556">
        <f>-MIN(J1550,J1543,J1532)</f>
        <v>-6.3327025288222183</v>
      </c>
      <c r="K1556">
        <f t="shared" ref="K1556:V1556" si="566">-MIN(K1550,K1543,K1532)</f>
        <v>-17.018225208360519</v>
      </c>
      <c r="L1556" s="462">
        <f t="shared" si="566"/>
        <v>-46.998288241660674</v>
      </c>
      <c r="M1556">
        <f t="shared" si="566"/>
        <v>-66.301598708192316</v>
      </c>
      <c r="N1556">
        <f t="shared" si="566"/>
        <v>-75.852592345920471</v>
      </c>
      <c r="O1556">
        <f t="shared" si="566"/>
        <v>-87.991662902149031</v>
      </c>
      <c r="P1556">
        <f t="shared" si="566"/>
        <v>-92.784292246747853</v>
      </c>
      <c r="Q1556">
        <f t="shared" si="566"/>
        <v>-102.5727358355857</v>
      </c>
      <c r="R1556">
        <f t="shared" si="566"/>
        <v>-108.11298126246085</v>
      </c>
      <c r="S1556">
        <f t="shared" si="566"/>
        <v>-118.85405946126525</v>
      </c>
      <c r="T1556">
        <f t="shared" si="566"/>
        <v>-124.89394650521837</v>
      </c>
      <c r="U1556">
        <f t="shared" si="566"/>
        <v>-123.50604341940866</v>
      </c>
      <c r="V1556">
        <f t="shared" si="566"/>
        <v>-128.54587960915791</v>
      </c>
    </row>
    <row r="1557" spans="2:22">
      <c r="B1557" s="28" t="s">
        <v>60</v>
      </c>
      <c r="C1557" s="28"/>
      <c r="D1557" s="28"/>
      <c r="E1557" s="28"/>
      <c r="F1557" s="28"/>
      <c r="G1557" s="28"/>
      <c r="H1557" s="28"/>
      <c r="I1557" s="28">
        <f>J1554</f>
        <v>290.59201234880987</v>
      </c>
      <c r="J1557" s="28">
        <f>SUM(J1554:J1556)</f>
        <v>324.68853378382653</v>
      </c>
      <c r="K1557" s="28">
        <f t="shared" ref="K1557:V1557" si="567">SUM(K1554:K1556)</f>
        <v>414.67666718433111</v>
      </c>
      <c r="L1557" s="28">
        <f t="shared" si="567"/>
        <v>561.99963868759437</v>
      </c>
      <c r="M1557" s="28">
        <f t="shared" si="567"/>
        <v>785.29425027092395</v>
      </c>
      <c r="N1557" s="28">
        <f t="shared" si="567"/>
        <v>1051.0230865762574</v>
      </c>
      <c r="O1557" s="28">
        <f t="shared" si="567"/>
        <v>1356.6951187936656</v>
      </c>
      <c r="P1557" s="28">
        <f t="shared" si="567"/>
        <v>1686.6106787317635</v>
      </c>
      <c r="Q1557" s="28">
        <f t="shared" si="567"/>
        <v>2045.0973157664598</v>
      </c>
      <c r="R1557" s="28">
        <f t="shared" si="567"/>
        <v>2428.6482525089345</v>
      </c>
      <c r="S1557" s="28">
        <f t="shared" si="567"/>
        <v>2843.8246251355458</v>
      </c>
      <c r="T1557" s="28">
        <f t="shared" si="567"/>
        <v>3284.8759235772745</v>
      </c>
      <c r="U1557" s="28">
        <f t="shared" si="567"/>
        <v>3729.7873366002254</v>
      </c>
      <c r="V1557" s="28">
        <f t="shared" si="567"/>
        <v>4186.1467572724096</v>
      </c>
    </row>
    <row r="1558" spans="2:22">
      <c r="G1558"/>
      <c r="K1558" s="203"/>
    </row>
    <row r="1559" spans="2:22">
      <c r="B1559" s="407" t="s">
        <v>339</v>
      </c>
      <c r="G1559"/>
    </row>
    <row r="1560" spans="2:22">
      <c r="B1560" s="407" t="s">
        <v>259</v>
      </c>
      <c r="G1560"/>
      <c r="J1560">
        <f>$I$1557+SUM($J$1555:J1555)+SUM($J$1556:J1556)</f>
        <v>324.68853378382653</v>
      </c>
      <c r="K1560">
        <f>$I$1557+SUM($J$1555:K1555)+SUM($J$1556:K1556)</f>
        <v>408.34396465550884</v>
      </c>
      <c r="L1560">
        <f>$I$1557+SUM($J$1555:L1555)+SUM($J$1556:L1556)</f>
        <v>538.64871095041167</v>
      </c>
      <c r="M1560">
        <f>$I$1557+SUM($J$1555:M1555)+SUM($J$1556:M1556)</f>
        <v>714.94503429208044</v>
      </c>
      <c r="N1560">
        <f>$I$1557+SUM($J$1555:N1555)+SUM($J$1556:N1556)</f>
        <v>914.37227188922179</v>
      </c>
      <c r="O1560">
        <f>$I$1557+SUM($J$1555:O1555)+SUM($J$1556:O1556)</f>
        <v>1144.1917117607095</v>
      </c>
      <c r="P1560">
        <f>$I$1557+SUM($J$1555:P1555)+SUM($J$1556:P1556)</f>
        <v>1386.1156087966583</v>
      </c>
      <c r="Q1560">
        <f>$I$1557+SUM($J$1555:Q1555)+SUM($J$1556:Q1556)</f>
        <v>1651.8179535846068</v>
      </c>
      <c r="R1560">
        <f>$I$1557+SUM($J$1555:R1555)+SUM($J$1556:R1556)</f>
        <v>1932.7961544914956</v>
      </c>
      <c r="S1560">
        <f>$I$1557+SUM($J$1555:S1555)+SUM($J$1556:S1556)</f>
        <v>2239.8595458556456</v>
      </c>
      <c r="T1560">
        <f>$I$1557+SUM($J$1555:T1555)+SUM($J$1556:T1556)</f>
        <v>2562.0567848361093</v>
      </c>
      <c r="U1560">
        <f>$I$1557+SUM($J$1555:U1555)+SUM($J$1556:U1556)</f>
        <v>2882.0742513538421</v>
      </c>
      <c r="V1560">
        <f>$I$1557+SUM($J$1555:V1555)+SUM($J$1556:V1556)</f>
        <v>3214.927628606617</v>
      </c>
    </row>
  </sheetData>
  <conditionalFormatting sqref="J11:V11">
    <cfRule type="cellIs" dxfId="34" priority="5" operator="equal">
      <formula>1</formula>
    </cfRule>
  </conditionalFormatting>
  <conditionalFormatting sqref="K12:V12">
    <cfRule type="cellIs" dxfId="33" priority="4" operator="equal">
      <formula>1</formula>
    </cfRule>
  </conditionalFormatting>
  <conditionalFormatting sqref="J12">
    <cfRule type="cellIs" dxfId="32" priority="3" operator="equal">
      <formula>1</formula>
    </cfRule>
  </conditionalFormatting>
  <conditionalFormatting sqref="J13:V13">
    <cfRule type="cellIs" dxfId="31" priority="1" operator="equal">
      <formula>1</formula>
    </cfRule>
  </conditionalFormatting>
  <pageMargins left="0.7" right="0.7" top="0.75" bottom="0.75" header="0.3" footer="0.3"/>
  <pageSetup orientation="portrait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6D0C-AF88-44FA-B899-5B5439654C16}">
  <sheetPr codeName="Sheet30"/>
  <dimension ref="B2:U376"/>
  <sheetViews>
    <sheetView showGridLines="0" zoomScale="73" zoomScaleNormal="90" workbookViewId="0">
      <pane xSplit="8" ySplit="3" topLeftCell="I250" activePane="bottomRight" state="frozen"/>
      <selection pane="topRight" activeCell="I1" sqref="I1"/>
      <selection pane="bottomLeft" activeCell="A4" sqref="A4"/>
      <selection pane="bottomRight" activeCell="M271" sqref="M271"/>
    </sheetView>
  </sheetViews>
  <sheetFormatPr defaultColWidth="8.7109375" defaultRowHeight="15"/>
  <cols>
    <col min="1" max="1" width="8.7109375" customWidth="1"/>
    <col min="2" max="2" width="3.5703125" customWidth="1"/>
    <col min="3" max="22" width="8.7109375" customWidth="1"/>
  </cols>
  <sheetData>
    <row r="2" spans="2:21">
      <c r="B2" t="s">
        <v>32</v>
      </c>
      <c r="I2">
        <f>'Output_Standalone (IDR)'!J8</f>
        <v>2024</v>
      </c>
      <c r="J2">
        <f>'Output_Standalone (IDR)'!K8</f>
        <v>2025</v>
      </c>
      <c r="K2">
        <f>'Output_Standalone (IDR)'!L8</f>
        <v>2026</v>
      </c>
      <c r="L2">
        <f>'Output_Standalone (IDR)'!M8</f>
        <v>2027</v>
      </c>
      <c r="M2">
        <f>'Output_Standalone (IDR)'!N8</f>
        <v>2028</v>
      </c>
      <c r="N2">
        <f>'Output_Standalone (IDR)'!O8</f>
        <v>2029</v>
      </c>
      <c r="O2">
        <f>'Output_Standalone (IDR)'!P8</f>
        <v>2030</v>
      </c>
      <c r="P2">
        <f>'Output_Standalone (IDR)'!Q8</f>
        <v>2031</v>
      </c>
      <c r="Q2">
        <f>'Output_Standalone (IDR)'!R8</f>
        <v>2032</v>
      </c>
      <c r="R2">
        <f>'Output_Standalone (IDR)'!S8</f>
        <v>2033</v>
      </c>
      <c r="S2">
        <f>'Output_Standalone (IDR)'!T8</f>
        <v>2034</v>
      </c>
      <c r="T2">
        <f>'Output_Standalone (IDR)'!U8</f>
        <v>2035</v>
      </c>
      <c r="U2">
        <f>'Output_Standalone (IDR)'!V8</f>
        <v>2036</v>
      </c>
    </row>
    <row r="3" spans="2:21">
      <c r="I3">
        <f>'Output_Standalone (IDR)'!J9</f>
        <v>366</v>
      </c>
      <c r="J3">
        <f>'Output_Standalone (IDR)'!K9</f>
        <v>365</v>
      </c>
      <c r="K3">
        <f>'Output_Standalone (IDR)'!L9</f>
        <v>365</v>
      </c>
      <c r="L3">
        <f>'Output_Standalone (IDR)'!M9</f>
        <v>365</v>
      </c>
      <c r="M3">
        <f>'Output_Standalone (IDR)'!N9</f>
        <v>366</v>
      </c>
      <c r="N3">
        <f>'Output_Standalone (IDR)'!O9</f>
        <v>365</v>
      </c>
      <c r="O3">
        <f>'Output_Standalone (IDR)'!P9</f>
        <v>365</v>
      </c>
      <c r="P3">
        <f>'Output_Standalone (IDR)'!Q9</f>
        <v>365</v>
      </c>
      <c r="Q3">
        <f>'Output_Standalone (IDR)'!R9</f>
        <v>366</v>
      </c>
      <c r="R3">
        <f>'Output_Standalone (IDR)'!S9</f>
        <v>365</v>
      </c>
      <c r="S3">
        <f>'Output_Standalone (IDR)'!T9</f>
        <v>365</v>
      </c>
      <c r="T3">
        <f>'Output_Standalone (IDR)'!U9</f>
        <v>365</v>
      </c>
      <c r="U3">
        <f>'Output_Standalone (IDR)'!V9</f>
        <v>366</v>
      </c>
    </row>
    <row r="4" spans="2:21" ht="15.75">
      <c r="B4" s="15" t="s">
        <v>1081</v>
      </c>
      <c r="F4" s="6">
        <f>Output_FSL!F30</f>
        <v>1</v>
      </c>
    </row>
    <row r="5" spans="2:21">
      <c r="B5" t="s">
        <v>300</v>
      </c>
    </row>
    <row r="6" spans="2:21">
      <c r="B6" s="407" t="s">
        <v>302</v>
      </c>
      <c r="I6" s="21"/>
    </row>
    <row r="7" spans="2:21">
      <c r="B7" s="407" t="s">
        <v>9</v>
      </c>
      <c r="I7" s="50">
        <f>'Output_Standalone (IDR)'!J68</f>
        <v>0</v>
      </c>
      <c r="J7" s="50">
        <f>'Output_Standalone (IDR)'!K68</f>
        <v>0</v>
      </c>
      <c r="K7" s="50">
        <f>'Output_Standalone (IDR)'!L68</f>
        <v>48.1</v>
      </c>
      <c r="L7" s="50">
        <f>'Output_Standalone (IDR)'!M68</f>
        <v>48.1</v>
      </c>
      <c r="M7" s="50">
        <f>'Output_Standalone (IDR)'!N68</f>
        <v>48.1</v>
      </c>
      <c r="N7" s="50">
        <f>'Output_Standalone (IDR)'!O68</f>
        <v>51.4176</v>
      </c>
      <c r="O7" s="50">
        <f>'Output_Standalone (IDR)'!P68</f>
        <v>51.4176</v>
      </c>
      <c r="P7" s="50">
        <f>'Output_Standalone (IDR)'!Q68</f>
        <v>51.4176</v>
      </c>
      <c r="Q7" s="50">
        <f>'Output_Standalone (IDR)'!R68</f>
        <v>51.4176</v>
      </c>
      <c r="R7" s="50">
        <f>'Output_Standalone (IDR)'!S68</f>
        <v>54.968199519999999</v>
      </c>
      <c r="S7" s="50">
        <f>'Output_Standalone (IDR)'!T68</f>
        <v>54.968199519999999</v>
      </c>
      <c r="T7" s="50">
        <f>'Output_Standalone (IDR)'!U68</f>
        <v>54.968199519999999</v>
      </c>
      <c r="U7" s="50">
        <f>'Output_Standalone (IDR)'!V68</f>
        <v>54.968199519999999</v>
      </c>
    </row>
    <row r="8" spans="2:21">
      <c r="B8" s="407" t="s">
        <v>303</v>
      </c>
      <c r="F8" s="19">
        <v>30</v>
      </c>
      <c r="I8" s="19">
        <f>$F$8</f>
        <v>30</v>
      </c>
      <c r="J8" s="19">
        <f t="shared" ref="J8:U8" si="0">$F$8</f>
        <v>30</v>
      </c>
      <c r="K8" s="19">
        <f t="shared" si="0"/>
        <v>30</v>
      </c>
      <c r="L8" s="19">
        <f t="shared" si="0"/>
        <v>30</v>
      </c>
      <c r="M8" s="19">
        <f t="shared" si="0"/>
        <v>30</v>
      </c>
      <c r="N8" s="19">
        <f t="shared" si="0"/>
        <v>30</v>
      </c>
      <c r="O8" s="19">
        <f t="shared" si="0"/>
        <v>30</v>
      </c>
      <c r="P8" s="19">
        <f t="shared" si="0"/>
        <v>30</v>
      </c>
      <c r="Q8" s="19">
        <f t="shared" si="0"/>
        <v>30</v>
      </c>
      <c r="R8" s="19">
        <f t="shared" si="0"/>
        <v>30</v>
      </c>
      <c r="S8" s="19">
        <f t="shared" si="0"/>
        <v>30</v>
      </c>
      <c r="T8" s="19">
        <f t="shared" si="0"/>
        <v>30</v>
      </c>
      <c r="U8" s="19">
        <f t="shared" si="0"/>
        <v>30</v>
      </c>
    </row>
    <row r="9" spans="2:21">
      <c r="B9" s="28" t="s">
        <v>304</v>
      </c>
      <c r="C9" s="28"/>
      <c r="D9" s="28"/>
      <c r="E9" s="28"/>
      <c r="F9" s="28"/>
      <c r="G9" s="28"/>
      <c r="H9" s="28"/>
      <c r="I9" s="47">
        <f>I7*I8/I3</f>
        <v>0</v>
      </c>
      <c r="J9" s="47">
        <f t="shared" ref="J9:R9" si="1">J7*J8/J3</f>
        <v>0</v>
      </c>
      <c r="K9" s="47">
        <f t="shared" si="1"/>
        <v>3.9534246575342467</v>
      </c>
      <c r="L9" s="47">
        <f t="shared" si="1"/>
        <v>3.9534246575342467</v>
      </c>
      <c r="M9" s="47">
        <f t="shared" si="1"/>
        <v>3.942622950819672</v>
      </c>
      <c r="N9" s="47">
        <f t="shared" si="1"/>
        <v>4.2261041095890413</v>
      </c>
      <c r="O9" s="47">
        <f t="shared" si="1"/>
        <v>4.2261041095890413</v>
      </c>
      <c r="P9" s="47">
        <f t="shared" si="1"/>
        <v>4.2261041095890413</v>
      </c>
      <c r="Q9" s="47">
        <f t="shared" si="1"/>
        <v>4.2145573770491804</v>
      </c>
      <c r="R9" s="47">
        <f t="shared" si="1"/>
        <v>4.5179342071232877</v>
      </c>
      <c r="S9" s="47">
        <f>S7*S8/S3</f>
        <v>4.5179342071232877</v>
      </c>
      <c r="T9" s="47">
        <f>T7*T8/T3</f>
        <v>4.5179342071232877</v>
      </c>
      <c r="U9" s="47">
        <f>U7*U8/U3</f>
        <v>4.5055901245901637</v>
      </c>
    </row>
    <row r="10" spans="2:21">
      <c r="I10" s="21"/>
    </row>
    <row r="11" spans="2:21">
      <c r="B11" s="407" t="s">
        <v>306</v>
      </c>
      <c r="I11" s="21"/>
    </row>
    <row r="12" spans="2:21">
      <c r="B12" s="407" t="s">
        <v>307</v>
      </c>
      <c r="I12" s="33">
        <f>-'Output_Standalone (IDR)'!J69</f>
        <v>0</v>
      </c>
      <c r="J12" s="33">
        <f>-'Output_Standalone (IDR)'!K69</f>
        <v>0</v>
      </c>
      <c r="K12" s="33">
        <f>-'Output_Standalone (IDR)'!L69</f>
        <v>0</v>
      </c>
      <c r="L12" s="33">
        <f>-'Output_Standalone (IDR)'!M69</f>
        <v>0</v>
      </c>
      <c r="M12" s="33">
        <f>-'Output_Standalone (IDR)'!N69</f>
        <v>0</v>
      </c>
      <c r="N12" s="33">
        <f>-'Output_Standalone (IDR)'!O69</f>
        <v>0</v>
      </c>
      <c r="O12" s="33">
        <f>-'Output_Standalone (IDR)'!P69</f>
        <v>0</v>
      </c>
      <c r="P12" s="33">
        <f>-'Output_Standalone (IDR)'!Q69</f>
        <v>0</v>
      </c>
      <c r="Q12" s="33">
        <f>-'Output_Standalone (IDR)'!R69</f>
        <v>0</v>
      </c>
      <c r="R12" s="33">
        <f>-'Output_Standalone (IDR)'!S69</f>
        <v>0</v>
      </c>
      <c r="S12" s="33">
        <f>-'Output_Standalone (IDR)'!T69</f>
        <v>0</v>
      </c>
      <c r="T12" s="33">
        <f>-'Output_Standalone (IDR)'!U69</f>
        <v>0</v>
      </c>
      <c r="U12" s="33">
        <f>-'Output_Standalone (IDR)'!V69</f>
        <v>0</v>
      </c>
    </row>
    <row r="13" spans="2:21">
      <c r="B13" s="407" t="s">
        <v>308</v>
      </c>
      <c r="F13" s="19">
        <v>40</v>
      </c>
    </row>
    <row r="14" spans="2:21">
      <c r="B14" s="28" t="s">
        <v>204</v>
      </c>
      <c r="C14" s="28"/>
      <c r="D14" s="28"/>
      <c r="E14" s="28"/>
      <c r="F14" s="28"/>
      <c r="G14" s="28"/>
      <c r="H14" s="28"/>
      <c r="I14" s="47">
        <f>I12*$F13/I$3</f>
        <v>0</v>
      </c>
      <c r="J14" s="47">
        <f t="shared" ref="J14:R14" si="2">J12*$F13/J$3</f>
        <v>0</v>
      </c>
      <c r="K14" s="47">
        <f t="shared" si="2"/>
        <v>0</v>
      </c>
      <c r="L14" s="47">
        <f t="shared" si="2"/>
        <v>0</v>
      </c>
      <c r="M14" s="47">
        <f t="shared" si="2"/>
        <v>0</v>
      </c>
      <c r="N14" s="47">
        <f t="shared" si="2"/>
        <v>0</v>
      </c>
      <c r="O14" s="47">
        <f t="shared" si="2"/>
        <v>0</v>
      </c>
      <c r="P14" s="47">
        <f t="shared" si="2"/>
        <v>0</v>
      </c>
      <c r="Q14" s="47">
        <f t="shared" si="2"/>
        <v>0</v>
      </c>
      <c r="R14" s="47">
        <f t="shared" si="2"/>
        <v>0</v>
      </c>
      <c r="S14" s="47">
        <f>S12*$F13/S$3</f>
        <v>0</v>
      </c>
      <c r="T14" s="47">
        <f>T12*$F13/T$3</f>
        <v>0</v>
      </c>
      <c r="U14" s="47">
        <f>U12*$F13/U$3</f>
        <v>0</v>
      </c>
    </row>
    <row r="15" spans="2:21">
      <c r="I15" s="21"/>
    </row>
    <row r="16" spans="2:21">
      <c r="B16" s="407" t="s">
        <v>309</v>
      </c>
      <c r="I16" s="21"/>
    </row>
    <row r="17" spans="2:21">
      <c r="B17" s="407" t="s">
        <v>307</v>
      </c>
      <c r="I17" s="50">
        <f>-SUM('Output_Standalone (IDR)'!J72)</f>
        <v>0</v>
      </c>
      <c r="J17" s="50">
        <f>-SUM('Output_Standalone (IDR)'!K72)</f>
        <v>0</v>
      </c>
      <c r="K17" s="50">
        <f>-SUM('Output_Standalone (IDR)'!L72)</f>
        <v>22.349182568122735</v>
      </c>
      <c r="L17" s="50">
        <f>-SUM('Output_Standalone (IDR)'!M72)</f>
        <v>22.860856571580236</v>
      </c>
      <c r="M17" s="50">
        <f>-SUM('Output_Standalone (IDR)'!N72)</f>
        <v>23.385322425124176</v>
      </c>
      <c r="N17" s="50">
        <f>-SUM('Output_Standalone (IDR)'!O72)</f>
        <v>24.368177184432536</v>
      </c>
      <c r="O17" s="50">
        <f>-SUM('Output_Standalone (IDR)'!P72)</f>
        <v>25.366275592338262</v>
      </c>
      <c r="P17" s="50">
        <f>-SUM('Output_Standalone (IDR)'!Q72)</f>
        <v>25.721335378404898</v>
      </c>
      <c r="Q17" s="50">
        <f>-SUM('Output_Standalone (IDR)'!R72)</f>
        <v>26.309760465381437</v>
      </c>
      <c r="R17" s="50">
        <f>-SUM('Output_Standalone (IDR)'!S72)</f>
        <v>27.413675940716342</v>
      </c>
      <c r="S17" s="50">
        <f>-SUM('Output_Standalone (IDR)'!T72)</f>
        <v>28.042184391550666</v>
      </c>
      <c r="T17" s="50">
        <f>-SUM('Output_Standalone (IDR)'!U72)</f>
        <v>29.124593172696333</v>
      </c>
      <c r="U17" s="50">
        <f>-SUM('Output_Standalone (IDR)'!V72)</f>
        <v>29.390551006717725</v>
      </c>
    </row>
    <row r="18" spans="2:21">
      <c r="B18" s="407" t="s">
        <v>310</v>
      </c>
      <c r="F18" s="19">
        <v>30</v>
      </c>
      <c r="I18" s="19">
        <f>$F$18</f>
        <v>30</v>
      </c>
      <c r="J18" s="19">
        <f t="shared" ref="J18:U18" si="3">$F$18</f>
        <v>30</v>
      </c>
      <c r="K18" s="19">
        <f t="shared" si="3"/>
        <v>30</v>
      </c>
      <c r="L18" s="19">
        <f t="shared" si="3"/>
        <v>30</v>
      </c>
      <c r="M18" s="19">
        <f t="shared" si="3"/>
        <v>30</v>
      </c>
      <c r="N18" s="19">
        <f t="shared" si="3"/>
        <v>30</v>
      </c>
      <c r="O18" s="19">
        <f t="shared" si="3"/>
        <v>30</v>
      </c>
      <c r="P18" s="19">
        <f t="shared" si="3"/>
        <v>30</v>
      </c>
      <c r="Q18" s="19">
        <f t="shared" si="3"/>
        <v>30</v>
      </c>
      <c r="R18" s="19">
        <f t="shared" si="3"/>
        <v>30</v>
      </c>
      <c r="S18" s="19">
        <f t="shared" si="3"/>
        <v>30</v>
      </c>
      <c r="T18" s="19">
        <f t="shared" si="3"/>
        <v>30</v>
      </c>
      <c r="U18" s="19">
        <f t="shared" si="3"/>
        <v>30</v>
      </c>
    </row>
    <row r="19" spans="2:21">
      <c r="B19" s="28" t="s">
        <v>240</v>
      </c>
      <c r="C19" s="28"/>
      <c r="D19" s="28"/>
      <c r="E19" s="28"/>
      <c r="F19" s="28"/>
      <c r="G19" s="28"/>
      <c r="H19" s="28"/>
      <c r="I19" s="47">
        <f>I17*I18/I$3</f>
        <v>0</v>
      </c>
      <c r="J19" s="47">
        <f t="shared" ref="J19:R19" si="4">J17*J18/J$3</f>
        <v>0</v>
      </c>
      <c r="K19" s="47">
        <f t="shared" si="4"/>
        <v>1.8369191151881701</v>
      </c>
      <c r="L19" s="47">
        <f t="shared" si="4"/>
        <v>1.8789745127326221</v>
      </c>
      <c r="M19" s="47">
        <f t="shared" si="4"/>
        <v>1.9168297069773914</v>
      </c>
      <c r="N19" s="47">
        <f t="shared" si="4"/>
        <v>2.0028638781725374</v>
      </c>
      <c r="O19" s="47">
        <f t="shared" si="4"/>
        <v>2.0848993637538298</v>
      </c>
      <c r="P19" s="47">
        <f t="shared" si="4"/>
        <v>2.1140823598688958</v>
      </c>
      <c r="Q19" s="47">
        <f t="shared" si="4"/>
        <v>2.1565377430640522</v>
      </c>
      <c r="R19" s="47">
        <f t="shared" si="4"/>
        <v>2.2531788444424388</v>
      </c>
      <c r="S19" s="47">
        <f>S17*S18/S$3</f>
        <v>2.3048370732781369</v>
      </c>
      <c r="T19" s="47">
        <f>T17*T18/T$3</f>
        <v>2.3938021785777805</v>
      </c>
      <c r="U19" s="47">
        <f>U17*U18/U$3</f>
        <v>2.4090615579276826</v>
      </c>
    </row>
    <row r="21" spans="2:21">
      <c r="B21" t="s">
        <v>300</v>
      </c>
      <c r="I21" s="23">
        <f>SUM(I9,I14,-I19)</f>
        <v>0</v>
      </c>
      <c r="J21" s="23">
        <f t="shared" ref="J21:R21" si="5">SUM(J9,J14,-J19)</f>
        <v>0</v>
      </c>
      <c r="K21" s="23">
        <f t="shared" si="5"/>
        <v>2.1165055423460766</v>
      </c>
      <c r="L21" s="23">
        <f t="shared" si="5"/>
        <v>2.0744501448016246</v>
      </c>
      <c r="M21" s="23">
        <f t="shared" si="5"/>
        <v>2.0257932438422808</v>
      </c>
      <c r="N21" s="23">
        <f t="shared" si="5"/>
        <v>2.2232402314165038</v>
      </c>
      <c r="O21" s="23">
        <f t="shared" si="5"/>
        <v>2.1412047458352115</v>
      </c>
      <c r="P21" s="23">
        <f t="shared" si="5"/>
        <v>2.1120217497201454</v>
      </c>
      <c r="Q21" s="23">
        <f t="shared" si="5"/>
        <v>2.0580196339851282</v>
      </c>
      <c r="R21" s="23">
        <f t="shared" si="5"/>
        <v>2.264755362680849</v>
      </c>
      <c r="S21" s="23">
        <f>SUM(S9,S14,-S19)</f>
        <v>2.2130971338451508</v>
      </c>
      <c r="T21" s="23">
        <f>SUM(T9,T14,-T19)</f>
        <v>2.1241320285455072</v>
      </c>
      <c r="U21" s="23">
        <f>SUM(U9,U14,-U19)</f>
        <v>2.0965285666624811</v>
      </c>
    </row>
    <row r="22" spans="2:21">
      <c r="B22" t="s">
        <v>311</v>
      </c>
      <c r="I22" s="23">
        <f t="shared" ref="I22:R22" si="6">H21-I21</f>
        <v>0</v>
      </c>
      <c r="J22" s="23">
        <f t="shared" si="6"/>
        <v>0</v>
      </c>
      <c r="K22" s="23">
        <f t="shared" si="6"/>
        <v>-2.1165055423460766</v>
      </c>
      <c r="L22" s="23">
        <f t="shared" si="6"/>
        <v>4.2055397544451978E-2</v>
      </c>
      <c r="M22" s="23">
        <f t="shared" si="6"/>
        <v>4.865690095934383E-2</v>
      </c>
      <c r="N22" s="23">
        <f t="shared" si="6"/>
        <v>-0.19744698757422308</v>
      </c>
      <c r="O22" s="23">
        <f t="shared" si="6"/>
        <v>8.2035485581292367E-2</v>
      </c>
      <c r="P22" s="23">
        <f t="shared" si="6"/>
        <v>2.9182996115066029E-2</v>
      </c>
      <c r="Q22" s="23">
        <f t="shared" si="6"/>
        <v>5.4002115735017231E-2</v>
      </c>
      <c r="R22" s="23">
        <f t="shared" si="6"/>
        <v>-0.20673572869572077</v>
      </c>
      <c r="S22" s="23">
        <f>R21-S21</f>
        <v>5.165822883569815E-2</v>
      </c>
      <c r="T22" s="23">
        <f>S21-T21</f>
        <v>8.8965105299643632E-2</v>
      </c>
      <c r="U22" s="23">
        <f>T21-U21</f>
        <v>2.7603461883026092E-2</v>
      </c>
    </row>
    <row r="24" spans="2:21" ht="15.75">
      <c r="B24" s="15" t="s">
        <v>758</v>
      </c>
    </row>
    <row r="25" spans="2:21">
      <c r="B25" s="407" t="s">
        <v>434</v>
      </c>
      <c r="I25" s="462">
        <f>'Output_Standalone (IDR)'!J76*$F$4</f>
        <v>0</v>
      </c>
      <c r="J25" s="462">
        <f>'Output_Standalone (IDR)'!K76*$F$4</f>
        <v>0</v>
      </c>
      <c r="K25" s="462">
        <f>'Output_Standalone (IDR)'!L76*$F$4</f>
        <v>16.890265050924885</v>
      </c>
      <c r="L25" s="462">
        <f>'Output_Standalone (IDR)'!M76*$F$4</f>
        <v>16.378591047467385</v>
      </c>
      <c r="M25" s="462">
        <f>'Output_Standalone (IDR)'!N76*$F$4</f>
        <v>15.854125193923444</v>
      </c>
      <c r="N25" s="462">
        <f>'Output_Standalone (IDR)'!O76*$F$4</f>
        <v>18.188870434615083</v>
      </c>
      <c r="O25" s="462">
        <f>'Output_Standalone (IDR)'!P76*$F$4</f>
        <v>17.190772026709357</v>
      </c>
      <c r="P25" s="462">
        <f>'Output_Standalone (IDR)'!Q76*$F$4</f>
        <v>16.835712240642721</v>
      </c>
      <c r="Q25" s="462">
        <f>'Output_Standalone (IDR)'!R76*$F$4</f>
        <v>16.247287153666182</v>
      </c>
      <c r="R25" s="462">
        <f>'Output_Standalone (IDR)'!S76*$F$4</f>
        <v>18.693971198331276</v>
      </c>
      <c r="S25" s="462">
        <f>'Output_Standalone (IDR)'!T76*$F$4</f>
        <v>23.603307985592188</v>
      </c>
      <c r="T25" s="462">
        <f>'Output_Standalone (IDR)'!U76*$F$4</f>
        <v>22.520899204446522</v>
      </c>
      <c r="U25" s="462">
        <f>'Output_Standalone (IDR)'!V76*$F$4</f>
        <v>22.254941370425129</v>
      </c>
    </row>
    <row r="26" spans="2:21">
      <c r="B26" s="407" t="s">
        <v>759</v>
      </c>
      <c r="I26">
        <f>-IF(I25&lt;0,0,I25*22%)*$F$4</f>
        <v>0</v>
      </c>
      <c r="J26">
        <f t="shared" ref="J26:U26" si="7">-IF(J25&lt;0,0,J25*22%)*$F$4</f>
        <v>0</v>
      </c>
      <c r="K26">
        <f t="shared" si="7"/>
        <v>-3.7158583112034749</v>
      </c>
      <c r="L26">
        <f t="shared" si="7"/>
        <v>-3.6032900304428246</v>
      </c>
      <c r="M26">
        <f t="shared" si="7"/>
        <v>-3.4879075426631578</v>
      </c>
      <c r="N26">
        <f t="shared" si="7"/>
        <v>-4.0015514956153186</v>
      </c>
      <c r="O26">
        <f t="shared" si="7"/>
        <v>-3.7819698458760587</v>
      </c>
      <c r="P26">
        <f t="shared" si="7"/>
        <v>-3.7038566929413985</v>
      </c>
      <c r="Q26">
        <f t="shared" si="7"/>
        <v>-3.57440317380656</v>
      </c>
      <c r="R26">
        <f t="shared" si="7"/>
        <v>-4.1126736636328811</v>
      </c>
      <c r="S26">
        <f t="shared" si="7"/>
        <v>-5.1927277568302816</v>
      </c>
      <c r="T26">
        <f t="shared" si="7"/>
        <v>-4.9545978249782348</v>
      </c>
      <c r="U26">
        <f t="shared" si="7"/>
        <v>-4.8960871014935288</v>
      </c>
    </row>
    <row r="27" spans="2:21">
      <c r="B27" s="437" t="s">
        <v>760</v>
      </c>
      <c r="I27">
        <f>-'Output_Standalone (IDR)'!J75*$F$4</f>
        <v>0</v>
      </c>
      <c r="J27">
        <f>-'Output_Standalone (IDR)'!K75*$F$4</f>
        <v>0</v>
      </c>
      <c r="K27">
        <f>-'Output_Standalone (IDR)'!L75*$F$4</f>
        <v>8.860552380952381</v>
      </c>
      <c r="L27">
        <f>-'Output_Standalone (IDR)'!M75*$F$4</f>
        <v>8.860552380952381</v>
      </c>
      <c r="M27">
        <f>-'Output_Standalone (IDR)'!N75*$F$4</f>
        <v>8.860552380952381</v>
      </c>
      <c r="N27">
        <f>-'Output_Standalone (IDR)'!O75*$F$4</f>
        <v>8.860552380952381</v>
      </c>
      <c r="O27">
        <f>-'Output_Standalone (IDR)'!P75*$F$4</f>
        <v>8.860552380952381</v>
      </c>
      <c r="P27">
        <f>-'Output_Standalone (IDR)'!Q75*$F$4</f>
        <v>8.860552380952381</v>
      </c>
      <c r="Q27">
        <f>-'Output_Standalone (IDR)'!R75*$F$4</f>
        <v>8.860552380952381</v>
      </c>
      <c r="R27">
        <f>-'Output_Standalone (IDR)'!S75*$F$4</f>
        <v>8.860552380952381</v>
      </c>
      <c r="S27">
        <f>-'Output_Standalone (IDR)'!T75*$F$4</f>
        <v>3.3227071428571433</v>
      </c>
      <c r="T27">
        <f>-'Output_Standalone (IDR)'!U75*$F$4</f>
        <v>3.3227071428571433</v>
      </c>
      <c r="U27">
        <f>-'Output_Standalone (IDR)'!V75*$F$4</f>
        <v>3.3227071428571433</v>
      </c>
    </row>
    <row r="28" spans="2:21">
      <c r="B28" s="407" t="s">
        <v>219</v>
      </c>
      <c r="I28">
        <f>-Calculation_FSL!J1474*Million*USD_IDR/Billion*$F$4</f>
        <v>0</v>
      </c>
      <c r="J28">
        <f>-Calculation_FSL!K1474*Million*USD_IDR/Billion*$F$4</f>
        <v>0</v>
      </c>
      <c r="K28">
        <f>-Calculation_FSL!L1474*Million*USD_IDR/Billion*$F$4</f>
        <v>-105.47077976190477</v>
      </c>
      <c r="L28" s="462">
        <f>-Calculation_FSL!M1474*Million*USD_IDR/Billion*$F$4</f>
        <v>-5.2861250000000002</v>
      </c>
      <c r="M28">
        <f>-Calculation_FSL!N1474*Million*USD_IDR/Billion*$F$4</f>
        <v>0</v>
      </c>
      <c r="N28">
        <f>-Calculation_FSL!O1474*Million*USD_IDR/Billion*$F$4</f>
        <v>0</v>
      </c>
      <c r="O28">
        <f>-Calculation_FSL!P1474*Million*USD_IDR/Billion*$F$4</f>
        <v>0</v>
      </c>
      <c r="P28">
        <f>-Calculation_FSL!Q1474*Million*USD_IDR/Billion*$F$4</f>
        <v>0</v>
      </c>
      <c r="Q28">
        <f>-Calculation_FSL!R1474*Million*USD_IDR/Billion*$F$4</f>
        <v>0</v>
      </c>
      <c r="R28">
        <f>-Calculation_FSL!S1474*Million*USD_IDR/Billion*$F$4</f>
        <v>0</v>
      </c>
      <c r="S28">
        <f>-Calculation_FSL!T1474*Million*USD_IDR/Billion*$F$4</f>
        <v>0</v>
      </c>
      <c r="T28">
        <f>-Calculation_FSL!U1474*Million*USD_IDR/Billion*$F$4</f>
        <v>0</v>
      </c>
      <c r="U28">
        <f>-Calculation_FSL!V1474*Million*USD_IDR/Billion*$F$4</f>
        <v>0</v>
      </c>
    </row>
    <row r="29" spans="2:21">
      <c r="B29" s="407" t="s">
        <v>311</v>
      </c>
      <c r="I29">
        <f>I22*$F$4</f>
        <v>0</v>
      </c>
      <c r="J29">
        <f t="shared" ref="J29:U29" si="8">J22*$F$4</f>
        <v>0</v>
      </c>
      <c r="K29">
        <f t="shared" si="8"/>
        <v>-2.1165055423460766</v>
      </c>
      <c r="L29">
        <f t="shared" si="8"/>
        <v>4.2055397544451978E-2</v>
      </c>
      <c r="M29">
        <f t="shared" si="8"/>
        <v>4.865690095934383E-2</v>
      </c>
      <c r="N29">
        <f t="shared" si="8"/>
        <v>-0.19744698757422308</v>
      </c>
      <c r="O29">
        <f t="shared" si="8"/>
        <v>8.2035485581292367E-2</v>
      </c>
      <c r="P29">
        <f t="shared" si="8"/>
        <v>2.9182996115066029E-2</v>
      </c>
      <c r="Q29">
        <f t="shared" si="8"/>
        <v>5.4002115735017231E-2</v>
      </c>
      <c r="R29">
        <f t="shared" si="8"/>
        <v>-0.20673572869572077</v>
      </c>
      <c r="S29">
        <f t="shared" si="8"/>
        <v>5.165822883569815E-2</v>
      </c>
      <c r="T29">
        <f t="shared" si="8"/>
        <v>8.8965105299643632E-2</v>
      </c>
      <c r="U29">
        <f t="shared" si="8"/>
        <v>2.7603461883026092E-2</v>
      </c>
    </row>
    <row r="30" spans="2:21">
      <c r="B30" s="28" t="s">
        <v>761</v>
      </c>
      <c r="C30" s="28"/>
      <c r="D30" s="28"/>
      <c r="E30" s="28"/>
      <c r="F30" s="28"/>
      <c r="G30" s="28"/>
      <c r="H30" s="28"/>
      <c r="I30" s="47">
        <f>SUM(I25:I29)</f>
        <v>0</v>
      </c>
      <c r="J30" s="47">
        <f t="shared" ref="J30:R30" si="9">SUM(J25:J29)</f>
        <v>0</v>
      </c>
      <c r="K30" s="47">
        <f t="shared" si="9"/>
        <v>-85.552326183577051</v>
      </c>
      <c r="L30" s="47">
        <f t="shared" si="9"/>
        <v>16.391783795521391</v>
      </c>
      <c r="M30" s="47">
        <f t="shared" si="9"/>
        <v>21.27542693317201</v>
      </c>
      <c r="N30" s="47">
        <f t="shared" si="9"/>
        <v>22.850424332377919</v>
      </c>
      <c r="O30" s="47">
        <f t="shared" si="9"/>
        <v>22.351390047366973</v>
      </c>
      <c r="P30" s="47">
        <f t="shared" si="9"/>
        <v>22.02159092476877</v>
      </c>
      <c r="Q30" s="47">
        <f t="shared" si="9"/>
        <v>21.587438476547021</v>
      </c>
      <c r="R30" s="47">
        <f t="shared" si="9"/>
        <v>23.235114186955059</v>
      </c>
      <c r="S30" s="47">
        <f>SUM(S25:S29)</f>
        <v>21.784945600454751</v>
      </c>
      <c r="T30" s="47">
        <f>SUM(T25:T29)</f>
        <v>20.977973627625072</v>
      </c>
      <c r="U30" s="47">
        <f>SUM(U25:U29)</f>
        <v>20.709164873671771</v>
      </c>
    </row>
    <row r="32" spans="2:21">
      <c r="B32" t="s">
        <v>52</v>
      </c>
      <c r="F32" s="19"/>
    </row>
    <row r="33" spans="2:21">
      <c r="B33" s="28" t="s">
        <v>762</v>
      </c>
      <c r="C33" s="28"/>
      <c r="D33" s="28"/>
      <c r="E33" s="28"/>
      <c r="F33" s="28"/>
      <c r="G33" s="28"/>
      <c r="H33" s="28"/>
      <c r="I33" s="47">
        <f t="shared" ref="I33:R33" si="10">SUM(I30,J32)</f>
        <v>0</v>
      </c>
      <c r="J33" s="47">
        <f t="shared" si="10"/>
        <v>0</v>
      </c>
      <c r="K33" s="47">
        <f t="shared" si="10"/>
        <v>-85.552326183577051</v>
      </c>
      <c r="L33" s="47">
        <f t="shared" si="10"/>
        <v>16.391783795521391</v>
      </c>
      <c r="M33" s="47">
        <f t="shared" si="10"/>
        <v>21.27542693317201</v>
      </c>
      <c r="N33" s="47">
        <f t="shared" si="10"/>
        <v>22.850424332377919</v>
      </c>
      <c r="O33" s="47">
        <f t="shared" si="10"/>
        <v>22.351390047366973</v>
      </c>
      <c r="P33" s="47">
        <f t="shared" si="10"/>
        <v>22.02159092476877</v>
      </c>
      <c r="Q33" s="47">
        <f t="shared" si="10"/>
        <v>21.587438476547021</v>
      </c>
      <c r="R33" s="47">
        <f t="shared" si="10"/>
        <v>23.235114186955059</v>
      </c>
      <c r="S33" s="47">
        <f>SUM(S30,T32)</f>
        <v>21.784945600454751</v>
      </c>
      <c r="T33" s="47">
        <f>SUM(T30,U32)</f>
        <v>20.977973627625072</v>
      </c>
      <c r="U33" s="47">
        <f>SUM(U30,V32)</f>
        <v>20.709164873671771</v>
      </c>
    </row>
    <row r="35" spans="2:21">
      <c r="B35" t="s">
        <v>763</v>
      </c>
      <c r="I35">
        <f>SUM($I$30:I30)</f>
        <v>0</v>
      </c>
      <c r="J35">
        <f>SUM($I$30:J30)</f>
        <v>0</v>
      </c>
      <c r="K35">
        <f>SUM($I$30:K30)</f>
        <v>-85.552326183577051</v>
      </c>
      <c r="L35">
        <f>SUM($I$30:L30)</f>
        <v>-69.16054238805566</v>
      </c>
      <c r="M35">
        <f>SUM($I$30:M30)</f>
        <v>-47.885115454883646</v>
      </c>
      <c r="N35">
        <f>SUM($I$30:N30)</f>
        <v>-25.034691122505727</v>
      </c>
      <c r="O35">
        <f>SUM($I$30:O30)</f>
        <v>-2.683301075138754</v>
      </c>
      <c r="P35">
        <f>SUM($I$30:P30)</f>
        <v>19.338289849630016</v>
      </c>
      <c r="Q35">
        <f>SUM($I$30:Q30)</f>
        <v>40.925728326177037</v>
      </c>
      <c r="R35">
        <f>SUM($I$30:R30)</f>
        <v>64.160842513132096</v>
      </c>
      <c r="S35">
        <f>SUM($I$30:S30)</f>
        <v>85.945788113586843</v>
      </c>
      <c r="T35">
        <f>SUM($I$30:T30)</f>
        <v>106.92376174121192</v>
      </c>
      <c r="U35">
        <f>SUM($I$30:U30)</f>
        <v>127.63292661488369</v>
      </c>
    </row>
    <row r="36" spans="2:21">
      <c r="B36" t="s">
        <v>764</v>
      </c>
      <c r="H36">
        <f>SUM(I36:U36)</f>
        <v>5</v>
      </c>
      <c r="I36" s="13">
        <f>IF(I35&lt;0,1,0)</f>
        <v>0</v>
      </c>
      <c r="J36" s="13">
        <f t="shared" ref="J36:R36" si="11">IF(J35&lt;0,1,0)</f>
        <v>0</v>
      </c>
      <c r="K36" s="13">
        <f t="shared" si="11"/>
        <v>1</v>
      </c>
      <c r="L36" s="13">
        <f t="shared" si="11"/>
        <v>1</v>
      </c>
      <c r="M36" s="13">
        <f t="shared" si="11"/>
        <v>1</v>
      </c>
      <c r="N36" s="13">
        <f t="shared" si="11"/>
        <v>1</v>
      </c>
      <c r="O36" s="13">
        <f t="shared" si="11"/>
        <v>1</v>
      </c>
      <c r="P36" s="13">
        <f t="shared" si="11"/>
        <v>0</v>
      </c>
      <c r="Q36" s="13">
        <f t="shared" si="11"/>
        <v>0</v>
      </c>
      <c r="R36" s="13">
        <f t="shared" si="11"/>
        <v>0</v>
      </c>
      <c r="S36" s="13">
        <f>IF(S35&lt;0,1,0)</f>
        <v>0</v>
      </c>
      <c r="T36" s="13">
        <f>IF(T35&lt;0,1,0)</f>
        <v>0</v>
      </c>
      <c r="U36" s="13">
        <f>IF(U35&lt;0,1,0)</f>
        <v>0</v>
      </c>
    </row>
    <row r="37" spans="2:21">
      <c r="B37" t="s">
        <v>765</v>
      </c>
      <c r="I37" s="13">
        <f>IF(AND(H36=1,I36=0),IF(MAX(I35,0),1),0)</f>
        <v>0</v>
      </c>
      <c r="J37" s="13">
        <f t="shared" ref="J37:R37" si="12">IF(AND(I36=1,J36=0),IF(MAX(J35,0),1),0)</f>
        <v>0</v>
      </c>
      <c r="K37" s="13">
        <f t="shared" si="12"/>
        <v>0</v>
      </c>
      <c r="L37" s="13">
        <f t="shared" si="12"/>
        <v>0</v>
      </c>
      <c r="M37" s="13">
        <f t="shared" si="12"/>
        <v>0</v>
      </c>
      <c r="N37" s="13">
        <f t="shared" si="12"/>
        <v>0</v>
      </c>
      <c r="O37" s="13">
        <f t="shared" si="12"/>
        <v>0</v>
      </c>
      <c r="P37" s="13">
        <f t="shared" si="12"/>
        <v>1</v>
      </c>
      <c r="Q37" s="13">
        <f t="shared" si="12"/>
        <v>0</v>
      </c>
      <c r="R37" s="13">
        <f t="shared" si="12"/>
        <v>0</v>
      </c>
      <c r="S37" s="13">
        <f>IF(AND(R36=1,S36=0),IF(MAX(S35,0),1),0)</f>
        <v>0</v>
      </c>
      <c r="T37" s="13">
        <f>IF(AND(S36=1,T36=0),IF(MAX(T35,0),1),0)</f>
        <v>0</v>
      </c>
      <c r="U37" s="13">
        <f>IF(AND(T36=1,U36=0),IF(MAX(U35,0),1),0)</f>
        <v>0</v>
      </c>
    </row>
    <row r="38" spans="2:21">
      <c r="B38" t="s">
        <v>766</v>
      </c>
      <c r="H38" s="22">
        <f>SUM(I38:U38)</f>
        <v>0.12184864773419767</v>
      </c>
      <c r="I38" s="22">
        <f t="shared" ref="I38:R38" si="13">IF(I37=1,-H35/I33,0)</f>
        <v>0</v>
      </c>
      <c r="J38" s="22">
        <f t="shared" si="13"/>
        <v>0</v>
      </c>
      <c r="K38" s="22">
        <f t="shared" si="13"/>
        <v>0</v>
      </c>
      <c r="L38" s="22">
        <f t="shared" si="13"/>
        <v>0</v>
      </c>
      <c r="M38" s="22">
        <f t="shared" si="13"/>
        <v>0</v>
      </c>
      <c r="N38" s="22">
        <f t="shared" si="13"/>
        <v>0</v>
      </c>
      <c r="O38" s="22">
        <f t="shared" si="13"/>
        <v>0</v>
      </c>
      <c r="P38" s="22">
        <f t="shared" si="13"/>
        <v>0.12184864773419767</v>
      </c>
      <c r="Q38" s="22">
        <f t="shared" si="13"/>
        <v>0</v>
      </c>
      <c r="R38" s="22">
        <f t="shared" si="13"/>
        <v>0</v>
      </c>
      <c r="S38" s="22">
        <f>IF(S37=1,-R35/S33,0)</f>
        <v>0</v>
      </c>
      <c r="T38" s="22">
        <f>IF(T37=1,-S35/T33,0)</f>
        <v>0</v>
      </c>
      <c r="U38" s="22">
        <f>IF(U37=1,-T35/U33,0)</f>
        <v>0</v>
      </c>
    </row>
    <row r="41" spans="2:21" ht="15.75">
      <c r="B41" s="15" t="s">
        <v>767</v>
      </c>
    </row>
    <row r="42" spans="2:21">
      <c r="B42" s="44" t="s">
        <v>54</v>
      </c>
      <c r="F42" s="21"/>
      <c r="H42" s="269">
        <f>IRR(K33:U33)</f>
        <v>0.20636566844898629</v>
      </c>
    </row>
    <row r="43" spans="2:21">
      <c r="B43" s="44" t="s">
        <v>768</v>
      </c>
      <c r="F43" s="22"/>
      <c r="H43" s="46">
        <f>SUM(H36,H38)</f>
        <v>5.1218486477341978</v>
      </c>
    </row>
    <row r="45" spans="2:21" ht="15.75">
      <c r="B45" s="15" t="str">
        <f>"2."&amp;'Calculation FKS PoV'!C86</f>
        <v>2.Cigading Expansion: Wharf 2</v>
      </c>
      <c r="F45" s="6">
        <f>Output_FSL!F32*0</f>
        <v>0</v>
      </c>
    </row>
    <row r="46" spans="2:21">
      <c r="B46" t="s">
        <v>300</v>
      </c>
    </row>
    <row r="47" spans="2:21">
      <c r="B47" s="407" t="s">
        <v>302</v>
      </c>
      <c r="I47" s="21"/>
    </row>
    <row r="48" spans="2:21">
      <c r="B48" s="407" t="s">
        <v>9</v>
      </c>
      <c r="I48" s="50">
        <f>'Output_Standalone (IDR)'!J139</f>
        <v>0</v>
      </c>
      <c r="J48" s="50">
        <f>'Output_Standalone (IDR)'!K139</f>
        <v>100.31220909619201</v>
      </c>
      <c r="K48" s="50">
        <f>'Output_Standalone (IDR)'!L139</f>
        <v>103.32157536907776</v>
      </c>
      <c r="L48" s="50">
        <f>'Output_Standalone (IDR)'!M139</f>
        <v>127.70546715618015</v>
      </c>
      <c r="M48" s="50">
        <f>'Output_Standalone (IDR)'!N139</f>
        <v>131.53663117086555</v>
      </c>
      <c r="N48" s="50">
        <f>'Output_Standalone (IDR)'!O139</f>
        <v>149.03100311659063</v>
      </c>
      <c r="O48" s="50">
        <f>'Output_Standalone (IDR)'!P139</f>
        <v>153.50193321008834</v>
      </c>
      <c r="P48" s="50">
        <f>'Output_Standalone (IDR)'!Q139</f>
        <v>167.59341067877452</v>
      </c>
      <c r="Q48" s="50">
        <f>'Output_Standalone (IDR)'!R139</f>
        <v>172.62121299913773</v>
      </c>
      <c r="R48" s="50">
        <f>'Output_Standalone (IDR)'!S139</f>
        <v>188.46784035245858</v>
      </c>
      <c r="S48" s="50">
        <f>'Output_Standalone (IDR)'!T139</f>
        <v>194.12187556303238</v>
      </c>
      <c r="T48" s="50">
        <f>'Output_Standalone (IDR)'!U139</f>
        <v>199.94553182992331</v>
      </c>
      <c r="U48" s="50">
        <f>'Output_Standalone (IDR)'!V139</f>
        <v>205.94389778482102</v>
      </c>
    </row>
    <row r="49" spans="2:21">
      <c r="B49" s="407" t="s">
        <v>303</v>
      </c>
      <c r="F49" s="19">
        <v>45</v>
      </c>
      <c r="I49" s="19">
        <v>45</v>
      </c>
      <c r="J49" s="19">
        <v>45</v>
      </c>
      <c r="K49" s="19">
        <v>45</v>
      </c>
      <c r="L49" s="19">
        <v>45</v>
      </c>
      <c r="M49" s="19">
        <v>45</v>
      </c>
      <c r="N49" s="19">
        <v>45</v>
      </c>
      <c r="O49" s="19">
        <v>45</v>
      </c>
      <c r="P49" s="19">
        <v>45</v>
      </c>
      <c r="Q49" s="19">
        <v>45</v>
      </c>
      <c r="R49" s="19">
        <v>45</v>
      </c>
      <c r="S49" s="19">
        <v>45</v>
      </c>
      <c r="T49" s="19">
        <v>45</v>
      </c>
      <c r="U49" s="19">
        <v>45</v>
      </c>
    </row>
    <row r="50" spans="2:21">
      <c r="B50" s="28" t="s">
        <v>304</v>
      </c>
      <c r="C50" s="28"/>
      <c r="D50" s="28"/>
      <c r="E50" s="28"/>
      <c r="F50" s="28"/>
      <c r="G50" s="28"/>
      <c r="H50" s="28"/>
      <c r="I50" s="47">
        <f>I48*I49/I$3</f>
        <v>0</v>
      </c>
      <c r="J50" s="47">
        <f t="shared" ref="J50:R50" si="14">J48*J49/J$3</f>
        <v>12.367258655694906</v>
      </c>
      <c r="K50" s="47">
        <f t="shared" si="14"/>
        <v>12.738276415365752</v>
      </c>
      <c r="L50" s="47">
        <f t="shared" si="14"/>
        <v>15.744509649392072</v>
      </c>
      <c r="M50" s="47">
        <f t="shared" si="14"/>
        <v>16.172536619368714</v>
      </c>
      <c r="N50" s="47">
        <f t="shared" si="14"/>
        <v>18.373685315744051</v>
      </c>
      <c r="O50" s="47">
        <f t="shared" si="14"/>
        <v>18.924895875216372</v>
      </c>
      <c r="P50" s="47">
        <f t="shared" si="14"/>
        <v>20.662201316561241</v>
      </c>
      <c r="Q50" s="47">
        <f t="shared" si="14"/>
        <v>21.223919631041525</v>
      </c>
      <c r="R50" s="47">
        <f t="shared" si="14"/>
        <v>23.235761139344209</v>
      </c>
      <c r="S50" s="47">
        <f>S48*S49/S$3</f>
        <v>23.932833973524538</v>
      </c>
      <c r="T50" s="47">
        <f>T48*T49/T$3</f>
        <v>24.650818992730269</v>
      </c>
      <c r="U50" s="47">
        <f>U48*U49/U$3</f>
        <v>25.320971039117339</v>
      </c>
    </row>
    <row r="51" spans="2:21">
      <c r="I51" s="21"/>
    </row>
    <row r="52" spans="2:21">
      <c r="B52" s="407" t="s">
        <v>306</v>
      </c>
      <c r="I52" s="21"/>
    </row>
    <row r="53" spans="2:21">
      <c r="B53" s="407" t="s">
        <v>307</v>
      </c>
      <c r="I53" s="33">
        <f>-'Output_Standalone (IDR)'!J140</f>
        <v>0</v>
      </c>
      <c r="J53" s="33">
        <f>-'Output_Standalone (IDR)'!K140</f>
        <v>9.5149427163807232</v>
      </c>
      <c r="K53" s="33">
        <f>-'Output_Standalone (IDR)'!L140</f>
        <v>10.031008263808308</v>
      </c>
      <c r="L53" s="33">
        <f>-'Output_Standalone (IDR)'!M140</f>
        <v>10.578502203074235</v>
      </c>
      <c r="M53" s="33">
        <f>-'Output_Standalone (IDR)'!N140</f>
        <v>11.159338523241455</v>
      </c>
      <c r="N53" s="33">
        <f>-'Output_Standalone (IDR)'!O140</f>
        <v>11.775547775306862</v>
      </c>
      <c r="O53" s="33">
        <f>-'Output_Standalone (IDR)'!P140</f>
        <v>12.429284170823049</v>
      </c>
      <c r="P53" s="33">
        <f>-'Output_Standalone (IDR)'!Q140</f>
        <v>13.122833112826175</v>
      </c>
      <c r="Q53" s="33">
        <f>-'Output_Standalone (IDR)'!R140</f>
        <v>13.85861918539729</v>
      </c>
      <c r="R53" s="33">
        <f>-'Output_Standalone (IDR)'!S140</f>
        <v>14.639214629787984</v>
      </c>
      <c r="S53" s="33">
        <f>-'Output_Standalone (IDR)'!T140</f>
        <v>15.467348336742075</v>
      </c>
      <c r="T53" s="33">
        <f>-'Output_Standalone (IDR)'!U140</f>
        <v>16.345915386449665</v>
      </c>
      <c r="U53" s="33">
        <f>-'Output_Standalone (IDR)'!V140</f>
        <v>17.277987169484451</v>
      </c>
    </row>
    <row r="54" spans="2:21">
      <c r="B54" s="407" t="s">
        <v>308</v>
      </c>
      <c r="F54" s="19">
        <v>40</v>
      </c>
    </row>
    <row r="55" spans="2:21">
      <c r="B55" s="28" t="s">
        <v>204</v>
      </c>
      <c r="C55" s="28"/>
      <c r="D55" s="28"/>
      <c r="E55" s="28"/>
      <c r="F55" s="28"/>
      <c r="G55" s="28"/>
      <c r="H55" s="28"/>
      <c r="I55" s="47">
        <f t="shared" ref="I55:R55" si="15">I53*$F54/I$3</f>
        <v>0</v>
      </c>
      <c r="J55" s="47">
        <f t="shared" si="15"/>
        <v>1.0427334483704902</v>
      </c>
      <c r="K55" s="47">
        <f t="shared" si="15"/>
        <v>1.099288576855705</v>
      </c>
      <c r="L55" s="47">
        <f t="shared" si="15"/>
        <v>1.1592879126656697</v>
      </c>
      <c r="M55" s="47">
        <f t="shared" si="15"/>
        <v>1.2195998386056237</v>
      </c>
      <c r="N55" s="47">
        <f t="shared" si="15"/>
        <v>1.2904709890747246</v>
      </c>
      <c r="O55" s="47">
        <f t="shared" si="15"/>
        <v>1.3621133337888274</v>
      </c>
      <c r="P55" s="47">
        <f t="shared" si="15"/>
        <v>1.4381186972960192</v>
      </c>
      <c r="Q55" s="47">
        <f t="shared" si="15"/>
        <v>1.514603189660906</v>
      </c>
      <c r="R55" s="47">
        <f t="shared" si="15"/>
        <v>1.6042974936753955</v>
      </c>
      <c r="S55" s="47">
        <f>S53*$F54/S$3</f>
        <v>1.6950518725196795</v>
      </c>
      <c r="T55" s="47">
        <f>T53*$F54/T$3</f>
        <v>1.7913331930355796</v>
      </c>
      <c r="U55" s="47">
        <f>U53*$F54/U$3</f>
        <v>1.8883046086868251</v>
      </c>
    </row>
    <row r="56" spans="2:21">
      <c r="I56" s="21"/>
    </row>
    <row r="57" spans="2:21">
      <c r="B57" s="407" t="s">
        <v>309</v>
      </c>
      <c r="I57" s="21"/>
    </row>
    <row r="58" spans="2:21">
      <c r="B58" s="407" t="s">
        <v>307</v>
      </c>
      <c r="I58" s="50">
        <f>I53</f>
        <v>0</v>
      </c>
      <c r="J58" s="50">
        <f t="shared" ref="J58:R58" si="16">J53</f>
        <v>9.5149427163807232</v>
      </c>
      <c r="K58" s="50">
        <f t="shared" si="16"/>
        <v>10.031008263808308</v>
      </c>
      <c r="L58" s="50">
        <f t="shared" si="16"/>
        <v>10.578502203074235</v>
      </c>
      <c r="M58" s="50">
        <f t="shared" si="16"/>
        <v>11.159338523241455</v>
      </c>
      <c r="N58" s="50">
        <f t="shared" si="16"/>
        <v>11.775547775306862</v>
      </c>
      <c r="O58" s="50">
        <f t="shared" si="16"/>
        <v>12.429284170823049</v>
      </c>
      <c r="P58" s="50">
        <f t="shared" si="16"/>
        <v>13.122833112826175</v>
      </c>
      <c r="Q58" s="50">
        <f t="shared" si="16"/>
        <v>13.85861918539729</v>
      </c>
      <c r="R58" s="50">
        <f t="shared" si="16"/>
        <v>14.639214629787984</v>
      </c>
      <c r="S58" s="50">
        <f>S53</f>
        <v>15.467348336742075</v>
      </c>
      <c r="T58" s="50">
        <f>T53</f>
        <v>16.345915386449665</v>
      </c>
      <c r="U58" s="50">
        <f>U53</f>
        <v>17.277987169484451</v>
      </c>
    </row>
    <row r="59" spans="2:21">
      <c r="B59" s="407" t="s">
        <v>310</v>
      </c>
      <c r="F59" s="19">
        <v>30</v>
      </c>
      <c r="I59" s="19">
        <v>30</v>
      </c>
      <c r="J59" s="19">
        <v>30</v>
      </c>
      <c r="K59" s="19">
        <v>30</v>
      </c>
      <c r="L59" s="19">
        <v>30</v>
      </c>
      <c r="M59" s="19">
        <v>30</v>
      </c>
      <c r="N59" s="19">
        <v>30</v>
      </c>
      <c r="O59" s="19">
        <v>30</v>
      </c>
      <c r="P59" s="19">
        <v>30</v>
      </c>
      <c r="Q59" s="19">
        <v>30</v>
      </c>
      <c r="R59" s="19">
        <v>30</v>
      </c>
      <c r="S59" s="19">
        <v>30</v>
      </c>
      <c r="T59" s="19">
        <v>30</v>
      </c>
      <c r="U59" s="19">
        <v>30</v>
      </c>
    </row>
    <row r="60" spans="2:21">
      <c r="B60" s="28" t="s">
        <v>240</v>
      </c>
      <c r="C60" s="28"/>
      <c r="D60" s="28"/>
      <c r="E60" s="28"/>
      <c r="F60" s="28"/>
      <c r="G60" s="28"/>
      <c r="H60" s="28"/>
      <c r="I60" s="47">
        <f t="shared" ref="I60:R60" si="17">I58*I59/I$3</f>
        <v>0</v>
      </c>
      <c r="J60" s="47">
        <f t="shared" si="17"/>
        <v>0.78205008627786765</v>
      </c>
      <c r="K60" s="47">
        <f t="shared" si="17"/>
        <v>0.82446643264177877</v>
      </c>
      <c r="L60" s="47">
        <f t="shared" si="17"/>
        <v>0.86946593449925214</v>
      </c>
      <c r="M60" s="47">
        <f t="shared" si="17"/>
        <v>0.91469987895421767</v>
      </c>
      <c r="N60" s="47">
        <f t="shared" si="17"/>
        <v>0.96785324180604348</v>
      </c>
      <c r="O60" s="47">
        <f t="shared" si="17"/>
        <v>1.0215850003416205</v>
      </c>
      <c r="P60" s="47">
        <f t="shared" si="17"/>
        <v>1.0785890229720143</v>
      </c>
      <c r="Q60" s="47">
        <f t="shared" si="17"/>
        <v>1.1359523922456796</v>
      </c>
      <c r="R60" s="47">
        <f t="shared" si="17"/>
        <v>1.2032231202565467</v>
      </c>
      <c r="S60" s="47">
        <f>S58*S59/S$3</f>
        <v>1.2712889043897597</v>
      </c>
      <c r="T60" s="47">
        <f>T58*T59/T$3</f>
        <v>1.3434998947766847</v>
      </c>
      <c r="U60" s="47">
        <f>U58*U59/U$3</f>
        <v>1.4162284565151189</v>
      </c>
    </row>
    <row r="62" spans="2:21">
      <c r="B62" t="s">
        <v>300</v>
      </c>
      <c r="I62" s="23">
        <f>SUM(I50,I55,-I60)</f>
        <v>0</v>
      </c>
      <c r="J62" s="23">
        <f t="shared" ref="J62:R62" si="18">SUM(J50,J55,-J60)</f>
        <v>12.627942017787527</v>
      </c>
      <c r="K62" s="23">
        <f t="shared" si="18"/>
        <v>13.013098559579676</v>
      </c>
      <c r="L62" s="23">
        <f t="shared" si="18"/>
        <v>16.034331627558487</v>
      </c>
      <c r="M62" s="23">
        <f t="shared" si="18"/>
        <v>16.477436579020122</v>
      </c>
      <c r="N62" s="23">
        <f t="shared" si="18"/>
        <v>18.696303063012731</v>
      </c>
      <c r="O62" s="23">
        <f t="shared" si="18"/>
        <v>19.265424208663578</v>
      </c>
      <c r="P62" s="23">
        <f t="shared" si="18"/>
        <v>21.021730990885246</v>
      </c>
      <c r="Q62" s="23">
        <f t="shared" si="18"/>
        <v>21.602570428456751</v>
      </c>
      <c r="R62" s="23">
        <f t="shared" si="18"/>
        <v>23.63683551276306</v>
      </c>
      <c r="S62" s="23">
        <f>SUM(S50,S55,-S60)</f>
        <v>24.356596941654459</v>
      </c>
      <c r="T62" s="23">
        <f>SUM(T50,T55,-T60)</f>
        <v>25.098652290989165</v>
      </c>
      <c r="U62" s="23">
        <f>SUM(U50,U55,-U60)</f>
        <v>25.793047191289045</v>
      </c>
    </row>
    <row r="63" spans="2:21">
      <c r="B63" t="s">
        <v>311</v>
      </c>
      <c r="I63" s="23">
        <f t="shared" ref="I63:R63" si="19">H62-I62</f>
        <v>0</v>
      </c>
      <c r="J63" s="23">
        <f t="shared" si="19"/>
        <v>-12.627942017787527</v>
      </c>
      <c r="K63" s="23">
        <f t="shared" si="19"/>
        <v>-0.3851565417921492</v>
      </c>
      <c r="L63" s="23">
        <f t="shared" si="19"/>
        <v>-3.0212330679788106</v>
      </c>
      <c r="M63" s="23">
        <f t="shared" si="19"/>
        <v>-0.44310495146163476</v>
      </c>
      <c r="N63" s="23">
        <f t="shared" si="19"/>
        <v>-2.2188664839926098</v>
      </c>
      <c r="O63" s="23">
        <f t="shared" si="19"/>
        <v>-0.56912114565084693</v>
      </c>
      <c r="P63" s="23">
        <f t="shared" si="19"/>
        <v>-1.7563067822216674</v>
      </c>
      <c r="Q63" s="23">
        <f t="shared" si="19"/>
        <v>-0.58083943757150536</v>
      </c>
      <c r="R63" s="23">
        <f t="shared" si="19"/>
        <v>-2.034265084306309</v>
      </c>
      <c r="S63" s="23">
        <f>R62-S62</f>
        <v>-0.71976142889139894</v>
      </c>
      <c r="T63" s="23">
        <f>S62-T62</f>
        <v>-0.74205534933470574</v>
      </c>
      <c r="U63" s="23">
        <f>T62-U62</f>
        <v>-0.69439490029987994</v>
      </c>
    </row>
    <row r="65" spans="2:21" ht="15.75">
      <c r="B65" s="15" t="s">
        <v>758</v>
      </c>
    </row>
    <row r="66" spans="2:21">
      <c r="B66" s="407" t="s">
        <v>434</v>
      </c>
      <c r="I66" s="462">
        <f>'Output_Standalone (IDR)'!J147*$F$45</f>
        <v>0</v>
      </c>
      <c r="J66">
        <f>'Output_Standalone (IDR)'!K147*$F$45</f>
        <v>0</v>
      </c>
      <c r="K66">
        <f>'Output_Standalone (IDR)'!L147*$F$45</f>
        <v>0</v>
      </c>
      <c r="L66">
        <f>'Output_Standalone (IDR)'!M147*$F$45</f>
        <v>0</v>
      </c>
      <c r="M66">
        <f>'Output_Standalone (IDR)'!N147*$F$45</f>
        <v>0</v>
      </c>
      <c r="N66">
        <f>'Output_Standalone (IDR)'!O147*$F$45</f>
        <v>0</v>
      </c>
      <c r="O66">
        <f>'Output_Standalone (IDR)'!P147*$F$45</f>
        <v>0</v>
      </c>
      <c r="P66">
        <f>'Output_Standalone (IDR)'!Q147*$F$45</f>
        <v>0</v>
      </c>
      <c r="Q66">
        <f>'Output_Standalone (IDR)'!R147*$F$45</f>
        <v>0</v>
      </c>
      <c r="R66">
        <f>'Output_Standalone (IDR)'!S147*$F$45</f>
        <v>0</v>
      </c>
      <c r="S66">
        <f>'Output_Standalone (IDR)'!T147*$F$45</f>
        <v>0</v>
      </c>
      <c r="T66">
        <f>'Output_Standalone (IDR)'!U147*$F$45</f>
        <v>0</v>
      </c>
      <c r="U66">
        <f>'Output_Standalone (IDR)'!V147*$F$45</f>
        <v>0</v>
      </c>
    </row>
    <row r="67" spans="2:21">
      <c r="B67" s="407" t="s">
        <v>759</v>
      </c>
      <c r="I67">
        <f>-IF(I66&lt;0,0,I66*22%)*$F$45</f>
        <v>0</v>
      </c>
      <c r="J67">
        <f t="shared" ref="J67:U67" si="20">-IF(J66&lt;0,0,J66*22%)*$F$45</f>
        <v>0</v>
      </c>
      <c r="K67">
        <f t="shared" si="20"/>
        <v>0</v>
      </c>
      <c r="L67">
        <f t="shared" si="20"/>
        <v>0</v>
      </c>
      <c r="M67">
        <f t="shared" si="20"/>
        <v>0</v>
      </c>
      <c r="N67">
        <f t="shared" si="20"/>
        <v>0</v>
      </c>
      <c r="O67">
        <f t="shared" si="20"/>
        <v>0</v>
      </c>
      <c r="P67">
        <f t="shared" si="20"/>
        <v>0</v>
      </c>
      <c r="Q67">
        <f t="shared" si="20"/>
        <v>0</v>
      </c>
      <c r="R67">
        <f t="shared" si="20"/>
        <v>0</v>
      </c>
      <c r="S67">
        <f t="shared" si="20"/>
        <v>0</v>
      </c>
      <c r="T67">
        <f t="shared" si="20"/>
        <v>0</v>
      </c>
      <c r="U67">
        <f t="shared" si="20"/>
        <v>0</v>
      </c>
    </row>
    <row r="68" spans="2:21">
      <c r="B68" s="437" t="s">
        <v>760</v>
      </c>
      <c r="I68">
        <f>-'Output_Standalone (IDR)'!J146*$F$45</f>
        <v>0</v>
      </c>
      <c r="J68">
        <f>-'Output_Standalone (IDR)'!K146*$F$45</f>
        <v>0</v>
      </c>
      <c r="K68">
        <f>-'Output_Standalone (IDR)'!L146*$F$45</f>
        <v>0</v>
      </c>
      <c r="L68">
        <f>-'Output_Standalone (IDR)'!M146*$F$45</f>
        <v>0</v>
      </c>
      <c r="M68">
        <f>-'Output_Standalone (IDR)'!N146*$F$45</f>
        <v>0</v>
      </c>
      <c r="N68">
        <f>-'Output_Standalone (IDR)'!O146*$F$45</f>
        <v>0</v>
      </c>
      <c r="O68">
        <f>-'Output_Standalone (IDR)'!P146*$F$45</f>
        <v>0</v>
      </c>
      <c r="P68">
        <f>-'Output_Standalone (IDR)'!Q146*$F$45</f>
        <v>0</v>
      </c>
      <c r="Q68">
        <f>-'Output_Standalone (IDR)'!R146*$F$45</f>
        <v>0</v>
      </c>
      <c r="R68">
        <f>-'Output_Standalone (IDR)'!S146*$F$45</f>
        <v>0</v>
      </c>
      <c r="S68">
        <f>-'Output_Standalone (IDR)'!T146*$F$45</f>
        <v>0</v>
      </c>
      <c r="T68">
        <f>-'Output_Standalone (IDR)'!U146*$F$45</f>
        <v>0</v>
      </c>
      <c r="U68">
        <f>-'Output_Standalone (IDR)'!V146*$F$45</f>
        <v>0</v>
      </c>
    </row>
    <row r="69" spans="2:21">
      <c r="B69" s="407" t="s">
        <v>219</v>
      </c>
      <c r="I69" s="462">
        <f>-SUM(Calculation_FSL!I1475:J1475)*USD_IDR/Thousands*$F$45</f>
        <v>0</v>
      </c>
      <c r="J69" s="462">
        <f>-SUM(Calculation_FSL!K1475)*USD_IDR/Thousands*$F$45</f>
        <v>0</v>
      </c>
      <c r="K69" s="462">
        <f>-SUM(Calculation_FSL!L1475)*USD_IDR/Thousands*$F$45</f>
        <v>0</v>
      </c>
      <c r="L69" s="462">
        <f>-SUM(Calculation_FSL!M1475)*USD_IDR/Thousands*$F$45</f>
        <v>0</v>
      </c>
      <c r="M69" s="462">
        <f>-SUM(Calculation_FSL!N1475)*USD_IDR/Thousands*$F$45</f>
        <v>0</v>
      </c>
      <c r="N69" s="462">
        <f>-SUM(Calculation_FSL!O1475)*USD_IDR/Thousands*$F$45</f>
        <v>0</v>
      </c>
      <c r="O69" s="462">
        <f>-SUM(Calculation_FSL!P1475)*USD_IDR/Thousands*$F$45</f>
        <v>0</v>
      </c>
      <c r="P69" s="462">
        <f>-SUM(Calculation_FSL!Q1475)*USD_IDR/Thousands*$F$45</f>
        <v>0</v>
      </c>
      <c r="Q69" s="462">
        <f>-SUM(Calculation_FSL!R1475)*USD_IDR/Thousands*$F$45</f>
        <v>0</v>
      </c>
      <c r="R69" s="462">
        <f>-SUM(Calculation_FSL!S1475)*USD_IDR/Thousands*$F$45</f>
        <v>0</v>
      </c>
      <c r="S69" s="462">
        <f>-SUM(Calculation_FSL!T1475)*USD_IDR/Thousands*$F$45</f>
        <v>0</v>
      </c>
      <c r="T69" s="462">
        <f>-SUM(Calculation_FSL!U1475)*USD_IDR/Thousands*$F$45</f>
        <v>0</v>
      </c>
      <c r="U69" s="462">
        <f>-SUM(Calculation_FSL!V1475)*USD_IDR/Thousands*$F$45</f>
        <v>0</v>
      </c>
    </row>
    <row r="70" spans="2:21">
      <c r="B70" s="407" t="s">
        <v>311</v>
      </c>
      <c r="I70">
        <f>I63*$F$45</f>
        <v>0</v>
      </c>
      <c r="J70">
        <f t="shared" ref="J70:U70" si="21">J63*$F$45</f>
        <v>0</v>
      </c>
      <c r="K70">
        <f t="shared" si="21"/>
        <v>0</v>
      </c>
      <c r="L70">
        <f t="shared" si="21"/>
        <v>0</v>
      </c>
      <c r="M70">
        <f t="shared" si="21"/>
        <v>0</v>
      </c>
      <c r="N70">
        <f t="shared" si="21"/>
        <v>0</v>
      </c>
      <c r="O70">
        <f t="shared" si="21"/>
        <v>0</v>
      </c>
      <c r="P70">
        <f t="shared" si="21"/>
        <v>0</v>
      </c>
      <c r="Q70">
        <f t="shared" si="21"/>
        <v>0</v>
      </c>
      <c r="R70">
        <f t="shared" si="21"/>
        <v>0</v>
      </c>
      <c r="S70">
        <f t="shared" si="21"/>
        <v>0</v>
      </c>
      <c r="T70">
        <f t="shared" si="21"/>
        <v>0</v>
      </c>
      <c r="U70">
        <f t="shared" si="21"/>
        <v>0</v>
      </c>
    </row>
    <row r="71" spans="2:21">
      <c r="B71" s="28" t="s">
        <v>761</v>
      </c>
      <c r="C71" s="28"/>
      <c r="D71" s="28"/>
      <c r="E71" s="28"/>
      <c r="F71" s="28"/>
      <c r="G71" s="28"/>
      <c r="H71" s="28"/>
      <c r="I71" s="47">
        <f>SUM(I66:I70)</f>
        <v>0</v>
      </c>
      <c r="J71" s="47">
        <f t="shared" ref="J71:R71" si="22">SUM(J66:J70)</f>
        <v>0</v>
      </c>
      <c r="K71" s="47">
        <f t="shared" si="22"/>
        <v>0</v>
      </c>
      <c r="L71" s="47">
        <f t="shared" si="22"/>
        <v>0</v>
      </c>
      <c r="M71" s="47">
        <f t="shared" si="22"/>
        <v>0</v>
      </c>
      <c r="N71" s="47">
        <f t="shared" si="22"/>
        <v>0</v>
      </c>
      <c r="O71" s="47">
        <f t="shared" si="22"/>
        <v>0</v>
      </c>
      <c r="P71" s="47">
        <f t="shared" si="22"/>
        <v>0</v>
      </c>
      <c r="Q71" s="47">
        <f t="shared" si="22"/>
        <v>0</v>
      </c>
      <c r="R71" s="47">
        <f t="shared" si="22"/>
        <v>0</v>
      </c>
      <c r="S71" s="47">
        <f>SUM(S66:S70)</f>
        <v>0</v>
      </c>
      <c r="T71" s="47">
        <f>SUM(T66:T70)</f>
        <v>0</v>
      </c>
      <c r="U71" s="47">
        <f>SUM(U66:U70)</f>
        <v>0</v>
      </c>
    </row>
    <row r="73" spans="2:21">
      <c r="B73" t="s">
        <v>52</v>
      </c>
      <c r="F73" s="19"/>
    </row>
    <row r="74" spans="2:21">
      <c r="B74" s="28" t="s">
        <v>762</v>
      </c>
      <c r="C74" s="28"/>
      <c r="D74" s="28"/>
      <c r="E74" s="28"/>
      <c r="F74" s="28"/>
      <c r="G74" s="28"/>
      <c r="H74" s="28"/>
      <c r="I74" s="47">
        <f t="shared" ref="I74:R74" si="23">SUM(I71,J73)</f>
        <v>0</v>
      </c>
      <c r="J74" s="47">
        <f t="shared" si="23"/>
        <v>0</v>
      </c>
      <c r="K74" s="47">
        <f t="shared" si="23"/>
        <v>0</v>
      </c>
      <c r="L74" s="47">
        <f t="shared" si="23"/>
        <v>0</v>
      </c>
      <c r="M74" s="47">
        <f t="shared" si="23"/>
        <v>0</v>
      </c>
      <c r="N74" s="47">
        <f t="shared" si="23"/>
        <v>0</v>
      </c>
      <c r="O74" s="47">
        <f t="shared" si="23"/>
        <v>0</v>
      </c>
      <c r="P74" s="47">
        <f t="shared" si="23"/>
        <v>0</v>
      </c>
      <c r="Q74" s="47">
        <f t="shared" si="23"/>
        <v>0</v>
      </c>
      <c r="R74" s="47">
        <f t="shared" si="23"/>
        <v>0</v>
      </c>
      <c r="S74" s="47">
        <f>SUM(S71,T73)</f>
        <v>0</v>
      </c>
      <c r="T74" s="47">
        <f>SUM(T71,U73)</f>
        <v>0</v>
      </c>
      <c r="U74" s="47">
        <f>SUM(U71,V73)</f>
        <v>0</v>
      </c>
    </row>
    <row r="76" spans="2:21">
      <c r="B76" t="s">
        <v>763</v>
      </c>
      <c r="I76">
        <f>SUM($I$71:I71)</f>
        <v>0</v>
      </c>
      <c r="J76">
        <f>SUM($I$71:J71)</f>
        <v>0</v>
      </c>
      <c r="K76">
        <f>SUM($I$71:K71)</f>
        <v>0</v>
      </c>
      <c r="L76">
        <f>SUM($I$71:L71)</f>
        <v>0</v>
      </c>
      <c r="M76">
        <f>SUM($I$71:M71)</f>
        <v>0</v>
      </c>
      <c r="N76">
        <f>SUM($I$71:N71)</f>
        <v>0</v>
      </c>
      <c r="O76">
        <f>SUM($I$71:O71)</f>
        <v>0</v>
      </c>
      <c r="P76">
        <f>SUM($I$71:P71)</f>
        <v>0</v>
      </c>
      <c r="Q76">
        <f>SUM($I$71:Q71)</f>
        <v>0</v>
      </c>
      <c r="R76">
        <f>SUM($I$71:R71)</f>
        <v>0</v>
      </c>
      <c r="S76">
        <f>SUM($I$71:S71)</f>
        <v>0</v>
      </c>
      <c r="T76">
        <f>SUM($I$71:T71)</f>
        <v>0</v>
      </c>
      <c r="U76">
        <f>SUM($I$71:U71)</f>
        <v>0</v>
      </c>
    </row>
    <row r="77" spans="2:21">
      <c r="B77" t="s">
        <v>764</v>
      </c>
      <c r="H77">
        <f>SUM(I77:U77)</f>
        <v>0</v>
      </c>
      <c r="I77" s="13">
        <f>IF(I76&lt;0,1,0)</f>
        <v>0</v>
      </c>
      <c r="J77" s="13">
        <f t="shared" ref="J77:R77" si="24">IF(J76&lt;0,1,0)</f>
        <v>0</v>
      </c>
      <c r="K77" s="13">
        <f t="shared" si="24"/>
        <v>0</v>
      </c>
      <c r="L77" s="13">
        <f t="shared" si="24"/>
        <v>0</v>
      </c>
      <c r="M77" s="13">
        <f t="shared" si="24"/>
        <v>0</v>
      </c>
      <c r="N77" s="13">
        <f t="shared" si="24"/>
        <v>0</v>
      </c>
      <c r="O77" s="13">
        <f t="shared" si="24"/>
        <v>0</v>
      </c>
      <c r="P77" s="13">
        <f t="shared" si="24"/>
        <v>0</v>
      </c>
      <c r="Q77" s="13">
        <f t="shared" si="24"/>
        <v>0</v>
      </c>
      <c r="R77" s="13">
        <f t="shared" si="24"/>
        <v>0</v>
      </c>
      <c r="S77" s="13">
        <f>IF(S76&lt;0,1,0)</f>
        <v>0</v>
      </c>
      <c r="T77" s="13">
        <f>IF(T76&lt;0,1,0)</f>
        <v>0</v>
      </c>
      <c r="U77" s="13">
        <f>IF(U76&lt;0,1,0)</f>
        <v>0</v>
      </c>
    </row>
    <row r="78" spans="2:21">
      <c r="B78" t="s">
        <v>765</v>
      </c>
      <c r="I78" s="13">
        <f t="shared" ref="I78:R78" si="25">IF(AND(H77=1,I77=0),IF(MAX(I76,0),1),0)</f>
        <v>0</v>
      </c>
      <c r="J78" s="13">
        <f t="shared" si="25"/>
        <v>0</v>
      </c>
      <c r="K78" s="13">
        <f t="shared" si="25"/>
        <v>0</v>
      </c>
      <c r="L78" s="13">
        <f t="shared" si="25"/>
        <v>0</v>
      </c>
      <c r="M78" s="13">
        <f t="shared" si="25"/>
        <v>0</v>
      </c>
      <c r="N78" s="13">
        <f t="shared" si="25"/>
        <v>0</v>
      </c>
      <c r="O78" s="13">
        <f t="shared" si="25"/>
        <v>0</v>
      </c>
      <c r="P78" s="13">
        <f t="shared" si="25"/>
        <v>0</v>
      </c>
      <c r="Q78" s="13">
        <f t="shared" si="25"/>
        <v>0</v>
      </c>
      <c r="R78" s="13">
        <f t="shared" si="25"/>
        <v>0</v>
      </c>
      <c r="S78" s="13">
        <f>IF(AND(R77=1,S77=0),IF(MAX(S76,0),1),0)</f>
        <v>0</v>
      </c>
      <c r="T78" s="13">
        <f>IF(AND(S77=1,T77=0),IF(MAX(T76,0),1),0)</f>
        <v>0</v>
      </c>
      <c r="U78" s="13">
        <f>IF(AND(T77=1,U77=0),IF(MAX(U76,0),1),0)</f>
        <v>0</v>
      </c>
    </row>
    <row r="79" spans="2:21">
      <c r="B79" t="s">
        <v>766</v>
      </c>
      <c r="H79" s="22">
        <f>SUM(I79:U79)</f>
        <v>0</v>
      </c>
      <c r="I79" s="22">
        <f t="shared" ref="I79:R79" si="26">IF(I78=1,-H76/I74,0)</f>
        <v>0</v>
      </c>
      <c r="J79" s="22">
        <f t="shared" si="26"/>
        <v>0</v>
      </c>
      <c r="K79" s="22">
        <f t="shared" si="26"/>
        <v>0</v>
      </c>
      <c r="L79" s="22">
        <f t="shared" si="26"/>
        <v>0</v>
      </c>
      <c r="M79" s="22">
        <f t="shared" si="26"/>
        <v>0</v>
      </c>
      <c r="N79" s="22">
        <f t="shared" si="26"/>
        <v>0</v>
      </c>
      <c r="O79" s="22">
        <f t="shared" si="26"/>
        <v>0</v>
      </c>
      <c r="P79" s="22">
        <f t="shared" si="26"/>
        <v>0</v>
      </c>
      <c r="Q79" s="22">
        <f t="shared" si="26"/>
        <v>0</v>
      </c>
      <c r="R79" s="22">
        <f t="shared" si="26"/>
        <v>0</v>
      </c>
      <c r="S79" s="22">
        <f>IF(S78=1,-R76/S74,0)</f>
        <v>0</v>
      </c>
      <c r="T79" s="22">
        <f>IF(T78=1,-S76/T74,0)</f>
        <v>0</v>
      </c>
      <c r="U79" s="22">
        <f>IF(U78=1,-T76/U74,0)</f>
        <v>0</v>
      </c>
    </row>
    <row r="82" spans="2:21" ht="15.75">
      <c r="B82" s="15" t="s">
        <v>767</v>
      </c>
    </row>
    <row r="83" spans="2:21">
      <c r="B83" s="44" t="s">
        <v>54</v>
      </c>
      <c r="F83" s="21"/>
      <c r="H83" s="269" t="e">
        <f>IRR(I74:U74)</f>
        <v>#NUM!</v>
      </c>
    </row>
    <row r="84" spans="2:21">
      <c r="B84" s="44" t="s">
        <v>768</v>
      </c>
      <c r="F84" s="22"/>
      <c r="H84" s="46">
        <f>SUM(H77,H79)</f>
        <v>0</v>
      </c>
    </row>
    <row r="86" spans="2:21" ht="15.75">
      <c r="B86" s="15" t="s">
        <v>769</v>
      </c>
    </row>
    <row r="87" spans="2:21">
      <c r="B87" t="s">
        <v>300</v>
      </c>
    </row>
    <row r="88" spans="2:21">
      <c r="B88" s="407" t="s">
        <v>302</v>
      </c>
      <c r="F88" s="16">
        <f>Output_FSL!F33*0</f>
        <v>0</v>
      </c>
      <c r="I88" s="21"/>
    </row>
    <row r="89" spans="2:21">
      <c r="B89" s="407" t="s">
        <v>9</v>
      </c>
      <c r="I89" s="50">
        <f>'Output_Standalone (IDR)'!J162</f>
        <v>0</v>
      </c>
      <c r="J89" s="50">
        <f>'Output_Standalone (IDR)'!K162</f>
        <v>31.5</v>
      </c>
      <c r="K89" s="50">
        <f>'Output_Standalone (IDR)'!L162</f>
        <v>32.445</v>
      </c>
      <c r="L89" s="50">
        <f>'Output_Standalone (IDR)'!M162</f>
        <v>33.418349999999997</v>
      </c>
      <c r="M89" s="50">
        <f>'Output_Standalone (IDR)'!N162</f>
        <v>34.420900500000002</v>
      </c>
      <c r="N89" s="50">
        <f>'Output_Standalone (IDR)'!O162</f>
        <v>35.453527514999998</v>
      </c>
      <c r="O89" s="50">
        <f>'Output_Standalone (IDR)'!P162</f>
        <v>36.517133340450002</v>
      </c>
      <c r="P89" s="50">
        <f>'Output_Standalone (IDR)'!Q162</f>
        <v>37.6126473406635</v>
      </c>
      <c r="Q89" s="50">
        <f>'Output_Standalone (IDR)'!R162</f>
        <v>38.741026760883415</v>
      </c>
      <c r="R89" s="50">
        <f>'Output_Standalone (IDR)'!S162</f>
        <v>39.903257563709914</v>
      </c>
      <c r="S89" s="50">
        <f>'Output_Standalone (IDR)'!T162</f>
        <v>41.100355290621216</v>
      </c>
      <c r="T89" s="50">
        <f>'Output_Standalone (IDR)'!U162</f>
        <v>42.33336594933985</v>
      </c>
      <c r="U89" s="50">
        <f>'Output_Standalone (IDR)'!V162</f>
        <v>43.603366927820048</v>
      </c>
    </row>
    <row r="90" spans="2:21">
      <c r="B90" s="407" t="s">
        <v>303</v>
      </c>
      <c r="F90" s="19">
        <v>45</v>
      </c>
      <c r="I90" s="19">
        <v>45</v>
      </c>
      <c r="J90" s="19">
        <v>45</v>
      </c>
      <c r="K90" s="19">
        <v>45</v>
      </c>
      <c r="L90" s="19">
        <v>45</v>
      </c>
      <c r="M90" s="19">
        <v>45</v>
      </c>
      <c r="N90" s="19">
        <v>45</v>
      </c>
      <c r="O90" s="19">
        <v>45</v>
      </c>
      <c r="P90" s="19">
        <v>45</v>
      </c>
      <c r="Q90" s="19">
        <v>45</v>
      </c>
      <c r="R90" s="19">
        <v>45</v>
      </c>
      <c r="S90" s="19">
        <v>45</v>
      </c>
      <c r="T90" s="19">
        <v>45</v>
      </c>
      <c r="U90" s="19">
        <v>45</v>
      </c>
    </row>
    <row r="91" spans="2:21">
      <c r="B91" s="28" t="s">
        <v>304</v>
      </c>
      <c r="C91" s="28"/>
      <c r="D91" s="28"/>
      <c r="E91" s="28"/>
      <c r="F91" s="28"/>
      <c r="G91" s="28"/>
      <c r="H91" s="28"/>
      <c r="I91" s="47">
        <f t="shared" ref="I91:R91" si="27">I89*I90/I$3</f>
        <v>0</v>
      </c>
      <c r="J91" s="47">
        <f t="shared" si="27"/>
        <v>3.8835616438356166</v>
      </c>
      <c r="K91" s="47">
        <f t="shared" si="27"/>
        <v>4.0000684931506854</v>
      </c>
      <c r="L91" s="47">
        <f t="shared" si="27"/>
        <v>4.1200705479452049</v>
      </c>
      <c r="M91" s="47">
        <f t="shared" si="27"/>
        <v>4.2320779303278693</v>
      </c>
      <c r="N91" s="47">
        <f t="shared" si="27"/>
        <v>4.3709828443150682</v>
      </c>
      <c r="O91" s="47">
        <f t="shared" si="27"/>
        <v>4.5021123296445209</v>
      </c>
      <c r="P91" s="47">
        <f t="shared" si="27"/>
        <v>4.6371756995338558</v>
      </c>
      <c r="Q91" s="47">
        <f t="shared" si="27"/>
        <v>4.7632409951905839</v>
      </c>
      <c r="R91" s="47">
        <f t="shared" si="27"/>
        <v>4.9195796996354693</v>
      </c>
      <c r="S91" s="47">
        <f>S89*S90/S$3</f>
        <v>5.0671670906245332</v>
      </c>
      <c r="T91" s="47">
        <f>T89*T90/T$3</f>
        <v>5.219182103343269</v>
      </c>
      <c r="U91" s="47">
        <f>U89*U90/U$3</f>
        <v>5.3610697042401698</v>
      </c>
    </row>
    <row r="92" spans="2:21">
      <c r="I92" s="21"/>
    </row>
    <row r="93" spans="2:21">
      <c r="B93" s="407" t="s">
        <v>306</v>
      </c>
      <c r="I93" s="21"/>
    </row>
    <row r="94" spans="2:21">
      <c r="B94" s="407" t="s">
        <v>307</v>
      </c>
      <c r="I94" s="33">
        <f>-'Output_Standalone (IDR)'!J163</f>
        <v>0</v>
      </c>
      <c r="J94" s="33">
        <f>-'Output_Standalone (IDR)'!K163</f>
        <v>2.4271241506568542</v>
      </c>
      <c r="K94" s="33">
        <f>-'Output_Standalone (IDR)'!L163</f>
        <v>2.5353144714318567</v>
      </c>
      <c r="L94" s="33">
        <f>-'Output_Standalone (IDR)'!M163</f>
        <v>2.6500935827420573</v>
      </c>
      <c r="M94" s="33">
        <f>-'Output_Standalone (IDR)'!N163</f>
        <v>2.7718627419310486</v>
      </c>
      <c r="N94" s="33">
        <f>-'Output_Standalone (IDR)'!O163</f>
        <v>2.9010476429146492</v>
      </c>
      <c r="O94" s="33">
        <f>-'Output_Standalone (IDR)'!P163</f>
        <v>3.0380999043681518</v>
      </c>
      <c r="P94" s="33">
        <f>-'Output_Standalone (IDR)'!Q163</f>
        <v>3.1834986485441723</v>
      </c>
      <c r="Q94" s="33">
        <f>-'Output_Standalone (IDR)'!R163</f>
        <v>3.3377521762405129</v>
      </c>
      <c r="R94" s="33">
        <f>-'Output_Standalone (IDR)'!S163</f>
        <v>3.5013997437735593</v>
      </c>
      <c r="S94" s="33">
        <f>-'Output_Standalone (IDR)'!T163</f>
        <v>3.6750134481693699</v>
      </c>
      <c r="T94" s="33">
        <f>-'Output_Standalone (IDR)'!U163</f>
        <v>3.8592002271628845</v>
      </c>
      <c r="U94" s="33">
        <f>-'Output_Standalone (IDR)'!V163</f>
        <v>4.0546039809971042</v>
      </c>
    </row>
    <row r="95" spans="2:21">
      <c r="B95" s="407" t="s">
        <v>308</v>
      </c>
      <c r="F95" s="19">
        <v>40</v>
      </c>
    </row>
    <row r="96" spans="2:21">
      <c r="B96" s="28" t="s">
        <v>204</v>
      </c>
      <c r="C96" s="28"/>
      <c r="D96" s="28"/>
      <c r="E96" s="28"/>
      <c r="F96" s="28"/>
      <c r="G96" s="28"/>
      <c r="H96" s="28"/>
      <c r="I96" s="47">
        <f t="shared" ref="I96:R96" si="28">I94*$F95/I$3</f>
        <v>0</v>
      </c>
      <c r="J96" s="47">
        <f t="shared" si="28"/>
        <v>0.2659862082911621</v>
      </c>
      <c r="K96" s="47">
        <f t="shared" si="28"/>
        <v>0.27784268180075145</v>
      </c>
      <c r="L96" s="47">
        <f t="shared" si="28"/>
        <v>0.29042121454707476</v>
      </c>
      <c r="M96" s="47">
        <f t="shared" si="28"/>
        <v>0.30293581879027853</v>
      </c>
      <c r="N96" s="47">
        <f t="shared" si="28"/>
        <v>0.31792302936050953</v>
      </c>
      <c r="O96" s="47">
        <f t="shared" si="28"/>
        <v>0.33294245527322214</v>
      </c>
      <c r="P96" s="47">
        <f t="shared" si="28"/>
        <v>0.34887656422401891</v>
      </c>
      <c r="Q96" s="47">
        <f t="shared" si="28"/>
        <v>0.36478165860552053</v>
      </c>
      <c r="R96" s="47">
        <f t="shared" si="28"/>
        <v>0.38371504041354076</v>
      </c>
      <c r="S96" s="47">
        <f>S94*$F95/S$3</f>
        <v>0.402741199799383</v>
      </c>
      <c r="T96" s="47">
        <f>T94*$F95/T$3</f>
        <v>0.42292605229182295</v>
      </c>
      <c r="U96" s="47">
        <f>U94*$F95/U$3</f>
        <v>0.44312611814176001</v>
      </c>
    </row>
    <row r="97" spans="2:21">
      <c r="I97" s="21"/>
    </row>
    <row r="98" spans="2:21">
      <c r="B98" s="407" t="s">
        <v>309</v>
      </c>
      <c r="I98" s="21"/>
    </row>
    <row r="99" spans="2:21">
      <c r="B99" s="407" t="s">
        <v>307</v>
      </c>
      <c r="I99" s="50">
        <f>I94</f>
        <v>0</v>
      </c>
      <c r="J99" s="50">
        <f t="shared" ref="J99:R99" si="29">J94</f>
        <v>2.4271241506568542</v>
      </c>
      <c r="K99" s="50">
        <f t="shared" si="29"/>
        <v>2.5353144714318567</v>
      </c>
      <c r="L99" s="50">
        <f t="shared" si="29"/>
        <v>2.6500935827420573</v>
      </c>
      <c r="M99" s="50">
        <f t="shared" si="29"/>
        <v>2.7718627419310486</v>
      </c>
      <c r="N99" s="50">
        <f t="shared" si="29"/>
        <v>2.9010476429146492</v>
      </c>
      <c r="O99" s="50">
        <f t="shared" si="29"/>
        <v>3.0380999043681518</v>
      </c>
      <c r="P99" s="50">
        <f t="shared" si="29"/>
        <v>3.1834986485441723</v>
      </c>
      <c r="Q99" s="50">
        <f t="shared" si="29"/>
        <v>3.3377521762405129</v>
      </c>
      <c r="R99" s="50">
        <f t="shared" si="29"/>
        <v>3.5013997437735593</v>
      </c>
      <c r="S99" s="50">
        <f>S94</f>
        <v>3.6750134481693699</v>
      </c>
      <c r="T99" s="50">
        <f>T94</f>
        <v>3.8592002271628845</v>
      </c>
      <c r="U99" s="50">
        <f>U94</f>
        <v>4.0546039809971042</v>
      </c>
    </row>
    <row r="100" spans="2:21">
      <c r="B100" s="407" t="s">
        <v>310</v>
      </c>
      <c r="F100" s="19">
        <v>30</v>
      </c>
      <c r="I100" s="19">
        <v>30</v>
      </c>
      <c r="J100" s="19">
        <v>30</v>
      </c>
      <c r="K100" s="19">
        <v>30</v>
      </c>
      <c r="L100" s="19">
        <v>30</v>
      </c>
      <c r="M100" s="19">
        <v>30</v>
      </c>
      <c r="N100" s="19">
        <v>30</v>
      </c>
      <c r="O100" s="19">
        <v>30</v>
      </c>
      <c r="P100" s="19">
        <v>30</v>
      </c>
      <c r="Q100" s="19">
        <v>30</v>
      </c>
      <c r="R100" s="19">
        <v>30</v>
      </c>
      <c r="S100" s="19">
        <v>30</v>
      </c>
      <c r="T100" s="19">
        <v>30</v>
      </c>
      <c r="U100" s="19">
        <v>30</v>
      </c>
    </row>
    <row r="101" spans="2:21">
      <c r="B101" s="28" t="s">
        <v>240</v>
      </c>
      <c r="C101" s="28"/>
      <c r="D101" s="28"/>
      <c r="E101" s="28"/>
      <c r="F101" s="28"/>
      <c r="G101" s="28"/>
      <c r="H101" s="28"/>
      <c r="I101" s="47">
        <f t="shared" ref="I101:R101" si="30">I99*I100/I$3</f>
        <v>0</v>
      </c>
      <c r="J101" s="47">
        <f t="shared" si="30"/>
        <v>0.19948965621837159</v>
      </c>
      <c r="K101" s="47">
        <f t="shared" si="30"/>
        <v>0.20838201135056356</v>
      </c>
      <c r="L101" s="47">
        <f t="shared" si="30"/>
        <v>0.21781591091030608</v>
      </c>
      <c r="M101" s="47">
        <f t="shared" si="30"/>
        <v>0.22720186409270893</v>
      </c>
      <c r="N101" s="47">
        <f t="shared" si="30"/>
        <v>0.23844227202038212</v>
      </c>
      <c r="O101" s="47">
        <f t="shared" si="30"/>
        <v>0.24970684145491659</v>
      </c>
      <c r="P101" s="47">
        <f t="shared" si="30"/>
        <v>0.26165742316801416</v>
      </c>
      <c r="Q101" s="47">
        <f t="shared" si="30"/>
        <v>0.27358624395414038</v>
      </c>
      <c r="R101" s="47">
        <f t="shared" si="30"/>
        <v>0.28778628031015557</v>
      </c>
      <c r="S101" s="47">
        <f>S99*S100/S$3</f>
        <v>0.30205589984953729</v>
      </c>
      <c r="T101" s="47">
        <f>T99*T100/T$3</f>
        <v>0.3171945392188672</v>
      </c>
      <c r="U101" s="47">
        <f>U99*U100/U$3</f>
        <v>0.33234458860632005</v>
      </c>
    </row>
    <row r="103" spans="2:21">
      <c r="B103" t="s">
        <v>300</v>
      </c>
      <c r="I103" s="23">
        <f>SUM(I91,I96,-I101)</f>
        <v>0</v>
      </c>
      <c r="J103" s="23">
        <f t="shared" ref="J103:R103" si="31">SUM(J91,J96,-J101)</f>
        <v>3.9500581959084076</v>
      </c>
      <c r="K103" s="23">
        <f t="shared" si="31"/>
        <v>4.0695291636008735</v>
      </c>
      <c r="L103" s="23">
        <f t="shared" si="31"/>
        <v>4.1926758515819733</v>
      </c>
      <c r="M103" s="23">
        <f t="shared" si="31"/>
        <v>4.3078118850254388</v>
      </c>
      <c r="N103" s="23">
        <f t="shared" si="31"/>
        <v>4.4504636016551959</v>
      </c>
      <c r="O103" s="23">
        <f t="shared" si="31"/>
        <v>4.5853479434628266</v>
      </c>
      <c r="P103" s="23">
        <f t="shared" si="31"/>
        <v>4.724394840589861</v>
      </c>
      <c r="Q103" s="23">
        <f t="shared" si="31"/>
        <v>4.8544364098419637</v>
      </c>
      <c r="R103" s="23">
        <f t="shared" si="31"/>
        <v>5.0155084597388546</v>
      </c>
      <c r="S103" s="23">
        <f>SUM(S91,S96,-S101)</f>
        <v>5.167852390574379</v>
      </c>
      <c r="T103" s="23">
        <f>SUM(T91,T96,-T101)</f>
        <v>5.3249136164162243</v>
      </c>
      <c r="U103" s="23">
        <f>SUM(U91,U96,-U101)</f>
        <v>5.4718512337756096</v>
      </c>
    </row>
    <row r="104" spans="2:21">
      <c r="B104" t="s">
        <v>311</v>
      </c>
      <c r="I104" s="23">
        <f t="shared" ref="I104:R104" si="32">H103-I103</f>
        <v>0</v>
      </c>
      <c r="J104" s="23">
        <f t="shared" si="32"/>
        <v>-3.9500581959084076</v>
      </c>
      <c r="K104" s="23">
        <f t="shared" si="32"/>
        <v>-0.1194709676924659</v>
      </c>
      <c r="L104" s="23">
        <f t="shared" si="32"/>
        <v>-0.12314668798109984</v>
      </c>
      <c r="M104" s="23">
        <f t="shared" si="32"/>
        <v>-0.11513603344346546</v>
      </c>
      <c r="N104" s="23">
        <f t="shared" si="32"/>
        <v>-0.14265171662975717</v>
      </c>
      <c r="O104" s="23">
        <f t="shared" si="32"/>
        <v>-0.13488434180763065</v>
      </c>
      <c r="P104" s="23">
        <f t="shared" si="32"/>
        <v>-0.13904689712703444</v>
      </c>
      <c r="Q104" s="23">
        <f t="shared" si="32"/>
        <v>-0.13004156925210264</v>
      </c>
      <c r="R104" s="23">
        <f t="shared" si="32"/>
        <v>-0.16107204989689095</v>
      </c>
      <c r="S104" s="23">
        <f>R103-S103</f>
        <v>-0.15234393083552433</v>
      </c>
      <c r="T104" s="23">
        <f>S103-T103</f>
        <v>-0.15706122584184534</v>
      </c>
      <c r="U104" s="23">
        <f>T103-U103</f>
        <v>-0.14693761735938526</v>
      </c>
    </row>
    <row r="106" spans="2:21" ht="15.75">
      <c r="B106" s="15" t="s">
        <v>758</v>
      </c>
    </row>
    <row r="107" spans="2:21">
      <c r="B107" s="407" t="s">
        <v>434</v>
      </c>
      <c r="I107" s="462">
        <f>'Output_Standalone (IDR)'!J170*$F$88</f>
        <v>0</v>
      </c>
      <c r="J107">
        <f>'Output_Standalone (IDR)'!K170*$F$88</f>
        <v>0</v>
      </c>
      <c r="K107">
        <f>'Output_Standalone (IDR)'!L170*$F$88</f>
        <v>0</v>
      </c>
      <c r="L107">
        <f>'Output_Standalone (IDR)'!M170*$F$88</f>
        <v>0</v>
      </c>
      <c r="M107">
        <f>'Output_Standalone (IDR)'!N170*$F$88</f>
        <v>0</v>
      </c>
      <c r="N107">
        <f>'Output_Standalone (IDR)'!O170*$F$88</f>
        <v>0</v>
      </c>
      <c r="O107">
        <f>'Output_Standalone (IDR)'!P170*$F$88</f>
        <v>0</v>
      </c>
      <c r="P107">
        <f>'Output_Standalone (IDR)'!Q170*$F$88</f>
        <v>0</v>
      </c>
      <c r="Q107">
        <f>'Output_Standalone (IDR)'!R170*$F$88</f>
        <v>0</v>
      </c>
      <c r="R107">
        <f>'Output_Standalone (IDR)'!S170*$F$88</f>
        <v>0</v>
      </c>
      <c r="S107">
        <f>'Output_Standalone (IDR)'!T170*$F$88</f>
        <v>0</v>
      </c>
      <c r="T107">
        <f>'Output_Standalone (IDR)'!U170*$F$88</f>
        <v>0</v>
      </c>
      <c r="U107">
        <f>'Output_Standalone (IDR)'!V170*$F$88</f>
        <v>0</v>
      </c>
    </row>
    <row r="108" spans="2:21">
      <c r="B108" s="407" t="s">
        <v>759</v>
      </c>
      <c r="I108">
        <f>-IF(I107&lt;0,0,I107*22%)*$F$88</f>
        <v>0</v>
      </c>
      <c r="J108">
        <f t="shared" ref="J108:U108" si="33">-IF(J107&lt;0,0,J107*22%)*$F$88</f>
        <v>0</v>
      </c>
      <c r="K108">
        <f t="shared" si="33"/>
        <v>0</v>
      </c>
      <c r="L108">
        <f t="shared" si="33"/>
        <v>0</v>
      </c>
      <c r="M108">
        <f t="shared" si="33"/>
        <v>0</v>
      </c>
      <c r="N108">
        <f t="shared" si="33"/>
        <v>0</v>
      </c>
      <c r="O108">
        <f t="shared" si="33"/>
        <v>0</v>
      </c>
      <c r="P108">
        <f t="shared" si="33"/>
        <v>0</v>
      </c>
      <c r="Q108">
        <f t="shared" si="33"/>
        <v>0</v>
      </c>
      <c r="R108">
        <f t="shared" si="33"/>
        <v>0</v>
      </c>
      <c r="S108">
        <f t="shared" si="33"/>
        <v>0</v>
      </c>
      <c r="T108">
        <f t="shared" si="33"/>
        <v>0</v>
      </c>
      <c r="U108">
        <f t="shared" si="33"/>
        <v>0</v>
      </c>
    </row>
    <row r="109" spans="2:21">
      <c r="B109" s="437" t="s">
        <v>760</v>
      </c>
      <c r="I109">
        <f>-'Output_Standalone (IDR)'!J169*$F$88</f>
        <v>0</v>
      </c>
      <c r="J109">
        <f>-'Output_Standalone (IDR)'!K169*$F$88</f>
        <v>0</v>
      </c>
      <c r="K109">
        <f>-'Output_Standalone (IDR)'!L169*$F$88</f>
        <v>0</v>
      </c>
      <c r="L109">
        <f>-'Output_Standalone (IDR)'!M169*$F$88</f>
        <v>0</v>
      </c>
      <c r="M109">
        <f>-'Output_Standalone (IDR)'!N169*$F$88</f>
        <v>0</v>
      </c>
      <c r="N109">
        <f>-'Output_Standalone (IDR)'!O169*$F$88</f>
        <v>0</v>
      </c>
      <c r="O109">
        <f>-'Output_Standalone (IDR)'!P169*$F$88</f>
        <v>0</v>
      </c>
      <c r="P109">
        <f>-'Output_Standalone (IDR)'!Q169*$F$88</f>
        <v>0</v>
      </c>
      <c r="Q109">
        <f>-'Output_Standalone (IDR)'!R169*$F$88</f>
        <v>0</v>
      </c>
      <c r="R109">
        <f>-'Output_Standalone (IDR)'!S169*$F$88</f>
        <v>0</v>
      </c>
      <c r="S109">
        <f>-'Output_Standalone (IDR)'!T169*$F$88</f>
        <v>0</v>
      </c>
      <c r="T109">
        <f>-'Output_Standalone (IDR)'!U169*$F$88</f>
        <v>0</v>
      </c>
      <c r="U109">
        <f>-'Output_Standalone (IDR)'!V169*$F$88</f>
        <v>0</v>
      </c>
    </row>
    <row r="110" spans="2:21">
      <c r="B110" s="407" t="s">
        <v>219</v>
      </c>
      <c r="I110">
        <f>-SUM(Calculation_FSL!I1476:J1476)*USD_IDR/Thousands*$F$88</f>
        <v>0</v>
      </c>
      <c r="J110">
        <f>-SUM(Calculation_FSL!K1476)*USD_IDR/Thousands*$F$88</f>
        <v>0</v>
      </c>
      <c r="K110">
        <f>-SUM(Calculation_FSL!L1476)*USD_IDR/Thousands*$F$88</f>
        <v>0</v>
      </c>
      <c r="L110" s="462">
        <f>-SUM(Calculation_FSL!M1476)*USD_IDR/Thousands*$F$88</f>
        <v>0</v>
      </c>
      <c r="M110">
        <f>-SUM(Calculation_FSL!N1476)*USD_IDR/Thousands*$F$88</f>
        <v>0</v>
      </c>
      <c r="N110">
        <f>-SUM(Calculation_FSL!O1476)*USD_IDR/Thousands*$F$88</f>
        <v>0</v>
      </c>
      <c r="O110">
        <f>-SUM(Calculation_FSL!P1476)*USD_IDR/Thousands*$F$88</f>
        <v>0</v>
      </c>
      <c r="P110">
        <f>-SUM(Calculation_FSL!Q1476)*USD_IDR/Thousands*$F$88</f>
        <v>0</v>
      </c>
      <c r="Q110">
        <f>-SUM(Calculation_FSL!R1476)*USD_IDR/Thousands*$F$88</f>
        <v>0</v>
      </c>
      <c r="R110">
        <f>-SUM(Calculation_FSL!S1476)*USD_IDR/Thousands*$F$88</f>
        <v>0</v>
      </c>
      <c r="S110">
        <f>-SUM(Calculation_FSL!T1476)*USD_IDR/Thousands*$F$88</f>
        <v>0</v>
      </c>
      <c r="T110">
        <f>-SUM(Calculation_FSL!U1476)*USD_IDR/Thousands*$F$88</f>
        <v>0</v>
      </c>
      <c r="U110">
        <f>-SUM(Calculation_FSL!V1476)*USD_IDR/Thousands*$F$88</f>
        <v>0</v>
      </c>
    </row>
    <row r="111" spans="2:21">
      <c r="B111" s="407" t="s">
        <v>311</v>
      </c>
      <c r="I111">
        <f>I104*$F$88</f>
        <v>0</v>
      </c>
      <c r="J111">
        <f t="shared" ref="J111:U111" si="34">J104*$F$88</f>
        <v>0</v>
      </c>
      <c r="K111">
        <f t="shared" si="34"/>
        <v>0</v>
      </c>
      <c r="L111">
        <f t="shared" si="34"/>
        <v>0</v>
      </c>
      <c r="M111">
        <f t="shared" si="34"/>
        <v>0</v>
      </c>
      <c r="N111">
        <f t="shared" si="34"/>
        <v>0</v>
      </c>
      <c r="O111">
        <f t="shared" si="34"/>
        <v>0</v>
      </c>
      <c r="P111">
        <f t="shared" si="34"/>
        <v>0</v>
      </c>
      <c r="Q111">
        <f t="shared" si="34"/>
        <v>0</v>
      </c>
      <c r="R111">
        <f t="shared" si="34"/>
        <v>0</v>
      </c>
      <c r="S111">
        <f t="shared" si="34"/>
        <v>0</v>
      </c>
      <c r="T111">
        <f t="shared" si="34"/>
        <v>0</v>
      </c>
      <c r="U111">
        <f t="shared" si="34"/>
        <v>0</v>
      </c>
    </row>
    <row r="112" spans="2:21">
      <c r="B112" s="28" t="s">
        <v>761</v>
      </c>
      <c r="C112" s="28"/>
      <c r="D112" s="28"/>
      <c r="E112" s="28"/>
      <c r="F112" s="28"/>
      <c r="G112" s="28"/>
      <c r="H112" s="28"/>
      <c r="I112" s="47">
        <f>SUM(I107:I111)</f>
        <v>0</v>
      </c>
      <c r="J112" s="47">
        <f t="shared" ref="J112:R112" si="35">SUM(J107:J111)</f>
        <v>0</v>
      </c>
      <c r="K112" s="47">
        <f t="shared" si="35"/>
        <v>0</v>
      </c>
      <c r="L112" s="47">
        <f t="shared" si="35"/>
        <v>0</v>
      </c>
      <c r="M112" s="47">
        <f t="shared" si="35"/>
        <v>0</v>
      </c>
      <c r="N112" s="47">
        <f t="shared" si="35"/>
        <v>0</v>
      </c>
      <c r="O112" s="47">
        <f t="shared" si="35"/>
        <v>0</v>
      </c>
      <c r="P112" s="47">
        <f t="shared" si="35"/>
        <v>0</v>
      </c>
      <c r="Q112" s="47">
        <f t="shared" si="35"/>
        <v>0</v>
      </c>
      <c r="R112" s="47">
        <f t="shared" si="35"/>
        <v>0</v>
      </c>
      <c r="S112" s="47">
        <f>SUM(S107:S111)</f>
        <v>0</v>
      </c>
      <c r="T112" s="47">
        <f>SUM(T107:T111)</f>
        <v>0</v>
      </c>
      <c r="U112" s="47">
        <f>SUM(U107:U111)</f>
        <v>0</v>
      </c>
    </row>
    <row r="114" spans="2:21">
      <c r="B114" t="s">
        <v>52</v>
      </c>
      <c r="F114" s="19"/>
    </row>
    <row r="115" spans="2:21">
      <c r="B115" s="28" t="s">
        <v>762</v>
      </c>
      <c r="C115" s="28"/>
      <c r="D115" s="28"/>
      <c r="E115" s="28"/>
      <c r="F115" s="28"/>
      <c r="G115" s="28"/>
      <c r="H115" s="28"/>
      <c r="I115" s="47">
        <f t="shared" ref="I115:R115" si="36">SUM(I112,J114)</f>
        <v>0</v>
      </c>
      <c r="J115" s="47">
        <f t="shared" si="36"/>
        <v>0</v>
      </c>
      <c r="K115" s="47">
        <f t="shared" si="36"/>
        <v>0</v>
      </c>
      <c r="L115" s="47">
        <f t="shared" si="36"/>
        <v>0</v>
      </c>
      <c r="M115" s="47">
        <f t="shared" si="36"/>
        <v>0</v>
      </c>
      <c r="N115" s="47">
        <f t="shared" si="36"/>
        <v>0</v>
      </c>
      <c r="O115" s="47">
        <f t="shared" si="36"/>
        <v>0</v>
      </c>
      <c r="P115" s="47">
        <f t="shared" si="36"/>
        <v>0</v>
      </c>
      <c r="Q115" s="47">
        <f t="shared" si="36"/>
        <v>0</v>
      </c>
      <c r="R115" s="47">
        <f t="shared" si="36"/>
        <v>0</v>
      </c>
      <c r="S115" s="47">
        <f>SUM(S112,T114)</f>
        <v>0</v>
      </c>
      <c r="T115" s="47">
        <f>SUM(T112,U114)</f>
        <v>0</v>
      </c>
      <c r="U115" s="47">
        <f>SUM(U112,V114)</f>
        <v>0</v>
      </c>
    </row>
    <row r="117" spans="2:21">
      <c r="B117" t="s">
        <v>763</v>
      </c>
      <c r="I117">
        <f>SUM($I$112:I112)</f>
        <v>0</v>
      </c>
      <c r="J117">
        <f>SUM($I$112:J112)</f>
        <v>0</v>
      </c>
      <c r="K117">
        <f>SUM($I$112:K112)</f>
        <v>0</v>
      </c>
      <c r="L117">
        <f>SUM($I$112:L112)</f>
        <v>0</v>
      </c>
      <c r="M117">
        <f>SUM($I$112:M112)</f>
        <v>0</v>
      </c>
      <c r="N117">
        <f>SUM($I$112:N112)</f>
        <v>0</v>
      </c>
      <c r="O117">
        <f>SUM($I$112:O112)</f>
        <v>0</v>
      </c>
      <c r="P117">
        <f>SUM($I$112:P112)</f>
        <v>0</v>
      </c>
      <c r="Q117">
        <f>SUM($I$112:Q112)</f>
        <v>0</v>
      </c>
      <c r="R117">
        <f>SUM($I$112:R112)</f>
        <v>0</v>
      </c>
      <c r="S117">
        <f>SUM($I$112:S112)</f>
        <v>0</v>
      </c>
      <c r="T117">
        <f>SUM($I$112:T112)</f>
        <v>0</v>
      </c>
      <c r="U117">
        <f>SUM($I$112:U112)</f>
        <v>0</v>
      </c>
    </row>
    <row r="118" spans="2:21">
      <c r="B118" t="s">
        <v>764</v>
      </c>
      <c r="H118">
        <f>SUM(I118:U118)</f>
        <v>0</v>
      </c>
      <c r="I118" s="13">
        <f>IF(I117&lt;0,1,0)</f>
        <v>0</v>
      </c>
      <c r="J118" s="13">
        <f t="shared" ref="J118:R118" si="37">IF(J117&lt;0,1,0)</f>
        <v>0</v>
      </c>
      <c r="K118" s="13">
        <f t="shared" si="37"/>
        <v>0</v>
      </c>
      <c r="L118" s="13">
        <f t="shared" si="37"/>
        <v>0</v>
      </c>
      <c r="M118" s="13">
        <f t="shared" si="37"/>
        <v>0</v>
      </c>
      <c r="N118" s="13">
        <f t="shared" si="37"/>
        <v>0</v>
      </c>
      <c r="O118" s="13">
        <f t="shared" si="37"/>
        <v>0</v>
      </c>
      <c r="P118" s="13">
        <f t="shared" si="37"/>
        <v>0</v>
      </c>
      <c r="Q118" s="13">
        <f t="shared" si="37"/>
        <v>0</v>
      </c>
      <c r="R118" s="13">
        <f t="shared" si="37"/>
        <v>0</v>
      </c>
      <c r="S118" s="13">
        <f>IF(S117&lt;0,1,0)</f>
        <v>0</v>
      </c>
      <c r="T118" s="13">
        <f>IF(T117&lt;0,1,0)</f>
        <v>0</v>
      </c>
      <c r="U118" s="13">
        <f>IF(U117&lt;0,1,0)</f>
        <v>0</v>
      </c>
    </row>
    <row r="119" spans="2:21">
      <c r="B119" t="s">
        <v>765</v>
      </c>
      <c r="I119" s="13">
        <f t="shared" ref="I119:R119" si="38">IF(AND(H118=1,I118=0),IF(MAX(I117,0),1),0)</f>
        <v>0</v>
      </c>
      <c r="J119" s="13">
        <f t="shared" si="38"/>
        <v>0</v>
      </c>
      <c r="K119" s="13">
        <f t="shared" si="38"/>
        <v>0</v>
      </c>
      <c r="L119" s="13">
        <f t="shared" si="38"/>
        <v>0</v>
      </c>
      <c r="M119" s="13">
        <f t="shared" si="38"/>
        <v>0</v>
      </c>
      <c r="N119" s="13">
        <f t="shared" si="38"/>
        <v>0</v>
      </c>
      <c r="O119" s="13">
        <f t="shared" si="38"/>
        <v>0</v>
      </c>
      <c r="P119" s="13">
        <f t="shared" si="38"/>
        <v>0</v>
      </c>
      <c r="Q119" s="13">
        <f t="shared" si="38"/>
        <v>0</v>
      </c>
      <c r="R119" s="13">
        <f t="shared" si="38"/>
        <v>0</v>
      </c>
      <c r="S119" s="13">
        <f>IF(AND(R118=1,S118=0),IF(MAX(S117,0),1),0)</f>
        <v>0</v>
      </c>
      <c r="T119" s="13">
        <f>IF(AND(S118=1,T118=0),IF(MAX(T117,0),1),0)</f>
        <v>0</v>
      </c>
      <c r="U119" s="13">
        <f>IF(AND(T118=1,U118=0),IF(MAX(U117,0),1),0)</f>
        <v>0</v>
      </c>
    </row>
    <row r="120" spans="2:21">
      <c r="B120" t="s">
        <v>766</v>
      </c>
      <c r="H120" s="22">
        <f>SUM(I120:U120)</f>
        <v>0</v>
      </c>
      <c r="I120" s="22">
        <f t="shared" ref="I120:R120" si="39">IF(I119=1,-H117/I115,0)</f>
        <v>0</v>
      </c>
      <c r="J120" s="22">
        <f t="shared" si="39"/>
        <v>0</v>
      </c>
      <c r="K120" s="22">
        <f t="shared" si="39"/>
        <v>0</v>
      </c>
      <c r="L120" s="22">
        <f t="shared" si="39"/>
        <v>0</v>
      </c>
      <c r="M120" s="22">
        <f t="shared" si="39"/>
        <v>0</v>
      </c>
      <c r="N120" s="22">
        <f t="shared" si="39"/>
        <v>0</v>
      </c>
      <c r="O120" s="22">
        <f t="shared" si="39"/>
        <v>0</v>
      </c>
      <c r="P120" s="22">
        <f t="shared" si="39"/>
        <v>0</v>
      </c>
      <c r="Q120" s="22">
        <f t="shared" si="39"/>
        <v>0</v>
      </c>
      <c r="R120" s="22">
        <f t="shared" si="39"/>
        <v>0</v>
      </c>
      <c r="S120" s="22">
        <f>IF(S119=1,-R117/S115,0)</f>
        <v>0</v>
      </c>
      <c r="T120" s="22">
        <f>IF(T119=1,-S117/T115,0)</f>
        <v>0</v>
      </c>
      <c r="U120" s="22">
        <f>IF(U119=1,-T117/U115,0)</f>
        <v>0</v>
      </c>
    </row>
    <row r="123" spans="2:21" ht="15.75">
      <c r="B123" s="15" t="s">
        <v>767</v>
      </c>
    </row>
    <row r="124" spans="2:21">
      <c r="B124" s="44" t="s">
        <v>54</v>
      </c>
      <c r="F124" s="21"/>
      <c r="H124" s="269" t="e">
        <f>IRR(I115:U115)</f>
        <v>#NUM!</v>
      </c>
    </row>
    <row r="125" spans="2:21">
      <c r="B125" s="44" t="s">
        <v>768</v>
      </c>
      <c r="F125" s="22"/>
      <c r="H125" s="46">
        <f>SUM(H118,H120)</f>
        <v>0</v>
      </c>
    </row>
    <row r="127" spans="2:21" ht="15.75">
      <c r="B127" s="15" t="s">
        <v>1097</v>
      </c>
      <c r="F127" s="6">
        <f>Output_FSL!F35</f>
        <v>1</v>
      </c>
    </row>
    <row r="128" spans="2:21">
      <c r="B128" t="s">
        <v>300</v>
      </c>
    </row>
    <row r="129" spans="2:21">
      <c r="B129" s="407" t="s">
        <v>302</v>
      </c>
      <c r="I129" s="21"/>
    </row>
    <row r="130" spans="2:21">
      <c r="B130" s="407" t="s">
        <v>9</v>
      </c>
      <c r="I130" s="50">
        <f>'Output_Standalone (IDR)'!J44</f>
        <v>0</v>
      </c>
      <c r="J130" s="50">
        <f>'Output_Standalone (IDR)'!K44</f>
        <v>0</v>
      </c>
      <c r="K130" s="50">
        <f>'Output_Standalone (IDR)'!L44</f>
        <v>0</v>
      </c>
      <c r="L130" s="50">
        <f>'Output_Standalone (IDR)'!M44</f>
        <v>13.26</v>
      </c>
      <c r="M130" s="50">
        <f>'Output_Standalone (IDR)'!N44</f>
        <v>13.26</v>
      </c>
      <c r="N130" s="50">
        <f>'Output_Standalone (IDR)'!O44</f>
        <v>13.26</v>
      </c>
      <c r="O130" s="50">
        <f>'Output_Standalone (IDR)'!P44</f>
        <v>13.26</v>
      </c>
      <c r="P130" s="50">
        <f>'Output_Standalone (IDR)'!Q44</f>
        <v>13.26</v>
      </c>
      <c r="Q130" s="50">
        <f>'Output_Standalone (IDR)'!R44</f>
        <v>13.26</v>
      </c>
      <c r="R130" s="50">
        <f>'Output_Standalone (IDR)'!S44</f>
        <v>13.26</v>
      </c>
      <c r="S130" s="50">
        <f>'Output_Standalone (IDR)'!T44</f>
        <v>13.26</v>
      </c>
      <c r="T130" s="50">
        <f>'Output_Standalone (IDR)'!U44</f>
        <v>13.26</v>
      </c>
      <c r="U130" s="50">
        <f>'Output_Standalone (IDR)'!V44</f>
        <v>13.26</v>
      </c>
    </row>
    <row r="131" spans="2:21">
      <c r="B131" s="407" t="s">
        <v>303</v>
      </c>
      <c r="F131" s="19">
        <v>45</v>
      </c>
      <c r="I131" s="19">
        <v>45</v>
      </c>
      <c r="J131" s="19">
        <v>45</v>
      </c>
      <c r="K131" s="19">
        <v>45</v>
      </c>
      <c r="L131" s="19">
        <v>45</v>
      </c>
      <c r="M131" s="19">
        <v>45</v>
      </c>
      <c r="N131" s="19">
        <v>45</v>
      </c>
      <c r="O131" s="19">
        <v>45</v>
      </c>
      <c r="P131" s="19">
        <v>45</v>
      </c>
      <c r="Q131" s="19">
        <v>45</v>
      </c>
      <c r="R131" s="19">
        <v>45</v>
      </c>
      <c r="S131" s="19">
        <v>45</v>
      </c>
      <c r="T131" s="19">
        <v>45</v>
      </c>
      <c r="U131" s="19">
        <v>45</v>
      </c>
    </row>
    <row r="132" spans="2:21">
      <c r="B132" s="28" t="s">
        <v>304</v>
      </c>
      <c r="C132" s="28"/>
      <c r="D132" s="28"/>
      <c r="E132" s="28"/>
      <c r="F132" s="28"/>
      <c r="G132" s="28"/>
      <c r="H132" s="28"/>
      <c r="I132" s="47">
        <f t="shared" ref="I132:R132" si="40">I130*I131/I$3</f>
        <v>0</v>
      </c>
      <c r="J132" s="47">
        <f t="shared" si="40"/>
        <v>0</v>
      </c>
      <c r="K132" s="47">
        <f t="shared" si="40"/>
        <v>0</v>
      </c>
      <c r="L132" s="47">
        <f t="shared" si="40"/>
        <v>1.6347945205479453</v>
      </c>
      <c r="M132" s="47">
        <f t="shared" si="40"/>
        <v>1.6303278688524592</v>
      </c>
      <c r="N132" s="47">
        <f t="shared" si="40"/>
        <v>1.6347945205479453</v>
      </c>
      <c r="O132" s="47">
        <f t="shared" si="40"/>
        <v>1.6347945205479453</v>
      </c>
      <c r="P132" s="47">
        <f t="shared" si="40"/>
        <v>1.6347945205479453</v>
      </c>
      <c r="Q132" s="47">
        <f t="shared" si="40"/>
        <v>1.6303278688524592</v>
      </c>
      <c r="R132" s="47">
        <f t="shared" si="40"/>
        <v>1.6347945205479453</v>
      </c>
      <c r="S132" s="47">
        <f>S130*S131/S$3</f>
        <v>1.6347945205479453</v>
      </c>
      <c r="T132" s="47">
        <f>T130*T131/T$3</f>
        <v>1.6347945205479453</v>
      </c>
      <c r="U132" s="47">
        <f>U130*U131/U$3</f>
        <v>1.6303278688524592</v>
      </c>
    </row>
    <row r="133" spans="2:21">
      <c r="I133" s="21"/>
    </row>
    <row r="134" spans="2:21">
      <c r="B134" s="407" t="s">
        <v>306</v>
      </c>
      <c r="I134" s="21"/>
    </row>
    <row r="135" spans="2:21">
      <c r="B135" s="407" t="s">
        <v>307</v>
      </c>
      <c r="I135" s="50">
        <f>-'Output_Standalone (IDR)'!J48</f>
        <v>0</v>
      </c>
      <c r="J135" s="50">
        <f>-'Output_Standalone (IDR)'!K48</f>
        <v>0</v>
      </c>
      <c r="K135" s="50">
        <f>-'Output_Standalone (IDR)'!L48</f>
        <v>0</v>
      </c>
      <c r="L135" s="50">
        <f>-'Output_Standalone (IDR)'!M48</f>
        <v>6.1200000000000004E-2</v>
      </c>
      <c r="M135" s="50">
        <f>-'Output_Standalone (IDR)'!N48</f>
        <v>6.1200000000000004E-2</v>
      </c>
      <c r="N135" s="50">
        <f>-'Output_Standalone (IDR)'!O48</f>
        <v>6.1200000000000004E-2</v>
      </c>
      <c r="O135" s="50">
        <f>-'Output_Standalone (IDR)'!P48</f>
        <v>6.1200000000000004E-2</v>
      </c>
      <c r="P135" s="50">
        <f>-'Output_Standalone (IDR)'!Q48</f>
        <v>6.1200000000000004E-2</v>
      </c>
      <c r="Q135" s="50">
        <f>-'Output_Standalone (IDR)'!R48</f>
        <v>6.1200000000000004E-2</v>
      </c>
      <c r="R135" s="50">
        <f>-'Output_Standalone (IDR)'!S48</f>
        <v>6.1200000000000004E-2</v>
      </c>
      <c r="S135" s="50">
        <f>-'Output_Standalone (IDR)'!T48</f>
        <v>6.1200000000000004E-2</v>
      </c>
      <c r="T135" s="50">
        <f>-'Output_Standalone (IDR)'!U48</f>
        <v>6.1200000000000004E-2</v>
      </c>
      <c r="U135" s="50">
        <f>-'Output_Standalone (IDR)'!V48</f>
        <v>6.1200000000000004E-2</v>
      </c>
    </row>
    <row r="136" spans="2:21">
      <c r="B136" s="407" t="s">
        <v>308</v>
      </c>
      <c r="F136" s="19">
        <v>40</v>
      </c>
    </row>
    <row r="137" spans="2:21">
      <c r="B137" s="28" t="s">
        <v>204</v>
      </c>
      <c r="C137" s="28"/>
      <c r="D137" s="28"/>
      <c r="E137" s="28"/>
      <c r="F137" s="28"/>
      <c r="G137" s="28"/>
      <c r="H137" s="28"/>
      <c r="I137" s="47">
        <f t="shared" ref="I137:R137" si="41">I135*$F136/I$3</f>
        <v>0</v>
      </c>
      <c r="J137" s="47">
        <f t="shared" si="41"/>
        <v>0</v>
      </c>
      <c r="K137" s="47">
        <f t="shared" si="41"/>
        <v>0</v>
      </c>
      <c r="L137" s="47">
        <f t="shared" si="41"/>
        <v>6.7068493150684938E-3</v>
      </c>
      <c r="M137" s="47">
        <f t="shared" si="41"/>
        <v>6.6885245901639355E-3</v>
      </c>
      <c r="N137" s="47">
        <f t="shared" si="41"/>
        <v>6.7068493150684938E-3</v>
      </c>
      <c r="O137" s="47">
        <f t="shared" si="41"/>
        <v>6.7068493150684938E-3</v>
      </c>
      <c r="P137" s="47">
        <f t="shared" si="41"/>
        <v>6.7068493150684938E-3</v>
      </c>
      <c r="Q137" s="47">
        <f t="shared" si="41"/>
        <v>6.6885245901639355E-3</v>
      </c>
      <c r="R137" s="47">
        <f t="shared" si="41"/>
        <v>6.7068493150684938E-3</v>
      </c>
      <c r="S137" s="47">
        <f>S135*$F136/S$3</f>
        <v>6.7068493150684938E-3</v>
      </c>
      <c r="T137" s="47">
        <f>T135*$F136/T$3</f>
        <v>6.7068493150684938E-3</v>
      </c>
      <c r="U137" s="47">
        <f>U135*$F136/U$3</f>
        <v>6.6885245901639355E-3</v>
      </c>
    </row>
    <row r="138" spans="2:21">
      <c r="I138" s="21"/>
    </row>
    <row r="139" spans="2:21">
      <c r="B139" s="407" t="s">
        <v>309</v>
      </c>
      <c r="I139" s="21"/>
    </row>
    <row r="140" spans="2:21">
      <c r="B140" s="407" t="s">
        <v>307</v>
      </c>
      <c r="I140" s="50">
        <f>I135</f>
        <v>0</v>
      </c>
      <c r="J140" s="50">
        <f t="shared" ref="J140:R140" si="42">J135</f>
        <v>0</v>
      </c>
      <c r="K140" s="50">
        <f t="shared" si="42"/>
        <v>0</v>
      </c>
      <c r="L140" s="50">
        <f t="shared" si="42"/>
        <v>6.1200000000000004E-2</v>
      </c>
      <c r="M140" s="50">
        <f t="shared" si="42"/>
        <v>6.1200000000000004E-2</v>
      </c>
      <c r="N140" s="50">
        <f t="shared" si="42"/>
        <v>6.1200000000000004E-2</v>
      </c>
      <c r="O140" s="50">
        <f t="shared" si="42"/>
        <v>6.1200000000000004E-2</v>
      </c>
      <c r="P140" s="50">
        <f t="shared" si="42"/>
        <v>6.1200000000000004E-2</v>
      </c>
      <c r="Q140" s="50">
        <f t="shared" si="42"/>
        <v>6.1200000000000004E-2</v>
      </c>
      <c r="R140" s="50">
        <f t="shared" si="42"/>
        <v>6.1200000000000004E-2</v>
      </c>
      <c r="S140" s="50">
        <f>S135</f>
        <v>6.1200000000000004E-2</v>
      </c>
      <c r="T140" s="50">
        <f>T135</f>
        <v>6.1200000000000004E-2</v>
      </c>
      <c r="U140" s="50">
        <f>U135</f>
        <v>6.1200000000000004E-2</v>
      </c>
    </row>
    <row r="141" spans="2:21">
      <c r="B141" s="407" t="s">
        <v>310</v>
      </c>
      <c r="F141" s="19">
        <v>30</v>
      </c>
      <c r="I141" s="19">
        <v>30</v>
      </c>
      <c r="J141" s="19">
        <v>30</v>
      </c>
      <c r="K141" s="19">
        <v>30</v>
      </c>
      <c r="L141" s="19">
        <v>30</v>
      </c>
      <c r="M141" s="19">
        <v>30</v>
      </c>
      <c r="N141" s="19">
        <v>30</v>
      </c>
      <c r="O141" s="19">
        <v>30</v>
      </c>
      <c r="P141" s="19">
        <v>30</v>
      </c>
      <c r="Q141" s="19">
        <v>30</v>
      </c>
      <c r="R141" s="19">
        <v>30</v>
      </c>
      <c r="S141" s="19">
        <v>30</v>
      </c>
      <c r="T141" s="19">
        <v>30</v>
      </c>
      <c r="U141" s="19">
        <v>30</v>
      </c>
    </row>
    <row r="142" spans="2:21">
      <c r="B142" s="28" t="s">
        <v>240</v>
      </c>
      <c r="C142" s="28"/>
      <c r="D142" s="28"/>
      <c r="E142" s="28"/>
      <c r="F142" s="28"/>
      <c r="G142" s="28"/>
      <c r="H142" s="28"/>
      <c r="I142" s="47">
        <f t="shared" ref="I142:R142" si="43">I140*I141/I$3</f>
        <v>0</v>
      </c>
      <c r="J142" s="47">
        <f t="shared" si="43"/>
        <v>0</v>
      </c>
      <c r="K142" s="47">
        <f t="shared" si="43"/>
        <v>0</v>
      </c>
      <c r="L142" s="47">
        <f t="shared" si="43"/>
        <v>5.0301369863013697E-3</v>
      </c>
      <c r="M142" s="47">
        <f t="shared" si="43"/>
        <v>5.0163934426229514E-3</v>
      </c>
      <c r="N142" s="47">
        <f t="shared" si="43"/>
        <v>5.0301369863013697E-3</v>
      </c>
      <c r="O142" s="47">
        <f t="shared" si="43"/>
        <v>5.0301369863013697E-3</v>
      </c>
      <c r="P142" s="47">
        <f t="shared" si="43"/>
        <v>5.0301369863013697E-3</v>
      </c>
      <c r="Q142" s="47">
        <f t="shared" si="43"/>
        <v>5.0163934426229514E-3</v>
      </c>
      <c r="R142" s="47">
        <f t="shared" si="43"/>
        <v>5.0301369863013697E-3</v>
      </c>
      <c r="S142" s="47">
        <f>S140*S141/S$3</f>
        <v>5.0301369863013697E-3</v>
      </c>
      <c r="T142" s="47">
        <f>T140*T141/T$3</f>
        <v>5.0301369863013697E-3</v>
      </c>
      <c r="U142" s="47">
        <f>U140*U141/U$3</f>
        <v>5.0163934426229514E-3</v>
      </c>
    </row>
    <row r="144" spans="2:21">
      <c r="B144" t="s">
        <v>300</v>
      </c>
      <c r="I144" s="23">
        <f>SUM(I132,I137,-I142)</f>
        <v>0</v>
      </c>
      <c r="J144" s="23">
        <f t="shared" ref="J144:R144" si="44">SUM(J132,J137,-J142)</f>
        <v>0</v>
      </c>
      <c r="K144" s="23">
        <f t="shared" si="44"/>
        <v>0</v>
      </c>
      <c r="L144" s="23">
        <f t="shared" si="44"/>
        <v>1.6364712328767126</v>
      </c>
      <c r="M144" s="23">
        <f t="shared" si="44"/>
        <v>1.6320000000000001</v>
      </c>
      <c r="N144" s="23">
        <f t="shared" si="44"/>
        <v>1.6364712328767126</v>
      </c>
      <c r="O144" s="23">
        <f t="shared" si="44"/>
        <v>1.6364712328767126</v>
      </c>
      <c r="P144" s="23">
        <f t="shared" si="44"/>
        <v>1.6364712328767126</v>
      </c>
      <c r="Q144" s="23">
        <f t="shared" si="44"/>
        <v>1.6320000000000001</v>
      </c>
      <c r="R144" s="23">
        <f t="shared" si="44"/>
        <v>1.6364712328767126</v>
      </c>
      <c r="S144" s="23">
        <f>SUM(S132,S137,-S142)</f>
        <v>1.6364712328767126</v>
      </c>
      <c r="T144" s="23">
        <f>SUM(T132,T137,-T142)</f>
        <v>1.6364712328767126</v>
      </c>
      <c r="U144" s="23">
        <f>SUM(U132,U137,-U142)</f>
        <v>1.6320000000000001</v>
      </c>
    </row>
    <row r="145" spans="2:21">
      <c r="B145" t="s">
        <v>311</v>
      </c>
      <c r="I145" s="23">
        <f t="shared" ref="I145:R145" si="45">H144-I144</f>
        <v>0</v>
      </c>
      <c r="J145" s="23">
        <f t="shared" si="45"/>
        <v>0</v>
      </c>
      <c r="K145" s="23">
        <f t="shared" si="45"/>
        <v>0</v>
      </c>
      <c r="L145" s="23">
        <f t="shared" si="45"/>
        <v>-1.6364712328767126</v>
      </c>
      <c r="M145" s="23">
        <f t="shared" si="45"/>
        <v>4.471232876712472E-3</v>
      </c>
      <c r="N145" s="23">
        <f t="shared" si="45"/>
        <v>-4.471232876712472E-3</v>
      </c>
      <c r="O145" s="23">
        <f t="shared" si="45"/>
        <v>0</v>
      </c>
      <c r="P145" s="23">
        <f t="shared" si="45"/>
        <v>0</v>
      </c>
      <c r="Q145" s="23">
        <f t="shared" si="45"/>
        <v>4.471232876712472E-3</v>
      </c>
      <c r="R145" s="23">
        <f t="shared" si="45"/>
        <v>-4.471232876712472E-3</v>
      </c>
      <c r="S145" s="23">
        <f>R144-S144</f>
        <v>0</v>
      </c>
      <c r="T145" s="23">
        <f>S144-T144</f>
        <v>0</v>
      </c>
      <c r="U145" s="23">
        <f>T144-U144</f>
        <v>4.471232876712472E-3</v>
      </c>
    </row>
    <row r="147" spans="2:21" ht="15.75">
      <c r="B147" s="15" t="s">
        <v>758</v>
      </c>
    </row>
    <row r="148" spans="2:21">
      <c r="B148" s="407" t="s">
        <v>434</v>
      </c>
      <c r="I148" s="462">
        <f>'Output_Standalone (IDR)'!J52*$F$127</f>
        <v>0</v>
      </c>
      <c r="J148" s="462">
        <f>'Output_Standalone (IDR)'!K52*$F$127</f>
        <v>0</v>
      </c>
      <c r="K148" s="462">
        <f>'Output_Standalone (IDR)'!L52*$F$127</f>
        <v>0</v>
      </c>
      <c r="L148" s="462">
        <f>'Output_Standalone (IDR)'!M52*$F$127</f>
        <v>9.0070281249999997</v>
      </c>
      <c r="M148" s="462">
        <f>'Output_Standalone (IDR)'!N52*$F$127</f>
        <v>9.0070281249999997</v>
      </c>
      <c r="N148" s="462">
        <f>'Output_Standalone (IDR)'!O52*$F$127</f>
        <v>9.0070281249999997</v>
      </c>
      <c r="O148" s="462">
        <f>'Output_Standalone (IDR)'!P52*$F$127</f>
        <v>9.0070281249999997</v>
      </c>
      <c r="P148" s="462">
        <f>'Output_Standalone (IDR)'!Q52*$F$127</f>
        <v>9.0070281249999997</v>
      </c>
      <c r="Q148" s="462">
        <f>'Output_Standalone (IDR)'!R52*$F$127</f>
        <v>9.0070281249999997</v>
      </c>
      <c r="R148" s="462">
        <f>'Output_Standalone (IDR)'!S52*$F$127</f>
        <v>9.0070281249999997</v>
      </c>
      <c r="S148" s="462">
        <f>'Output_Standalone (IDR)'!T52*$F$127</f>
        <v>9.0070281249999997</v>
      </c>
      <c r="T148" s="462">
        <f>'Output_Standalone (IDR)'!U52*$F$127</f>
        <v>9.0070281249999997</v>
      </c>
      <c r="U148" s="462">
        <f>'Output_Standalone (IDR)'!V52*$F$127</f>
        <v>9.0070281249999997</v>
      </c>
    </row>
    <row r="149" spans="2:21">
      <c r="B149" s="407" t="s">
        <v>759</v>
      </c>
      <c r="I149">
        <f t="shared" ref="I149:R149" si="46">-IF(I148&lt;0,0,I148*22%)</f>
        <v>0</v>
      </c>
      <c r="J149">
        <f t="shared" si="46"/>
        <v>0</v>
      </c>
      <c r="K149">
        <f t="shared" si="46"/>
        <v>0</v>
      </c>
      <c r="L149">
        <f t="shared" si="46"/>
        <v>-1.9815461875</v>
      </c>
      <c r="M149">
        <f t="shared" si="46"/>
        <v>-1.9815461875</v>
      </c>
      <c r="N149">
        <f t="shared" si="46"/>
        <v>-1.9815461875</v>
      </c>
      <c r="O149">
        <f t="shared" si="46"/>
        <v>-1.9815461875</v>
      </c>
      <c r="P149">
        <f t="shared" si="46"/>
        <v>-1.9815461875</v>
      </c>
      <c r="Q149">
        <f t="shared" si="46"/>
        <v>-1.9815461875</v>
      </c>
      <c r="R149">
        <f t="shared" si="46"/>
        <v>-1.9815461875</v>
      </c>
      <c r="S149">
        <f>-IF(S148&lt;0,0,S148*22%)</f>
        <v>-1.9815461875</v>
      </c>
      <c r="T149">
        <f>-IF(T148&lt;0,0,T148*22%)</f>
        <v>-1.9815461875</v>
      </c>
      <c r="U149">
        <f>-IF(U148&lt;0,0,U148*22%)</f>
        <v>-1.9815461875</v>
      </c>
    </row>
    <row r="150" spans="2:21">
      <c r="B150" s="437" t="s">
        <v>760</v>
      </c>
      <c r="I150">
        <f>-'Output_Standalone (IDR)'!J51*$F$127</f>
        <v>0</v>
      </c>
      <c r="J150">
        <f>-'Output_Standalone (IDR)'!K51*$F$127</f>
        <v>0</v>
      </c>
      <c r="K150">
        <f>-'Output_Standalone (IDR)'!L51*$F$127</f>
        <v>0</v>
      </c>
      <c r="L150">
        <f>-'Output_Standalone (IDR)'!M51*$F$127</f>
        <v>4.1917718750000006</v>
      </c>
      <c r="M150">
        <f>-'Output_Standalone (IDR)'!N51*$F$127</f>
        <v>4.1917718750000006</v>
      </c>
      <c r="N150">
        <f>-'Output_Standalone (IDR)'!O51*$F$127</f>
        <v>4.1917718750000006</v>
      </c>
      <c r="O150">
        <f>-'Output_Standalone (IDR)'!P51*$F$127</f>
        <v>4.1917718750000006</v>
      </c>
      <c r="P150">
        <f>-'Output_Standalone (IDR)'!Q51*$F$127</f>
        <v>4.1917718750000006</v>
      </c>
      <c r="Q150">
        <f>-'Output_Standalone (IDR)'!R51*$F$127</f>
        <v>4.1917718750000006</v>
      </c>
      <c r="R150">
        <f>-'Output_Standalone (IDR)'!S51*$F$127</f>
        <v>4.1917718750000006</v>
      </c>
      <c r="S150">
        <f>-'Output_Standalone (IDR)'!T51*$F$127</f>
        <v>4.1917718750000006</v>
      </c>
      <c r="T150">
        <f>-'Output_Standalone (IDR)'!U51*$F$127</f>
        <v>4.1917718750000006</v>
      </c>
      <c r="U150">
        <f>-'Output_Standalone (IDR)'!V51*$F$127</f>
        <v>4.1917718750000006</v>
      </c>
    </row>
    <row r="151" spans="2:21">
      <c r="B151" s="407" t="s">
        <v>219</v>
      </c>
      <c r="I151" s="462">
        <f>-Calculation_FSL!J1478*USD_IDR/Thousands*$F$127</f>
        <v>0</v>
      </c>
      <c r="J151" s="462">
        <f>-Calculation_FSL!K1478*USD_IDR/Thousands*$F$127</f>
        <v>0</v>
      </c>
      <c r="K151" s="462">
        <f>-Calculation_FSL!L1478*USD_IDR/Thousands*$F$127</f>
        <v>-61.193750000000001</v>
      </c>
      <c r="L151" s="462">
        <f>-Calculation_FSL!M1478*USD_IDR/Thousands*$F$127</f>
        <v>0</v>
      </c>
      <c r="M151">
        <f>-Calculation_FSL!N1478*USD_IDR/Thousands*$F$127</f>
        <v>0</v>
      </c>
      <c r="N151">
        <f>-Calculation_FSL!O1478*USD_IDR/Thousands*$F$127</f>
        <v>0</v>
      </c>
      <c r="O151">
        <f>-Calculation_FSL!P1478*USD_IDR/Thousands*$F$127</f>
        <v>0</v>
      </c>
      <c r="P151">
        <f>-Calculation_FSL!Q1478*USD_IDR/Thousands*$F$127</f>
        <v>0</v>
      </c>
      <c r="Q151">
        <f>-Calculation_FSL!R1478*USD_IDR/Thousands*$F$127</f>
        <v>0</v>
      </c>
      <c r="R151">
        <f>-Calculation_FSL!S1478*USD_IDR/Thousands*$F$127</f>
        <v>0</v>
      </c>
      <c r="S151">
        <f>-Calculation_FSL!T1478*USD_IDR/Thousands*$F$127</f>
        <v>0</v>
      </c>
      <c r="T151">
        <f>-Calculation_FSL!U1478*USD_IDR/Thousands*$F$127</f>
        <v>0</v>
      </c>
      <c r="U151">
        <f>-Calculation_FSL!V1478*USD_IDR/Thousands*$F$127</f>
        <v>0</v>
      </c>
    </row>
    <row r="152" spans="2:21">
      <c r="B152" s="407" t="s">
        <v>311</v>
      </c>
      <c r="I152">
        <f>I145*$F$127</f>
        <v>0</v>
      </c>
      <c r="J152">
        <f t="shared" ref="J152:U152" si="47">J145*$F$127</f>
        <v>0</v>
      </c>
      <c r="K152">
        <f t="shared" si="47"/>
        <v>0</v>
      </c>
      <c r="L152">
        <f t="shared" si="47"/>
        <v>-1.6364712328767126</v>
      </c>
      <c r="M152">
        <f t="shared" si="47"/>
        <v>4.471232876712472E-3</v>
      </c>
      <c r="N152">
        <f t="shared" si="47"/>
        <v>-4.471232876712472E-3</v>
      </c>
      <c r="O152">
        <f t="shared" si="47"/>
        <v>0</v>
      </c>
      <c r="P152">
        <f t="shared" si="47"/>
        <v>0</v>
      </c>
      <c r="Q152">
        <f t="shared" si="47"/>
        <v>4.471232876712472E-3</v>
      </c>
      <c r="R152">
        <f t="shared" si="47"/>
        <v>-4.471232876712472E-3</v>
      </c>
      <c r="S152">
        <f t="shared" si="47"/>
        <v>0</v>
      </c>
      <c r="T152">
        <f t="shared" si="47"/>
        <v>0</v>
      </c>
      <c r="U152">
        <f t="shared" si="47"/>
        <v>4.471232876712472E-3</v>
      </c>
    </row>
    <row r="153" spans="2:21">
      <c r="B153" s="28" t="s">
        <v>761</v>
      </c>
      <c r="C153" s="28"/>
      <c r="D153" s="28"/>
      <c r="E153" s="28"/>
      <c r="F153" s="28"/>
      <c r="G153" s="28"/>
      <c r="H153" s="28"/>
      <c r="I153" s="47">
        <f>SUM(I148:I152)</f>
        <v>0</v>
      </c>
      <c r="J153" s="47">
        <f t="shared" ref="J153:R153" si="48">SUM(J148:J152)</f>
        <v>0</v>
      </c>
      <c r="K153" s="47">
        <f t="shared" si="48"/>
        <v>-61.193750000000001</v>
      </c>
      <c r="L153" s="47">
        <f t="shared" si="48"/>
        <v>9.5807825796232891</v>
      </c>
      <c r="M153" s="47">
        <f t="shared" si="48"/>
        <v>11.221725045376713</v>
      </c>
      <c r="N153" s="47">
        <f t="shared" si="48"/>
        <v>11.212782579623289</v>
      </c>
      <c r="O153" s="47">
        <f t="shared" si="48"/>
        <v>11.217253812500001</v>
      </c>
      <c r="P153" s="47">
        <f t="shared" si="48"/>
        <v>11.217253812500001</v>
      </c>
      <c r="Q153" s="47">
        <f t="shared" si="48"/>
        <v>11.221725045376713</v>
      </c>
      <c r="R153" s="47">
        <f t="shared" si="48"/>
        <v>11.212782579623289</v>
      </c>
      <c r="S153" s="47">
        <f>SUM(S148:S152)</f>
        <v>11.217253812500001</v>
      </c>
      <c r="T153" s="47">
        <f>SUM(T148:T152)</f>
        <v>11.217253812500001</v>
      </c>
      <c r="U153" s="47">
        <f>SUM(U148:U152)</f>
        <v>11.221725045376713</v>
      </c>
    </row>
    <row r="155" spans="2:21">
      <c r="B155" t="s">
        <v>52</v>
      </c>
      <c r="F155" s="19"/>
    </row>
    <row r="156" spans="2:21">
      <c r="B156" s="28" t="s">
        <v>762</v>
      </c>
      <c r="C156" s="28"/>
      <c r="D156" s="28"/>
      <c r="E156" s="28"/>
      <c r="F156" s="28"/>
      <c r="G156" s="28"/>
      <c r="H156" s="28"/>
      <c r="I156" s="47">
        <f t="shared" ref="I156:R156" si="49">SUM(I153,J155)</f>
        <v>0</v>
      </c>
      <c r="J156" s="47">
        <f t="shared" si="49"/>
        <v>0</v>
      </c>
      <c r="K156" s="47">
        <f t="shared" si="49"/>
        <v>-61.193750000000001</v>
      </c>
      <c r="L156" s="47">
        <f t="shared" si="49"/>
        <v>9.5807825796232891</v>
      </c>
      <c r="M156" s="47">
        <f t="shared" si="49"/>
        <v>11.221725045376713</v>
      </c>
      <c r="N156" s="47">
        <f t="shared" si="49"/>
        <v>11.212782579623289</v>
      </c>
      <c r="O156" s="47">
        <f t="shared" si="49"/>
        <v>11.217253812500001</v>
      </c>
      <c r="P156" s="47">
        <f t="shared" si="49"/>
        <v>11.217253812500001</v>
      </c>
      <c r="Q156" s="47">
        <f t="shared" si="49"/>
        <v>11.221725045376713</v>
      </c>
      <c r="R156" s="47">
        <f t="shared" si="49"/>
        <v>11.212782579623289</v>
      </c>
      <c r="S156" s="47">
        <f>SUM(S153,T155)</f>
        <v>11.217253812500001</v>
      </c>
      <c r="T156" s="47">
        <f>SUM(T153,U155)</f>
        <v>11.217253812500001</v>
      </c>
      <c r="U156" s="47">
        <f>SUM(U153,V155)</f>
        <v>11.221725045376713</v>
      </c>
    </row>
    <row r="158" spans="2:21">
      <c r="B158" t="s">
        <v>763</v>
      </c>
      <c r="I158">
        <f>SUM($I$153:I153)</f>
        <v>0</v>
      </c>
      <c r="J158">
        <f>SUM($I$153:J153)</f>
        <v>0</v>
      </c>
      <c r="K158">
        <f>SUM($I$153:K153)</f>
        <v>-61.193750000000001</v>
      </c>
      <c r="L158">
        <f>SUM($I$153:L153)</f>
        <v>-51.612967420376712</v>
      </c>
      <c r="M158">
        <f>SUM($I$153:M153)</f>
        <v>-40.391242374999997</v>
      </c>
      <c r="N158">
        <f>SUM($I$153:N153)</f>
        <v>-29.17845979537671</v>
      </c>
      <c r="O158">
        <f>SUM($I$153:O153)</f>
        <v>-17.961205982876709</v>
      </c>
      <c r="P158">
        <f>SUM($I$153:P153)</f>
        <v>-6.7439521703767085</v>
      </c>
      <c r="Q158">
        <f>SUM($I$153:Q153)</f>
        <v>4.4777728750000048</v>
      </c>
      <c r="R158">
        <f>SUM($I$153:R153)</f>
        <v>15.690555454623293</v>
      </c>
      <c r="S158">
        <f>SUM($I$153:S153)</f>
        <v>26.907809267123294</v>
      </c>
      <c r="T158">
        <f>SUM($I$153:T153)</f>
        <v>38.125063079623295</v>
      </c>
      <c r="U158">
        <f>SUM($I$153:U153)</f>
        <v>49.34678812500001</v>
      </c>
    </row>
    <row r="159" spans="2:21">
      <c r="B159" t="s">
        <v>764</v>
      </c>
      <c r="H159">
        <f>SUM(I159:U159)</f>
        <v>6</v>
      </c>
      <c r="I159" s="13">
        <f>IF(I158&lt;0,1,0)</f>
        <v>0</v>
      </c>
      <c r="J159" s="13">
        <f t="shared" ref="J159:R159" si="50">IF(J158&lt;0,1,0)</f>
        <v>0</v>
      </c>
      <c r="K159" s="13">
        <f t="shared" si="50"/>
        <v>1</v>
      </c>
      <c r="L159" s="13">
        <f t="shared" si="50"/>
        <v>1</v>
      </c>
      <c r="M159" s="13">
        <f t="shared" si="50"/>
        <v>1</v>
      </c>
      <c r="N159" s="13">
        <f t="shared" si="50"/>
        <v>1</v>
      </c>
      <c r="O159" s="13">
        <f t="shared" si="50"/>
        <v>1</v>
      </c>
      <c r="P159" s="13">
        <f t="shared" si="50"/>
        <v>1</v>
      </c>
      <c r="Q159" s="13">
        <f t="shared" si="50"/>
        <v>0</v>
      </c>
      <c r="R159" s="13">
        <f t="shared" si="50"/>
        <v>0</v>
      </c>
      <c r="S159" s="13">
        <f>IF(S158&lt;0,1,0)</f>
        <v>0</v>
      </c>
      <c r="T159" s="13">
        <f>IF(T158&lt;0,1,0)</f>
        <v>0</v>
      </c>
      <c r="U159" s="13">
        <f>IF(U158&lt;0,1,0)</f>
        <v>0</v>
      </c>
    </row>
    <row r="160" spans="2:21">
      <c r="B160" t="s">
        <v>765</v>
      </c>
      <c r="I160" s="13">
        <f t="shared" ref="I160:R160" si="51">IF(AND(H159=1,I159=0),IF(MAX(I158,0),1),0)</f>
        <v>0</v>
      </c>
      <c r="J160" s="13">
        <f t="shared" si="51"/>
        <v>0</v>
      </c>
      <c r="K160" s="13">
        <f t="shared" si="51"/>
        <v>0</v>
      </c>
      <c r="L160" s="13">
        <f t="shared" si="51"/>
        <v>0</v>
      </c>
      <c r="M160" s="13">
        <f t="shared" si="51"/>
        <v>0</v>
      </c>
      <c r="N160" s="13">
        <f t="shared" si="51"/>
        <v>0</v>
      </c>
      <c r="O160" s="13">
        <f t="shared" si="51"/>
        <v>0</v>
      </c>
      <c r="P160" s="13">
        <f t="shared" si="51"/>
        <v>0</v>
      </c>
      <c r="Q160" s="13">
        <f t="shared" si="51"/>
        <v>1</v>
      </c>
      <c r="R160" s="13">
        <f t="shared" si="51"/>
        <v>0</v>
      </c>
      <c r="S160" s="13">
        <f>IF(AND(R159=1,S159=0),IF(MAX(S158,0),1),0)</f>
        <v>0</v>
      </c>
      <c r="T160" s="13">
        <f>IF(AND(S159=1,T159=0),IF(MAX(T158,0),1),0)</f>
        <v>0</v>
      </c>
      <c r="U160" s="13">
        <f>IF(AND(T159=1,U159=0),IF(MAX(U158,0),1),0)</f>
        <v>0</v>
      </c>
    </row>
    <row r="161" spans="2:21">
      <c r="B161" t="s">
        <v>766</v>
      </c>
      <c r="H161" s="22">
        <f>SUM(I161:U161)</f>
        <v>0.60097285783661025</v>
      </c>
      <c r="I161" s="22">
        <f t="shared" ref="I161:R161" si="52">IF(I160=1,-H158/I156,0)</f>
        <v>0</v>
      </c>
      <c r="J161" s="22">
        <f t="shared" si="52"/>
        <v>0</v>
      </c>
      <c r="K161" s="22">
        <f t="shared" si="52"/>
        <v>0</v>
      </c>
      <c r="L161" s="22">
        <f t="shared" si="52"/>
        <v>0</v>
      </c>
      <c r="M161" s="22">
        <f t="shared" si="52"/>
        <v>0</v>
      </c>
      <c r="N161" s="22">
        <f t="shared" si="52"/>
        <v>0</v>
      </c>
      <c r="O161" s="22">
        <f t="shared" si="52"/>
        <v>0</v>
      </c>
      <c r="P161" s="22">
        <f t="shared" si="52"/>
        <v>0</v>
      </c>
      <c r="Q161" s="22">
        <f t="shared" si="52"/>
        <v>0.60097285783661025</v>
      </c>
      <c r="R161" s="22">
        <f t="shared" si="52"/>
        <v>0</v>
      </c>
      <c r="S161" s="22">
        <f>IF(S160=1,-R158/S156,0)</f>
        <v>0</v>
      </c>
      <c r="T161" s="22">
        <f>IF(T160=1,-S158/T156,0)</f>
        <v>0</v>
      </c>
      <c r="U161" s="22">
        <f>IF(U160=1,-T158/U156,0)</f>
        <v>0</v>
      </c>
    </row>
    <row r="164" spans="2:21" ht="15.75">
      <c r="B164" s="15" t="s">
        <v>767</v>
      </c>
    </row>
    <row r="165" spans="2:21">
      <c r="B165" s="44" t="s">
        <v>54</v>
      </c>
      <c r="F165" s="21"/>
      <c r="H165" s="476">
        <f>IFERROR(IRR(I156:U156),0)</f>
        <v>0.12284299190593129</v>
      </c>
    </row>
    <row r="166" spans="2:21">
      <c r="B166" s="44" t="s">
        <v>768</v>
      </c>
      <c r="F166" s="22"/>
      <c r="H166" s="46">
        <f>SUM(H159,H161)</f>
        <v>6.6009728578366103</v>
      </c>
    </row>
    <row r="168" spans="2:21" ht="15.75">
      <c r="B168" s="15" t="s">
        <v>770</v>
      </c>
      <c r="F168" s="6">
        <f>Output_FSL!F34</f>
        <v>1</v>
      </c>
    </row>
    <row r="169" spans="2:21">
      <c r="B169" t="s">
        <v>300</v>
      </c>
    </row>
    <row r="170" spans="2:21">
      <c r="B170" s="407" t="s">
        <v>302</v>
      </c>
      <c r="I170" s="21"/>
    </row>
    <row r="171" spans="2:21">
      <c r="B171" s="407" t="s">
        <v>9</v>
      </c>
      <c r="I171" s="50">
        <f>Calculation_FSL!J453</f>
        <v>0</v>
      </c>
      <c r="J171" s="50">
        <f>Calculation_FSL!K453</f>
        <v>0</v>
      </c>
      <c r="K171" s="50">
        <f>Calculation_FSL!L453</f>
        <v>0</v>
      </c>
      <c r="L171" s="50">
        <f>Calculation_FSL!M453</f>
        <v>53.023781999999997</v>
      </c>
      <c r="M171" s="50">
        <f>Calculation_FSL!N453</f>
        <v>54.614495459999993</v>
      </c>
      <c r="N171" s="50">
        <f>Calculation_FSL!O453</f>
        <v>56.252930323800008</v>
      </c>
      <c r="O171" s="50">
        <f>Calculation_FSL!P453</f>
        <v>57.940518233513998</v>
      </c>
      <c r="P171" s="50">
        <f>Calculation_FSL!Q453</f>
        <v>59.67873378051943</v>
      </c>
      <c r="Q171" s="50">
        <f>Calculation_FSL!R453</f>
        <v>61.469095793935011</v>
      </c>
      <c r="R171" s="50">
        <f>Calculation_FSL!S453</f>
        <v>63.313168667753068</v>
      </c>
      <c r="S171" s="50">
        <f>Calculation_FSL!T453</f>
        <v>65.21256372778565</v>
      </c>
      <c r="T171" s="50">
        <f>Calculation_FSL!U453</f>
        <v>67.168940639619237</v>
      </c>
      <c r="U171" s="50">
        <f>Calculation_FSL!V453</f>
        <v>69.1840088588078</v>
      </c>
    </row>
    <row r="172" spans="2:21">
      <c r="B172" s="407" t="s">
        <v>303</v>
      </c>
      <c r="F172" s="19">
        <v>45</v>
      </c>
      <c r="I172" s="19">
        <v>45</v>
      </c>
      <c r="J172" s="19">
        <v>45</v>
      </c>
      <c r="K172" s="19">
        <v>45</v>
      </c>
      <c r="L172" s="19">
        <v>45</v>
      </c>
      <c r="M172" s="19">
        <v>45</v>
      </c>
      <c r="N172" s="19">
        <v>45</v>
      </c>
      <c r="O172" s="19">
        <v>45</v>
      </c>
      <c r="P172" s="19">
        <v>45</v>
      </c>
      <c r="Q172" s="19">
        <v>45</v>
      </c>
      <c r="R172" s="19">
        <v>45</v>
      </c>
      <c r="S172" s="19">
        <v>45</v>
      </c>
      <c r="T172" s="19">
        <v>45</v>
      </c>
      <c r="U172" s="19">
        <v>45</v>
      </c>
    </row>
    <row r="173" spans="2:21">
      <c r="B173" s="28" t="s">
        <v>304</v>
      </c>
      <c r="C173" s="28"/>
      <c r="D173" s="28"/>
      <c r="E173" s="28"/>
      <c r="F173" s="28"/>
      <c r="G173" s="28"/>
      <c r="H173" s="28"/>
      <c r="I173" s="47">
        <f t="shared" ref="I173:R173" si="53">I171*I172/I$3</f>
        <v>0</v>
      </c>
      <c r="J173" s="47">
        <f t="shared" si="53"/>
        <v>0</v>
      </c>
      <c r="K173" s="47">
        <f t="shared" si="53"/>
        <v>0</v>
      </c>
      <c r="L173" s="47">
        <f t="shared" si="53"/>
        <v>6.5371786027397256</v>
      </c>
      <c r="M173" s="47">
        <f t="shared" si="53"/>
        <v>6.7148969827868843</v>
      </c>
      <c r="N173" s="47">
        <f t="shared" si="53"/>
        <v>6.9352927796465762</v>
      </c>
      <c r="O173" s="47">
        <f t="shared" si="53"/>
        <v>7.1433515630359725</v>
      </c>
      <c r="P173" s="47">
        <f t="shared" si="53"/>
        <v>7.3576521099270531</v>
      </c>
      <c r="Q173" s="47">
        <f t="shared" si="53"/>
        <v>7.5576757123690586</v>
      </c>
      <c r="R173" s="47">
        <f t="shared" si="53"/>
        <v>7.8057331234216116</v>
      </c>
      <c r="S173" s="47">
        <f>S171*S172/S$3</f>
        <v>8.0399051171242579</v>
      </c>
      <c r="T173" s="47">
        <f>T171*T172/T$3</f>
        <v>8.2811022706379891</v>
      </c>
      <c r="U173" s="47">
        <f>U171*U172/U$3</f>
        <v>8.506230597394401</v>
      </c>
    </row>
    <row r="174" spans="2:21">
      <c r="I174" s="21"/>
    </row>
    <row r="175" spans="2:21">
      <c r="B175" s="407" t="s">
        <v>306</v>
      </c>
      <c r="I175" s="21"/>
    </row>
    <row r="176" spans="2:21">
      <c r="B176" s="407" t="s">
        <v>307</v>
      </c>
      <c r="I176" s="33">
        <f>-'Output_Standalone (IDR)'!J209</f>
        <v>0</v>
      </c>
      <c r="J176" s="33">
        <f>-'Output_Standalone (IDR)'!K209</f>
        <v>0</v>
      </c>
      <c r="K176" s="33">
        <f>-'Output_Standalone (IDR)'!L209</f>
        <v>0</v>
      </c>
      <c r="L176" s="33">
        <f>-'Output_Standalone (IDR)'!M209</f>
        <v>5.3023781999999997</v>
      </c>
      <c r="M176" s="33">
        <f>-'Output_Standalone (IDR)'!N209</f>
        <v>5.4614495459999999</v>
      </c>
      <c r="N176" s="33">
        <f>-'Output_Standalone (IDR)'!O209</f>
        <v>5.625293032380001</v>
      </c>
      <c r="O176" s="33">
        <f>-'Output_Standalone (IDR)'!P209</f>
        <v>5.7940518233514</v>
      </c>
      <c r="P176" s="33">
        <f>-'Output_Standalone (IDR)'!Q209</f>
        <v>5.9678733780519435</v>
      </c>
      <c r="Q176" s="33">
        <f>-'Output_Standalone (IDR)'!R209</f>
        <v>6.1469095793935011</v>
      </c>
      <c r="R176" s="33">
        <f>-'Output_Standalone (IDR)'!S209</f>
        <v>6.3313168667753068</v>
      </c>
      <c r="S176" s="33">
        <f>-'Output_Standalone (IDR)'!T209</f>
        <v>6.5212563727785655</v>
      </c>
      <c r="T176" s="33">
        <f>-'Output_Standalone (IDR)'!U209</f>
        <v>6.7168940639619237</v>
      </c>
      <c r="U176" s="33">
        <f>-'Output_Standalone (IDR)'!V209</f>
        <v>6.9184008858807804</v>
      </c>
    </row>
    <row r="177" spans="2:21">
      <c r="B177" s="407" t="s">
        <v>308</v>
      </c>
      <c r="F177" s="19">
        <v>40</v>
      </c>
    </row>
    <row r="178" spans="2:21">
      <c r="B178" s="28" t="s">
        <v>204</v>
      </c>
      <c r="C178" s="28"/>
      <c r="D178" s="28"/>
      <c r="E178" s="28"/>
      <c r="F178" s="28"/>
      <c r="G178" s="28"/>
      <c r="H178" s="28"/>
      <c r="I178" s="47">
        <f t="shared" ref="I178:R178" si="54">I176*$F177/I$3</f>
        <v>0</v>
      </c>
      <c r="J178" s="47">
        <f t="shared" si="54"/>
        <v>0</v>
      </c>
      <c r="K178" s="47">
        <f t="shared" si="54"/>
        <v>0</v>
      </c>
      <c r="L178" s="47">
        <f t="shared" si="54"/>
        <v>0.58108254246575342</v>
      </c>
      <c r="M178" s="47">
        <f t="shared" si="54"/>
        <v>0.59687973180327869</v>
      </c>
      <c r="N178" s="47">
        <f t="shared" si="54"/>
        <v>0.61647046930191784</v>
      </c>
      <c r="O178" s="47">
        <f t="shared" si="54"/>
        <v>0.63496458338097528</v>
      </c>
      <c r="P178" s="47">
        <f t="shared" si="54"/>
        <v>0.65401352088240483</v>
      </c>
      <c r="Q178" s="47">
        <f t="shared" si="54"/>
        <v>0.67179339665502746</v>
      </c>
      <c r="R178" s="47">
        <f t="shared" si="54"/>
        <v>0.69384294430414317</v>
      </c>
      <c r="S178" s="47">
        <f>S176*$F177/S$3</f>
        <v>0.71465823263326744</v>
      </c>
      <c r="T178" s="47">
        <f>T176*$F177/T$3</f>
        <v>0.73609797961226564</v>
      </c>
      <c r="U178" s="47">
        <f>U176*$F177/U$3</f>
        <v>0.75610938643505787</v>
      </c>
    </row>
    <row r="179" spans="2:21">
      <c r="I179" s="21"/>
    </row>
    <row r="180" spans="2:21">
      <c r="B180" s="407" t="s">
        <v>309</v>
      </c>
      <c r="I180" s="21"/>
    </row>
    <row r="181" spans="2:21">
      <c r="B181" s="407" t="s">
        <v>307</v>
      </c>
      <c r="I181" s="50">
        <f>I176</f>
        <v>0</v>
      </c>
      <c r="J181" s="50">
        <f t="shared" ref="J181:R181" si="55">J176</f>
        <v>0</v>
      </c>
      <c r="K181" s="50">
        <f t="shared" si="55"/>
        <v>0</v>
      </c>
      <c r="L181" s="50">
        <f t="shared" si="55"/>
        <v>5.3023781999999997</v>
      </c>
      <c r="M181" s="50">
        <f t="shared" si="55"/>
        <v>5.4614495459999999</v>
      </c>
      <c r="N181" s="50">
        <f t="shared" si="55"/>
        <v>5.625293032380001</v>
      </c>
      <c r="O181" s="50">
        <f t="shared" si="55"/>
        <v>5.7940518233514</v>
      </c>
      <c r="P181" s="50">
        <f t="shared" si="55"/>
        <v>5.9678733780519435</v>
      </c>
      <c r="Q181" s="50">
        <f t="shared" si="55"/>
        <v>6.1469095793935011</v>
      </c>
      <c r="R181" s="50">
        <f t="shared" si="55"/>
        <v>6.3313168667753068</v>
      </c>
      <c r="S181" s="50">
        <f>S176</f>
        <v>6.5212563727785655</v>
      </c>
      <c r="T181" s="50">
        <f>T176</f>
        <v>6.7168940639619237</v>
      </c>
      <c r="U181" s="50">
        <f>U176</f>
        <v>6.9184008858807804</v>
      </c>
    </row>
    <row r="182" spans="2:21">
      <c r="B182" s="407" t="s">
        <v>310</v>
      </c>
      <c r="F182" s="19">
        <v>30</v>
      </c>
      <c r="I182" s="19">
        <v>30</v>
      </c>
      <c r="J182" s="19">
        <v>30</v>
      </c>
      <c r="K182" s="19">
        <v>30</v>
      </c>
      <c r="L182" s="19">
        <v>30</v>
      </c>
      <c r="M182" s="19">
        <v>30</v>
      </c>
      <c r="N182" s="19">
        <v>30</v>
      </c>
      <c r="O182" s="19">
        <v>30</v>
      </c>
      <c r="P182" s="19">
        <v>30</v>
      </c>
      <c r="Q182" s="19">
        <v>30</v>
      </c>
      <c r="R182" s="19">
        <v>30</v>
      </c>
      <c r="S182" s="19">
        <v>30</v>
      </c>
      <c r="T182" s="19">
        <v>30</v>
      </c>
      <c r="U182" s="19">
        <v>30</v>
      </c>
    </row>
    <row r="183" spans="2:21">
      <c r="B183" s="28" t="s">
        <v>240</v>
      </c>
      <c r="C183" s="28"/>
      <c r="D183" s="28"/>
      <c r="E183" s="28"/>
      <c r="F183" s="28"/>
      <c r="G183" s="28"/>
      <c r="H183" s="28"/>
      <c r="I183" s="47">
        <f t="shared" ref="I183:R183" si="56">I181*I182/I$3</f>
        <v>0</v>
      </c>
      <c r="J183" s="47">
        <f t="shared" si="56"/>
        <v>0</v>
      </c>
      <c r="K183" s="47">
        <f t="shared" si="56"/>
        <v>0</v>
      </c>
      <c r="L183" s="47">
        <f t="shared" si="56"/>
        <v>0.43581190684931509</v>
      </c>
      <c r="M183" s="47">
        <f t="shared" si="56"/>
        <v>0.44765979885245905</v>
      </c>
      <c r="N183" s="47">
        <f t="shared" si="56"/>
        <v>0.46235285197643844</v>
      </c>
      <c r="O183" s="47">
        <f t="shared" si="56"/>
        <v>0.47622343753573154</v>
      </c>
      <c r="P183" s="47">
        <f t="shared" si="56"/>
        <v>0.49051014066180354</v>
      </c>
      <c r="Q183" s="47">
        <f t="shared" si="56"/>
        <v>0.50384504749127057</v>
      </c>
      <c r="R183" s="47">
        <f t="shared" si="56"/>
        <v>0.52038220822810743</v>
      </c>
      <c r="S183" s="47">
        <f>S181*S182/S$3</f>
        <v>0.53599367447495061</v>
      </c>
      <c r="T183" s="47">
        <f>T181*T182/T$3</f>
        <v>0.55207348470919926</v>
      </c>
      <c r="U183" s="47">
        <f>U181*U182/U$3</f>
        <v>0.56708203982629346</v>
      </c>
    </row>
    <row r="185" spans="2:21">
      <c r="B185" t="s">
        <v>300</v>
      </c>
      <c r="I185" s="23">
        <f>SUM(I173,I178,-I183)</f>
        <v>0</v>
      </c>
      <c r="J185" s="23">
        <f t="shared" ref="J185:R185" si="57">SUM(J173,J178,-J183)</f>
        <v>0</v>
      </c>
      <c r="K185" s="23">
        <f t="shared" si="57"/>
        <v>0</v>
      </c>
      <c r="L185" s="23">
        <f t="shared" si="57"/>
        <v>6.6824492383561642</v>
      </c>
      <c r="M185" s="23">
        <f t="shared" si="57"/>
        <v>6.8641169157377044</v>
      </c>
      <c r="N185" s="23">
        <f t="shared" si="57"/>
        <v>7.0894103969720552</v>
      </c>
      <c r="O185" s="23">
        <f t="shared" si="57"/>
        <v>7.3020927088812169</v>
      </c>
      <c r="P185" s="23">
        <f t="shared" si="57"/>
        <v>7.5211554901476552</v>
      </c>
      <c r="Q185" s="23">
        <f t="shared" si="57"/>
        <v>7.7256240615328151</v>
      </c>
      <c r="R185" s="23">
        <f t="shared" si="57"/>
        <v>7.9791938594976477</v>
      </c>
      <c r="S185" s="23">
        <f>SUM(S173,S178,-S183)</f>
        <v>8.2185696752825752</v>
      </c>
      <c r="T185" s="23">
        <f>SUM(T173,T178,-T183)</f>
        <v>8.465126765541056</v>
      </c>
      <c r="U185" s="23">
        <f>SUM(U173,U178,-U183)</f>
        <v>8.695257944003167</v>
      </c>
    </row>
    <row r="186" spans="2:21">
      <c r="B186" t="s">
        <v>311</v>
      </c>
      <c r="I186" s="23">
        <f t="shared" ref="I186:R186" si="58">H185-I185</f>
        <v>0</v>
      </c>
      <c r="J186" s="23">
        <f t="shared" si="58"/>
        <v>0</v>
      </c>
      <c r="K186" s="23">
        <f t="shared" si="58"/>
        <v>0</v>
      </c>
      <c r="L186" s="23">
        <f t="shared" si="58"/>
        <v>-6.6824492383561642</v>
      </c>
      <c r="M186" s="23">
        <f t="shared" si="58"/>
        <v>-0.18166767738154022</v>
      </c>
      <c r="N186" s="23">
        <f t="shared" si="58"/>
        <v>-0.22529348123435078</v>
      </c>
      <c r="O186" s="23">
        <f t="shared" si="58"/>
        <v>-0.21268231190916165</v>
      </c>
      <c r="P186" s="23">
        <f t="shared" si="58"/>
        <v>-0.2190627812664383</v>
      </c>
      <c r="Q186" s="23">
        <f t="shared" si="58"/>
        <v>-0.20446857138515995</v>
      </c>
      <c r="R186" s="23">
        <f t="shared" si="58"/>
        <v>-0.25356979796483259</v>
      </c>
      <c r="S186" s="23">
        <f>R185-S185</f>
        <v>-0.2393758157849275</v>
      </c>
      <c r="T186" s="23">
        <f>S185-T185</f>
        <v>-0.24655709025848083</v>
      </c>
      <c r="U186" s="23">
        <f>T185-U185</f>
        <v>-0.23013117846211095</v>
      </c>
    </row>
    <row r="188" spans="2:21" ht="15.75">
      <c r="B188" s="15" t="s">
        <v>758</v>
      </c>
    </row>
    <row r="189" spans="2:21">
      <c r="B189" s="407" t="s">
        <v>434</v>
      </c>
      <c r="I189">
        <f>'Output_Standalone (IDR)'!J216*$F$168</f>
        <v>0</v>
      </c>
      <c r="J189">
        <f>'Output_Standalone (IDR)'!K216*$F$168</f>
        <v>0</v>
      </c>
      <c r="K189">
        <f>'Output_Standalone (IDR)'!L216*$F$168</f>
        <v>0</v>
      </c>
      <c r="L189">
        <f>'Output_Standalone (IDR)'!M216*$F$168</f>
        <v>21.209512799999999</v>
      </c>
      <c r="M189">
        <f>'Output_Standalone (IDR)'!N216*$F$168</f>
        <v>21.845798184</v>
      </c>
      <c r="N189">
        <f>'Output_Standalone (IDR)'!O216*$F$168</f>
        <v>22.501172129520004</v>
      </c>
      <c r="O189">
        <f>'Output_Standalone (IDR)'!P216*$F$168</f>
        <v>23.176207293405596</v>
      </c>
      <c r="P189">
        <f>'Output_Standalone (IDR)'!Q216*$F$168</f>
        <v>23.871493512207774</v>
      </c>
      <c r="Q189">
        <f>'Output_Standalone (IDR)'!R216*$F$168</f>
        <v>24.587638317574005</v>
      </c>
      <c r="R189">
        <f>'Output_Standalone (IDR)'!S216*$F$168</f>
        <v>25.325267467101231</v>
      </c>
      <c r="S189">
        <f>'Output_Standalone (IDR)'!T216*$F$168</f>
        <v>26.085025491114259</v>
      </c>
      <c r="T189">
        <f>'Output_Standalone (IDR)'!U216*$F$168</f>
        <v>26.867576255847695</v>
      </c>
      <c r="U189">
        <f>'Output_Standalone (IDR)'!V216*$F$168</f>
        <v>27.673603543523122</v>
      </c>
    </row>
    <row r="190" spans="2:21">
      <c r="B190" s="407" t="s">
        <v>759</v>
      </c>
      <c r="I190">
        <f>-IF(I189&lt;0,0,I189*22%)*$F$168</f>
        <v>0</v>
      </c>
      <c r="J190">
        <f t="shared" ref="J190:U190" si="59">-IF(J189&lt;0,0,J189*22%)*$F$168</f>
        <v>0</v>
      </c>
      <c r="K190">
        <f t="shared" si="59"/>
        <v>0</v>
      </c>
      <c r="L190">
        <f t="shared" si="59"/>
        <v>-4.6660928159999999</v>
      </c>
      <c r="M190">
        <f t="shared" si="59"/>
        <v>-4.8060756004799998</v>
      </c>
      <c r="N190">
        <f t="shared" si="59"/>
        <v>-4.9502578684944005</v>
      </c>
      <c r="O190">
        <f t="shared" si="59"/>
        <v>-5.0987656045492313</v>
      </c>
      <c r="P190">
        <f t="shared" si="59"/>
        <v>-5.2517285726857104</v>
      </c>
      <c r="Q190">
        <f t="shared" si="59"/>
        <v>-5.4092804298662811</v>
      </c>
      <c r="R190">
        <f t="shared" si="59"/>
        <v>-5.5715588427622711</v>
      </c>
      <c r="S190">
        <f t="shared" si="59"/>
        <v>-5.7387056080451373</v>
      </c>
      <c r="T190">
        <f t="shared" si="59"/>
        <v>-5.9108667762864933</v>
      </c>
      <c r="U190">
        <f t="shared" si="59"/>
        <v>-6.0881927795750865</v>
      </c>
    </row>
    <row r="191" spans="2:21">
      <c r="B191" s="437" t="s">
        <v>760</v>
      </c>
      <c r="I191">
        <f>-'Output_Standalone (IDR)'!J215*$F$168</f>
        <v>0</v>
      </c>
      <c r="J191">
        <f>-'Output_Standalone (IDR)'!K215*$F$168</f>
        <v>0</v>
      </c>
      <c r="K191">
        <f>-'Output_Standalone (IDR)'!L215*$F$168</f>
        <v>0</v>
      </c>
      <c r="L191">
        <f>-'Output_Standalone (IDR)'!M215*$F$168</f>
        <v>0</v>
      </c>
      <c r="M191">
        <f>-'Output_Standalone (IDR)'!N215*$F$168</f>
        <v>0</v>
      </c>
      <c r="N191">
        <f>-'Output_Standalone (IDR)'!O215*$F$168</f>
        <v>0</v>
      </c>
      <c r="O191">
        <f>-'Output_Standalone (IDR)'!P215*$F$168</f>
        <v>0</v>
      </c>
      <c r="P191">
        <f>-'Output_Standalone (IDR)'!Q215*$F$168</f>
        <v>0</v>
      </c>
      <c r="Q191">
        <f>-'Output_Standalone (IDR)'!R215*$F$168</f>
        <v>0</v>
      </c>
      <c r="R191">
        <f>-'Output_Standalone (IDR)'!S215*$F$168</f>
        <v>0</v>
      </c>
      <c r="S191">
        <f>-'Output_Standalone (IDR)'!T215*$F$168</f>
        <v>0</v>
      </c>
      <c r="T191">
        <f>-'Output_Standalone (IDR)'!U215*$F$168</f>
        <v>0</v>
      </c>
      <c r="U191">
        <f>-'Output_Standalone (IDR)'!V215*$F$168</f>
        <v>0</v>
      </c>
    </row>
    <row r="192" spans="2:21">
      <c r="B192" s="407" t="s">
        <v>219</v>
      </c>
      <c r="I192">
        <f>-Calculation_FSL!J1477*USD_IDR/Thousands*$F$168</f>
        <v>0</v>
      </c>
      <c r="J192">
        <f>-Calculation_FSL!K1477*USD_IDR/Thousands*$F$168</f>
        <v>0</v>
      </c>
      <c r="K192">
        <f>-Calculation_FSL!L1477*USD_IDR/Thousands*$F$168</f>
        <v>-97.99</v>
      </c>
      <c r="L192">
        <f>-Calculation_FSL!M1477*USD_IDR/Thousands*$F$168</f>
        <v>0</v>
      </c>
      <c r="M192">
        <f>-Calculation_FSL!N1477*USD_IDR/Thousands*$F$168</f>
        <v>0</v>
      </c>
      <c r="N192">
        <f>-Calculation_FSL!O1477*USD_IDR/Thousands*$F$168</f>
        <v>0</v>
      </c>
      <c r="O192">
        <f>-Calculation_FSL!P1477*USD_IDR/Thousands*$F$168</f>
        <v>0</v>
      </c>
      <c r="P192">
        <f>-Calculation_FSL!Q1477*USD_IDR/Thousands*$F$168</f>
        <v>0</v>
      </c>
      <c r="Q192">
        <f>-Calculation_FSL!R1477*USD_IDR/Thousands*$F$168</f>
        <v>0</v>
      </c>
      <c r="R192">
        <f>-Calculation_FSL!S1477*USD_IDR/Thousands*$F$168</f>
        <v>0</v>
      </c>
      <c r="S192">
        <f>-Calculation_FSL!T1477*USD_IDR/Thousands*$F$168</f>
        <v>0</v>
      </c>
      <c r="T192">
        <f>-Calculation_FSL!U1477*USD_IDR/Thousands*$F$168</f>
        <v>0</v>
      </c>
      <c r="U192">
        <f>-Calculation_FSL!V1477*USD_IDR/Thousands*$F$168</f>
        <v>0</v>
      </c>
    </row>
    <row r="193" spans="2:21">
      <c r="B193" s="407" t="s">
        <v>311</v>
      </c>
      <c r="I193">
        <f>I186*$F$168</f>
        <v>0</v>
      </c>
      <c r="J193">
        <f t="shared" ref="J193:U193" si="60">J186*$F$168</f>
        <v>0</v>
      </c>
      <c r="K193">
        <f t="shared" si="60"/>
        <v>0</v>
      </c>
      <c r="L193">
        <f t="shared" si="60"/>
        <v>-6.6824492383561642</v>
      </c>
      <c r="M193">
        <f t="shared" si="60"/>
        <v>-0.18166767738154022</v>
      </c>
      <c r="N193">
        <f t="shared" si="60"/>
        <v>-0.22529348123435078</v>
      </c>
      <c r="O193">
        <f t="shared" si="60"/>
        <v>-0.21268231190916165</v>
      </c>
      <c r="P193">
        <f t="shared" si="60"/>
        <v>-0.2190627812664383</v>
      </c>
      <c r="Q193">
        <f t="shared" si="60"/>
        <v>-0.20446857138515995</v>
      </c>
      <c r="R193">
        <f t="shared" si="60"/>
        <v>-0.25356979796483259</v>
      </c>
      <c r="S193">
        <f t="shared" si="60"/>
        <v>-0.2393758157849275</v>
      </c>
      <c r="T193">
        <f t="shared" si="60"/>
        <v>-0.24655709025848083</v>
      </c>
      <c r="U193">
        <f t="shared" si="60"/>
        <v>-0.23013117846211095</v>
      </c>
    </row>
    <row r="194" spans="2:21">
      <c r="B194" s="28" t="s">
        <v>761</v>
      </c>
      <c r="C194" s="28"/>
      <c r="D194" s="28"/>
      <c r="E194" s="28"/>
      <c r="F194" s="28"/>
      <c r="G194" s="28"/>
      <c r="H194" s="28"/>
      <c r="I194" s="47">
        <f>SUM(I189:I193)</f>
        <v>0</v>
      </c>
      <c r="J194" s="47">
        <f t="shared" ref="J194:R194" si="61">SUM(J189:J193)</f>
        <v>0</v>
      </c>
      <c r="K194" s="47">
        <f t="shared" si="61"/>
        <v>-97.99</v>
      </c>
      <c r="L194" s="47">
        <f t="shared" si="61"/>
        <v>9.8609707456438365</v>
      </c>
      <c r="M194" s="47">
        <f t="shared" si="61"/>
        <v>16.858054906138459</v>
      </c>
      <c r="N194" s="47">
        <f t="shared" si="61"/>
        <v>17.325620779791251</v>
      </c>
      <c r="O194" s="47">
        <f t="shared" si="61"/>
        <v>17.864759376947202</v>
      </c>
      <c r="P194" s="47">
        <f t="shared" si="61"/>
        <v>18.400702158255626</v>
      </c>
      <c r="Q194" s="47">
        <f t="shared" si="61"/>
        <v>18.973889316322563</v>
      </c>
      <c r="R194" s="47">
        <f t="shared" si="61"/>
        <v>19.500138826374126</v>
      </c>
      <c r="S194" s="47">
        <f>SUM(S189:S193)</f>
        <v>20.106944067284193</v>
      </c>
      <c r="T194" s="47">
        <f>SUM(T189:T193)</f>
        <v>20.710152389302721</v>
      </c>
      <c r="U194" s="47">
        <f>SUM(U189:U193)</f>
        <v>21.355279585485924</v>
      </c>
    </row>
    <row r="196" spans="2:21">
      <c r="B196" t="s">
        <v>52</v>
      </c>
      <c r="F196" s="19"/>
    </row>
    <row r="197" spans="2:21">
      <c r="B197" s="28" t="s">
        <v>762</v>
      </c>
      <c r="C197" s="28"/>
      <c r="D197" s="28"/>
      <c r="E197" s="28"/>
      <c r="F197" s="28"/>
      <c r="G197" s="28"/>
      <c r="H197" s="28"/>
      <c r="I197" s="47">
        <f t="shared" ref="I197:R197" si="62">SUM(I194,J196)</f>
        <v>0</v>
      </c>
      <c r="J197" s="47">
        <f t="shared" si="62"/>
        <v>0</v>
      </c>
      <c r="K197" s="47">
        <f t="shared" si="62"/>
        <v>-97.99</v>
      </c>
      <c r="L197" s="47">
        <f t="shared" si="62"/>
        <v>9.8609707456438365</v>
      </c>
      <c r="M197" s="47">
        <f t="shared" si="62"/>
        <v>16.858054906138459</v>
      </c>
      <c r="N197" s="47">
        <f t="shared" si="62"/>
        <v>17.325620779791251</v>
      </c>
      <c r="O197" s="47">
        <f t="shared" si="62"/>
        <v>17.864759376947202</v>
      </c>
      <c r="P197" s="47">
        <f t="shared" si="62"/>
        <v>18.400702158255626</v>
      </c>
      <c r="Q197" s="47">
        <f t="shared" si="62"/>
        <v>18.973889316322563</v>
      </c>
      <c r="R197" s="47">
        <f t="shared" si="62"/>
        <v>19.500138826374126</v>
      </c>
      <c r="S197" s="47">
        <f>SUM(S194,T196)</f>
        <v>20.106944067284193</v>
      </c>
      <c r="T197" s="47">
        <f>SUM(T194,U196)</f>
        <v>20.710152389302721</v>
      </c>
      <c r="U197" s="47">
        <f>SUM(U194,V196)</f>
        <v>21.355279585485924</v>
      </c>
    </row>
    <row r="199" spans="2:21">
      <c r="B199" t="s">
        <v>763</v>
      </c>
      <c r="I199">
        <f>SUM($I$197:I197)</f>
        <v>0</v>
      </c>
      <c r="J199">
        <f>SUM($I$197:J197)</f>
        <v>0</v>
      </c>
      <c r="K199">
        <f>SUM($I$197:K197)</f>
        <v>-97.99</v>
      </c>
      <c r="L199">
        <f>SUM($I$197:L197)</f>
        <v>-88.129029254356155</v>
      </c>
      <c r="M199">
        <f>SUM($I$197:M197)</f>
        <v>-71.270974348217692</v>
      </c>
      <c r="N199">
        <f>SUM($I$197:N197)</f>
        <v>-53.945353568426441</v>
      </c>
      <c r="O199">
        <f>SUM($I$197:O197)</f>
        <v>-36.080594191479236</v>
      </c>
      <c r="P199">
        <f>SUM($I$197:P197)</f>
        <v>-17.679892033223609</v>
      </c>
      <c r="Q199">
        <f>SUM($I$197:Q197)</f>
        <v>1.2939972830989532</v>
      </c>
      <c r="R199">
        <f>SUM($I$197:R197)</f>
        <v>20.794136109473079</v>
      </c>
      <c r="S199">
        <f>SUM($I$197:S197)</f>
        <v>40.901080176757276</v>
      </c>
      <c r="T199">
        <f>SUM($I$197:T197)</f>
        <v>61.611232566059996</v>
      </c>
      <c r="U199">
        <f>SUM($I$197:U197)</f>
        <v>82.966512151545913</v>
      </c>
    </row>
    <row r="200" spans="2:21">
      <c r="B200" t="s">
        <v>764</v>
      </c>
      <c r="H200">
        <f>SUM(I200:U200)</f>
        <v>6</v>
      </c>
      <c r="I200" s="13">
        <f>IF(I199&lt;0,1,0)</f>
        <v>0</v>
      </c>
      <c r="J200" s="13">
        <f t="shared" ref="J200:R200" si="63">IF(J199&lt;0,1,0)</f>
        <v>0</v>
      </c>
      <c r="K200" s="13">
        <f t="shared" si="63"/>
        <v>1</v>
      </c>
      <c r="L200" s="13">
        <f t="shared" si="63"/>
        <v>1</v>
      </c>
      <c r="M200" s="13">
        <f t="shared" si="63"/>
        <v>1</v>
      </c>
      <c r="N200" s="13">
        <f t="shared" si="63"/>
        <v>1</v>
      </c>
      <c r="O200" s="13">
        <f t="shared" si="63"/>
        <v>1</v>
      </c>
      <c r="P200" s="13">
        <f t="shared" si="63"/>
        <v>1</v>
      </c>
      <c r="Q200" s="13">
        <f t="shared" si="63"/>
        <v>0</v>
      </c>
      <c r="R200" s="13">
        <f t="shared" si="63"/>
        <v>0</v>
      </c>
      <c r="S200" s="13">
        <f>IF(S199&lt;0,1,0)</f>
        <v>0</v>
      </c>
      <c r="T200" s="13">
        <f>IF(T199&lt;0,1,0)</f>
        <v>0</v>
      </c>
      <c r="U200" s="13">
        <f>IF(U199&lt;0,1,0)</f>
        <v>0</v>
      </c>
    </row>
    <row r="201" spans="2:21">
      <c r="B201" t="s">
        <v>765</v>
      </c>
      <c r="I201" s="13">
        <f t="shared" ref="I201:R201" si="64">IF(AND(H200=1,I200=0),IF(MAX(I199,0),1),0)</f>
        <v>0</v>
      </c>
      <c r="J201" s="13">
        <f t="shared" si="64"/>
        <v>0</v>
      </c>
      <c r="K201" s="13">
        <f t="shared" si="64"/>
        <v>0</v>
      </c>
      <c r="L201" s="13">
        <f t="shared" si="64"/>
        <v>0</v>
      </c>
      <c r="M201" s="13">
        <f t="shared" si="64"/>
        <v>0</v>
      </c>
      <c r="N201" s="13">
        <f t="shared" si="64"/>
        <v>0</v>
      </c>
      <c r="O201" s="13">
        <f t="shared" si="64"/>
        <v>0</v>
      </c>
      <c r="P201" s="13">
        <f t="shared" si="64"/>
        <v>0</v>
      </c>
      <c r="Q201" s="13">
        <f t="shared" si="64"/>
        <v>1</v>
      </c>
      <c r="R201" s="13">
        <f t="shared" si="64"/>
        <v>0</v>
      </c>
      <c r="S201" s="13">
        <f>IF(AND(R200=1,S200=0),IF(MAX(S199,0),1),0)</f>
        <v>0</v>
      </c>
      <c r="T201" s="13">
        <f>IF(AND(S200=1,T200=0),IF(MAX(T199,0),1),0)</f>
        <v>0</v>
      </c>
      <c r="U201" s="13">
        <f>IF(AND(T200=1,U200=0),IF(MAX(U199,0),1),0)</f>
        <v>0</v>
      </c>
    </row>
    <row r="202" spans="2:21">
      <c r="B202" t="s">
        <v>766</v>
      </c>
      <c r="H202" s="22">
        <f>SUM(I202:U202)</f>
        <v>0.93180115781608497</v>
      </c>
      <c r="I202" s="22">
        <f t="shared" ref="I202:R202" si="65">IF(I201=1,-H199/I197,0)</f>
        <v>0</v>
      </c>
      <c r="J202" s="22">
        <f t="shared" si="65"/>
        <v>0</v>
      </c>
      <c r="K202" s="22">
        <f t="shared" si="65"/>
        <v>0</v>
      </c>
      <c r="L202" s="22">
        <f t="shared" si="65"/>
        <v>0</v>
      </c>
      <c r="M202" s="22">
        <f t="shared" si="65"/>
        <v>0</v>
      </c>
      <c r="N202" s="22">
        <f t="shared" si="65"/>
        <v>0</v>
      </c>
      <c r="O202" s="22">
        <f t="shared" si="65"/>
        <v>0</v>
      </c>
      <c r="P202" s="22">
        <f t="shared" si="65"/>
        <v>0</v>
      </c>
      <c r="Q202" s="22">
        <f t="shared" si="65"/>
        <v>0.93180115781608497</v>
      </c>
      <c r="R202" s="22">
        <f t="shared" si="65"/>
        <v>0</v>
      </c>
      <c r="S202" s="22">
        <f>IF(S201=1,-R199/S197,0)</f>
        <v>0</v>
      </c>
      <c r="T202" s="22">
        <f>IF(T201=1,-S199/T197,0)</f>
        <v>0</v>
      </c>
      <c r="U202" s="22">
        <f>IF(U201=1,-T199/U197,0)</f>
        <v>0</v>
      </c>
    </row>
    <row r="205" spans="2:21" ht="15.75">
      <c r="B205" s="15" t="s">
        <v>767</v>
      </c>
    </row>
    <row r="206" spans="2:21">
      <c r="B206" s="44" t="s">
        <v>54</v>
      </c>
      <c r="F206" s="21"/>
      <c r="H206" s="476">
        <f>IRR(I197:U197)</f>
        <v>0.11836248216578604</v>
      </c>
    </row>
    <row r="207" spans="2:21">
      <c r="B207" s="44" t="s">
        <v>768</v>
      </c>
      <c r="F207" s="22"/>
      <c r="H207" s="46">
        <f>SUM(H200,H202)</f>
        <v>6.9318011578160847</v>
      </c>
    </row>
    <row r="209" spans="2:21" ht="15.75">
      <c r="B209" s="15" t="s">
        <v>771</v>
      </c>
      <c r="F209" s="16">
        <f>Output_FSL!F37</f>
        <v>1</v>
      </c>
    </row>
    <row r="210" spans="2:21">
      <c r="B210" t="s">
        <v>300</v>
      </c>
    </row>
    <row r="211" spans="2:21">
      <c r="B211" s="407" t="s">
        <v>302</v>
      </c>
      <c r="I211" s="21"/>
    </row>
    <row r="212" spans="2:21">
      <c r="B212" s="407" t="s">
        <v>9</v>
      </c>
      <c r="I212" s="50">
        <f>'Output_Standalone (IDR)'!J323</f>
        <v>22.243500000000001</v>
      </c>
      <c r="J212" s="50">
        <f>'Output_Standalone (IDR)'!K323</f>
        <v>22.910805</v>
      </c>
      <c r="K212" s="50">
        <f>'Output_Standalone (IDR)'!L323</f>
        <v>34.967927062500003</v>
      </c>
      <c r="L212" s="50">
        <f>'Output_Standalone (IDR)'!M323</f>
        <v>44.806464874375003</v>
      </c>
      <c r="M212" s="50">
        <f>'Output_Standalone (IDR)'!N323</f>
        <v>49.526879285224446</v>
      </c>
      <c r="N212" s="50">
        <f>'Output_Standalone (IDR)'!O323</f>
        <v>54.52458210056961</v>
      </c>
      <c r="O212" s="50">
        <f>'Output_Standalone (IDR)'!P323</f>
        <v>59.814056563626792</v>
      </c>
      <c r="P212" s="50">
        <f>'Output_Standalone (IDR)'!Q323</f>
        <v>65.410532896236944</v>
      </c>
      <c r="Q212" s="50">
        <f>'Output_Standalone (IDR)'!R323</f>
        <v>71.330027850069158</v>
      </c>
      <c r="R212" s="50">
        <f>'Output_Standalone (IDR)'!S323</f>
        <v>77.589386431650709</v>
      </c>
      <c r="S212" s="50">
        <f>'Output_Standalone (IDR)'!T323</f>
        <v>84.206325924864828</v>
      </c>
      <c r="T212" s="50">
        <f>'Output_Standalone (IDR)'!U323</f>
        <v>57.796655450704442</v>
      </c>
      <c r="U212" s="50">
        <f>'Output_Standalone (IDR)'!V323</f>
        <v>61.316471767652352</v>
      </c>
    </row>
    <row r="213" spans="2:21">
      <c r="B213" s="407" t="s">
        <v>303</v>
      </c>
      <c r="F213" s="19">
        <v>45</v>
      </c>
      <c r="I213" s="19">
        <v>45</v>
      </c>
      <c r="J213" s="19">
        <v>45</v>
      </c>
      <c r="K213" s="19">
        <v>45</v>
      </c>
      <c r="L213" s="19">
        <v>45</v>
      </c>
      <c r="M213" s="19">
        <v>45</v>
      </c>
      <c r="N213" s="19">
        <v>45</v>
      </c>
      <c r="O213" s="19">
        <v>45</v>
      </c>
      <c r="P213" s="19">
        <v>45</v>
      </c>
      <c r="Q213" s="19">
        <v>45</v>
      </c>
      <c r="R213" s="19">
        <v>45</v>
      </c>
      <c r="S213" s="19">
        <v>45</v>
      </c>
      <c r="T213" s="19">
        <v>45</v>
      </c>
      <c r="U213" s="19">
        <v>45</v>
      </c>
    </row>
    <row r="214" spans="2:21">
      <c r="B214" s="28" t="s">
        <v>304</v>
      </c>
      <c r="C214" s="28"/>
      <c r="D214" s="28"/>
      <c r="E214" s="28"/>
      <c r="F214" s="28"/>
      <c r="G214" s="28"/>
      <c r="H214" s="28"/>
      <c r="I214" s="47">
        <f t="shared" ref="I214:R214" si="66">I212*I213/I$3</f>
        <v>2.7348565573770496</v>
      </c>
      <c r="J214" s="47">
        <f t="shared" si="66"/>
        <v>2.8246197945205482</v>
      </c>
      <c r="K214" s="47">
        <f t="shared" si="66"/>
        <v>4.3111142953767132</v>
      </c>
      <c r="L214" s="47">
        <f t="shared" si="66"/>
        <v>5.524084710539384</v>
      </c>
      <c r="M214" s="47">
        <f t="shared" si="66"/>
        <v>6.0893704039210386</v>
      </c>
      <c r="N214" s="47">
        <f t="shared" si="66"/>
        <v>6.7222087521250202</v>
      </c>
      <c r="O214" s="47">
        <f t="shared" si="66"/>
        <v>7.3743357407211114</v>
      </c>
      <c r="P214" s="47">
        <f t="shared" si="66"/>
        <v>8.0643122748785281</v>
      </c>
      <c r="Q214" s="47">
        <f t="shared" si="66"/>
        <v>8.7700853914019454</v>
      </c>
      <c r="R214" s="47">
        <f t="shared" si="66"/>
        <v>9.5658147655459782</v>
      </c>
      <c r="S214" s="47">
        <f>S212*S213/S$3</f>
        <v>10.381601826353197</v>
      </c>
      <c r="T214" s="47">
        <f>T212*T213/T$3</f>
        <v>7.1256150555663016</v>
      </c>
      <c r="U214" s="47">
        <f>U212*U213/U$3</f>
        <v>7.5389104632359452</v>
      </c>
    </row>
    <row r="215" spans="2:21">
      <c r="I215" s="21"/>
    </row>
    <row r="216" spans="2:21">
      <c r="B216" s="407" t="s">
        <v>306</v>
      </c>
      <c r="I216" s="21"/>
    </row>
    <row r="217" spans="2:21">
      <c r="B217" s="407" t="s">
        <v>307</v>
      </c>
      <c r="I217" s="33">
        <f>-'Output_Standalone (IDR)'!J324</f>
        <v>8.0261410826860775</v>
      </c>
      <c r="J217" s="33">
        <f>-'Output_Standalone (IDR)'!K324</f>
        <v>8.3557264915943001</v>
      </c>
      <c r="K217" s="33">
        <f>-'Output_Standalone (IDR)'!L324</f>
        <v>9.4119430636882591</v>
      </c>
      <c r="L217" s="33">
        <f>-'Output_Standalone (IDR)'!M324</f>
        <v>10.561176925417943</v>
      </c>
      <c r="M217" s="33">
        <f>-'Output_Standalone (IDR)'!N324</f>
        <v>11.206909748880113</v>
      </c>
      <c r="N217" s="33">
        <f>-'Output_Standalone (IDR)'!O324</f>
        <v>11.88586605478376</v>
      </c>
      <c r="O217" s="33">
        <f>-'Output_Standalone (IDR)'!P324</f>
        <v>12.599669717917289</v>
      </c>
      <c r="P217" s="33">
        <f>-'Output_Standalone (IDR)'!Q324</f>
        <v>13.350024865096492</v>
      </c>
      <c r="Q217" s="33">
        <f>-'Output_Standalone (IDR)'!R324</f>
        <v>14.138720000852699</v>
      </c>
      <c r="R217" s="33">
        <f>-'Output_Standalone (IDR)'!S324</f>
        <v>14.967632355585613</v>
      </c>
      <c r="S217" s="33">
        <f>-'Output_Standalone (IDR)'!T324</f>
        <v>15.838732468706866</v>
      </c>
      <c r="T217" s="33">
        <f>-'Output_Standalone (IDR)'!U324</f>
        <v>13.668153307503623</v>
      </c>
      <c r="U217" s="33">
        <f>-'Output_Standalone (IDR)'!V324</f>
        <v>14.271116133757836</v>
      </c>
    </row>
    <row r="218" spans="2:21">
      <c r="B218" s="407" t="s">
        <v>308</v>
      </c>
      <c r="F218" s="19">
        <v>40</v>
      </c>
    </row>
    <row r="219" spans="2:21">
      <c r="B219" s="28" t="s">
        <v>204</v>
      </c>
      <c r="C219" s="28"/>
      <c r="D219" s="28"/>
      <c r="E219" s="28"/>
      <c r="F219" s="28"/>
      <c r="G219" s="28"/>
      <c r="H219" s="28"/>
      <c r="I219" s="47">
        <f t="shared" ref="I219:R219" si="67">I217*$F218/I$3</f>
        <v>0.87717388881815062</v>
      </c>
      <c r="J219" s="47">
        <f t="shared" si="67"/>
        <v>0.91569605387334785</v>
      </c>
      <c r="K219" s="47">
        <f t="shared" si="67"/>
        <v>1.0314458151987131</v>
      </c>
      <c r="L219" s="47">
        <f t="shared" si="67"/>
        <v>1.1573892521005964</v>
      </c>
      <c r="M219" s="47">
        <f t="shared" si="67"/>
        <v>1.2247988796590288</v>
      </c>
      <c r="N219" s="47">
        <f t="shared" si="67"/>
        <v>1.3025606635379463</v>
      </c>
      <c r="O219" s="47">
        <f t="shared" si="67"/>
        <v>1.3807857225114837</v>
      </c>
      <c r="P219" s="47">
        <f t="shared" si="67"/>
        <v>1.4630164235722183</v>
      </c>
      <c r="Q219" s="47">
        <f t="shared" si="67"/>
        <v>1.545215300639639</v>
      </c>
      <c r="R219" s="47">
        <f t="shared" si="67"/>
        <v>1.6402884773244508</v>
      </c>
      <c r="S219" s="47">
        <f>S217*$F218/S$3</f>
        <v>1.7357515034199305</v>
      </c>
      <c r="T219" s="47">
        <f>T217*$F218/T$3</f>
        <v>1.4978798145209449</v>
      </c>
      <c r="U219" s="47">
        <f>U217*$F218/U$3</f>
        <v>1.5596848233615119</v>
      </c>
    </row>
    <row r="220" spans="2:21">
      <c r="I220" s="21"/>
    </row>
    <row r="221" spans="2:21">
      <c r="B221" s="407" t="s">
        <v>309</v>
      </c>
      <c r="I221" s="21"/>
    </row>
    <row r="222" spans="2:21">
      <c r="B222" s="407" t="s">
        <v>307</v>
      </c>
      <c r="I222" s="50">
        <f>I217</f>
        <v>8.0261410826860775</v>
      </c>
      <c r="J222" s="50">
        <f t="shared" ref="J222:R222" si="68">J217</f>
        <v>8.3557264915943001</v>
      </c>
      <c r="K222" s="50">
        <f t="shared" si="68"/>
        <v>9.4119430636882591</v>
      </c>
      <c r="L222" s="50">
        <f t="shared" si="68"/>
        <v>10.561176925417943</v>
      </c>
      <c r="M222" s="50">
        <f t="shared" si="68"/>
        <v>11.206909748880113</v>
      </c>
      <c r="N222" s="50">
        <f t="shared" si="68"/>
        <v>11.88586605478376</v>
      </c>
      <c r="O222" s="50">
        <f t="shared" si="68"/>
        <v>12.599669717917289</v>
      </c>
      <c r="P222" s="50">
        <f t="shared" si="68"/>
        <v>13.350024865096492</v>
      </c>
      <c r="Q222" s="50">
        <f t="shared" si="68"/>
        <v>14.138720000852699</v>
      </c>
      <c r="R222" s="50">
        <f t="shared" si="68"/>
        <v>14.967632355585613</v>
      </c>
      <c r="S222" s="50">
        <f>S217</f>
        <v>15.838732468706866</v>
      </c>
      <c r="T222" s="50">
        <f>T217</f>
        <v>13.668153307503623</v>
      </c>
      <c r="U222" s="50">
        <f>U217</f>
        <v>14.271116133757836</v>
      </c>
    </row>
    <row r="223" spans="2:21">
      <c r="B223" s="407" t="s">
        <v>310</v>
      </c>
      <c r="F223" s="19">
        <v>30</v>
      </c>
      <c r="I223" s="19">
        <v>30</v>
      </c>
      <c r="J223" s="19">
        <v>30</v>
      </c>
      <c r="K223" s="19">
        <v>30</v>
      </c>
      <c r="L223" s="19">
        <v>30</v>
      </c>
      <c r="M223" s="19">
        <v>30</v>
      </c>
      <c r="N223" s="19">
        <v>30</v>
      </c>
      <c r="O223" s="19">
        <v>30</v>
      </c>
      <c r="P223" s="19">
        <v>30</v>
      </c>
      <c r="Q223" s="19">
        <v>30</v>
      </c>
      <c r="R223" s="19">
        <v>30</v>
      </c>
      <c r="S223" s="19">
        <v>30</v>
      </c>
      <c r="T223" s="19">
        <v>30</v>
      </c>
      <c r="U223" s="19">
        <v>30</v>
      </c>
    </row>
    <row r="224" spans="2:21">
      <c r="B224" s="28" t="s">
        <v>240</v>
      </c>
      <c r="C224" s="28"/>
      <c r="D224" s="28"/>
      <c r="E224" s="28"/>
      <c r="F224" s="28"/>
      <c r="G224" s="28"/>
      <c r="H224" s="28"/>
      <c r="I224" s="47">
        <f t="shared" ref="I224:R224" si="69">I222*I223/I$3</f>
        <v>0.65788041661361285</v>
      </c>
      <c r="J224" s="47">
        <f t="shared" si="69"/>
        <v>0.68677204040501094</v>
      </c>
      <c r="K224" s="47">
        <f t="shared" si="69"/>
        <v>0.77358436139903497</v>
      </c>
      <c r="L224" s="47">
        <f t="shared" si="69"/>
        <v>0.86804193907544724</v>
      </c>
      <c r="M224" s="47">
        <f t="shared" si="69"/>
        <v>0.91859915974427153</v>
      </c>
      <c r="N224" s="47">
        <f t="shared" si="69"/>
        <v>0.97692049765345979</v>
      </c>
      <c r="O224" s="47">
        <f t="shared" si="69"/>
        <v>1.0355892918836127</v>
      </c>
      <c r="P224" s="47">
        <f t="shared" si="69"/>
        <v>1.0972623176791638</v>
      </c>
      <c r="Q224" s="47">
        <f t="shared" si="69"/>
        <v>1.1589114754797294</v>
      </c>
      <c r="R224" s="47">
        <f t="shared" si="69"/>
        <v>1.2302163579933381</v>
      </c>
      <c r="S224" s="47">
        <f>S222*S223/S$3</f>
        <v>1.3018136275649479</v>
      </c>
      <c r="T224" s="47">
        <f>T222*T223/T$3</f>
        <v>1.1234098608907088</v>
      </c>
      <c r="U224" s="47">
        <f>U222*U223/U$3</f>
        <v>1.1697636175211341</v>
      </c>
    </row>
    <row r="226" spans="2:21">
      <c r="B226" t="s">
        <v>300</v>
      </c>
      <c r="I226" s="23">
        <f>SUM(I214,I219,-I224)</f>
        <v>2.9541500295815872</v>
      </c>
      <c r="J226" s="23">
        <f t="shared" ref="J226:R226" si="70">SUM(J214,J219,-J224)</f>
        <v>3.0535438079888855</v>
      </c>
      <c r="K226" s="23">
        <f t="shared" si="70"/>
        <v>4.568975749176392</v>
      </c>
      <c r="L226" s="23">
        <f t="shared" si="70"/>
        <v>5.8134320235645331</v>
      </c>
      <c r="M226" s="23">
        <f t="shared" si="70"/>
        <v>6.395570123835796</v>
      </c>
      <c r="N226" s="23">
        <f t="shared" si="70"/>
        <v>7.0478489180095067</v>
      </c>
      <c r="O226" s="23">
        <f t="shared" si="70"/>
        <v>7.7195321713489822</v>
      </c>
      <c r="P226" s="23">
        <f t="shared" si="70"/>
        <v>8.4300663807715832</v>
      </c>
      <c r="Q226" s="23">
        <f t="shared" si="70"/>
        <v>9.1563892165618537</v>
      </c>
      <c r="R226" s="23">
        <f t="shared" si="70"/>
        <v>9.9758868848770899</v>
      </c>
      <c r="S226" s="23">
        <f>SUM(S214,S219,-S224)</f>
        <v>10.815539702208179</v>
      </c>
      <c r="T226" s="23">
        <f>SUM(T214,T219,-T224)</f>
        <v>7.5000850091965372</v>
      </c>
      <c r="U226" s="23">
        <f>SUM(U214,U219,-U224)</f>
        <v>7.9288316690763221</v>
      </c>
    </row>
    <row r="227" spans="2:21">
      <c r="B227" t="s">
        <v>311</v>
      </c>
      <c r="I227" s="23">
        <f t="shared" ref="I227:R227" si="71">H226-I226</f>
        <v>-2.9541500295815872</v>
      </c>
      <c r="J227" s="23">
        <f t="shared" si="71"/>
        <v>-9.9393778407298239E-2</v>
      </c>
      <c r="K227" s="23">
        <f t="shared" si="71"/>
        <v>-1.5154319411875066</v>
      </c>
      <c r="L227" s="23">
        <f t="shared" si="71"/>
        <v>-1.2444562743881411</v>
      </c>
      <c r="M227" s="23">
        <f t="shared" si="71"/>
        <v>-0.58213810027126289</v>
      </c>
      <c r="N227" s="23">
        <f t="shared" si="71"/>
        <v>-0.65227879417371071</v>
      </c>
      <c r="O227" s="23">
        <f t="shared" si="71"/>
        <v>-0.67168325333947543</v>
      </c>
      <c r="P227" s="23">
        <f t="shared" si="71"/>
        <v>-0.71053420942260104</v>
      </c>
      <c r="Q227" s="23">
        <f t="shared" si="71"/>
        <v>-0.72632283579027046</v>
      </c>
      <c r="R227" s="23">
        <f t="shared" si="71"/>
        <v>-0.81949766831523618</v>
      </c>
      <c r="S227" s="23">
        <f>R226-S226</f>
        <v>-0.8396528173310891</v>
      </c>
      <c r="T227" s="23">
        <f>S226-T226</f>
        <v>3.3154546930116418</v>
      </c>
      <c r="U227" s="23">
        <f>T226-U226</f>
        <v>-0.42874665987978489</v>
      </c>
    </row>
    <row r="229" spans="2:21" ht="15.75">
      <c r="B229" s="15" t="s">
        <v>758</v>
      </c>
    </row>
    <row r="230" spans="2:21">
      <c r="B230" s="407" t="s">
        <v>434</v>
      </c>
      <c r="I230" s="462"/>
      <c r="J230" s="462">
        <f>'Output_Standalone (IDR)'!K331</f>
        <v>6.1621072490048263</v>
      </c>
      <c r="K230">
        <f>'Output_Standalone (IDR)'!L331</f>
        <v>6.5739014965416764</v>
      </c>
      <c r="L230">
        <f>'Output_Standalone (IDR)'!M331</f>
        <v>17.78781460690707</v>
      </c>
      <c r="M230">
        <f>'Output_Standalone (IDR)'!N331</f>
        <v>21.767436888584847</v>
      </c>
      <c r="N230">
        <f>'Output_Standalone (IDR)'!O331</f>
        <v>25.988363681565012</v>
      </c>
      <c r="O230">
        <f>'Output_Standalone (IDR)'!P331</f>
        <v>30.463372944614783</v>
      </c>
      <c r="P230">
        <f>'Output_Standalone (IDR)'!Q331</f>
        <v>35.205906933997326</v>
      </c>
      <c r="Q230">
        <f>'Output_Standalone (IDR)'!R331</f>
        <v>40.230107555857579</v>
      </c>
      <c r="R230">
        <f>'Output_Standalone (IDR)'!S331</f>
        <v>45.550853667752691</v>
      </c>
      <c r="S230">
        <f>'Output_Standalone (IDR)'!T331</f>
        <v>51.183800440374604</v>
      </c>
      <c r="T230">
        <f>'Output_Standalone (IDR)'!U331</f>
        <v>26.828529718454092</v>
      </c>
      <c r="U230">
        <f>'Output_Standalone (IDR)'!V331</f>
        <v>29.625819872109119</v>
      </c>
    </row>
    <row r="231" spans="2:21">
      <c r="B231" s="407" t="s">
        <v>759</v>
      </c>
      <c r="J231">
        <f>-IF(J230&lt;0,0,J230*22%)</f>
        <v>-1.3556635947810618</v>
      </c>
      <c r="K231">
        <f t="shared" ref="K231:R231" si="72">-IF(K230&lt;0,0,K230*22%)</f>
        <v>-1.4462583292391689</v>
      </c>
      <c r="L231">
        <f t="shared" si="72"/>
        <v>-3.9133192135195554</v>
      </c>
      <c r="M231">
        <f t="shared" si="72"/>
        <v>-4.7888361154886665</v>
      </c>
      <c r="N231">
        <f t="shared" si="72"/>
        <v>-5.717440009944303</v>
      </c>
      <c r="O231">
        <f t="shared" si="72"/>
        <v>-6.701942047815252</v>
      </c>
      <c r="P231">
        <f t="shared" si="72"/>
        <v>-7.7452995254794121</v>
      </c>
      <c r="Q231">
        <f t="shared" si="72"/>
        <v>-8.8506236622886671</v>
      </c>
      <c r="R231">
        <f t="shared" si="72"/>
        <v>-10.021187806905592</v>
      </c>
      <c r="S231">
        <f>-IF(S230&lt;0,0,S230*22%)</f>
        <v>-11.260436096882414</v>
      </c>
      <c r="T231">
        <f>-IF(T230&lt;0,0,T230*22%)</f>
        <v>-5.9022765380599003</v>
      </c>
      <c r="U231">
        <f>-IF(U230&lt;0,0,U230*22%)</f>
        <v>-6.5176803718640066</v>
      </c>
    </row>
    <row r="232" spans="2:21">
      <c r="B232" s="437" t="s">
        <v>760</v>
      </c>
      <c r="J232">
        <f>-'Output_Standalone (IDR)'!K330</f>
        <v>5.2339742134300007</v>
      </c>
      <c r="K232">
        <f>-'Output_Standalone (IDR)'!L330</f>
        <v>15.733312106714997</v>
      </c>
      <c r="L232">
        <f>-'Output_Standalone (IDR)'!M330</f>
        <v>13.116324999999998</v>
      </c>
      <c r="M232">
        <f>-'Output_Standalone (IDR)'!N330</f>
        <v>13.116324999999998</v>
      </c>
      <c r="N232">
        <f>-'Output_Standalone (IDR)'!O330</f>
        <v>13.116324999999998</v>
      </c>
      <c r="O232">
        <f>-'Output_Standalone (IDR)'!P330</f>
        <v>13.116324999999998</v>
      </c>
      <c r="P232">
        <f>-'Output_Standalone (IDR)'!Q330</f>
        <v>13.116324999999998</v>
      </c>
      <c r="Q232">
        <f>-'Output_Standalone (IDR)'!R330</f>
        <v>13.116324999999998</v>
      </c>
      <c r="R232">
        <f>-'Output_Standalone (IDR)'!S330</f>
        <v>13.116324999999998</v>
      </c>
      <c r="S232">
        <f>-'Output_Standalone (IDR)'!T330</f>
        <v>13.116324999999998</v>
      </c>
      <c r="T232">
        <f>-'Output_Standalone (IDR)'!U330</f>
        <v>13.116324999999998</v>
      </c>
      <c r="U232">
        <f>-'Output_Standalone (IDR)'!V330</f>
        <v>13.116324999999998</v>
      </c>
    </row>
    <row r="233" spans="2:21">
      <c r="B233" s="407" t="s">
        <v>219</v>
      </c>
      <c r="J233">
        <f>-Calculation_FSL!K1480*USD_IDR/Thousands</f>
        <v>0</v>
      </c>
      <c r="K233">
        <f>-Calculation_FSL!L1480*USD_IDR/Thousands</f>
        <v>-114.255</v>
      </c>
      <c r="L233" s="462">
        <f>-Calculation_FSL!M1480*USD_IDR/Thousands</f>
        <v>-113.855</v>
      </c>
      <c r="M233">
        <f>-Calculation_FSL!N1480*USD_IDR/Thousands</f>
        <v>0</v>
      </c>
      <c r="N233">
        <f>-Calculation_FSL!O1480*USD_IDR/Thousands</f>
        <v>0</v>
      </c>
      <c r="O233">
        <f>-Calculation_FSL!P1480*USD_IDR/Thousands</f>
        <v>0</v>
      </c>
      <c r="P233">
        <f>-Calculation_FSL!Q1480*USD_IDR/Thousands</f>
        <v>0</v>
      </c>
      <c r="Q233">
        <f>-Calculation_FSL!R1480*USD_IDR/Thousands</f>
        <v>0</v>
      </c>
      <c r="R233">
        <f>-Calculation_FSL!S1480*USD_IDR/Thousands</f>
        <v>0</v>
      </c>
      <c r="S233">
        <f>-Calculation_FSL!T1480*USD_IDR/Thousands</f>
        <v>0</v>
      </c>
      <c r="T233">
        <f>-Calculation_FSL!U1480*USD_IDR/Thousands</f>
        <v>0</v>
      </c>
      <c r="U233">
        <f>-Calculation_FSL!V1480*USD_IDR/Thousands</f>
        <v>0</v>
      </c>
    </row>
    <row r="234" spans="2:21">
      <c r="B234" s="407" t="s">
        <v>311</v>
      </c>
      <c r="J234">
        <f t="shared" ref="J234:R234" si="73">J227</f>
        <v>-9.9393778407298239E-2</v>
      </c>
      <c r="K234">
        <f t="shared" si="73"/>
        <v>-1.5154319411875066</v>
      </c>
      <c r="L234">
        <f t="shared" si="73"/>
        <v>-1.2444562743881411</v>
      </c>
      <c r="M234">
        <f t="shared" si="73"/>
        <v>-0.58213810027126289</v>
      </c>
      <c r="N234">
        <f t="shared" si="73"/>
        <v>-0.65227879417371071</v>
      </c>
      <c r="O234">
        <f t="shared" si="73"/>
        <v>-0.67168325333947543</v>
      </c>
      <c r="P234">
        <f t="shared" si="73"/>
        <v>-0.71053420942260104</v>
      </c>
      <c r="Q234">
        <f t="shared" si="73"/>
        <v>-0.72632283579027046</v>
      </c>
      <c r="R234">
        <f t="shared" si="73"/>
        <v>-0.81949766831523618</v>
      </c>
      <c r="S234">
        <f>S227</f>
        <v>-0.8396528173310891</v>
      </c>
      <c r="T234">
        <f>T227</f>
        <v>3.3154546930116418</v>
      </c>
      <c r="U234">
        <f>U227</f>
        <v>-0.42874665987978489</v>
      </c>
    </row>
    <row r="235" spans="2:21">
      <c r="B235" s="28" t="s">
        <v>761</v>
      </c>
      <c r="C235" s="28"/>
      <c r="D235" s="28"/>
      <c r="E235" s="28"/>
      <c r="F235" s="28"/>
      <c r="G235" s="28"/>
      <c r="H235" s="28"/>
      <c r="I235" s="47">
        <f>SUM(I230:I234)</f>
        <v>0</v>
      </c>
      <c r="J235" s="47">
        <f t="shared" ref="J235:R235" si="74">SUM(J230:J234)</f>
        <v>9.9410240892464667</v>
      </c>
      <c r="K235" s="47">
        <f t="shared" si="74"/>
        <v>-94.909476667169997</v>
      </c>
      <c r="L235" s="47">
        <f t="shared" si="74"/>
        <v>-88.108635881000637</v>
      </c>
      <c r="M235" s="47">
        <f t="shared" si="74"/>
        <v>29.512787672824917</v>
      </c>
      <c r="N235" s="47">
        <f t="shared" si="74"/>
        <v>32.734969877446993</v>
      </c>
      <c r="O235" s="47">
        <f t="shared" si="74"/>
        <v>36.206072643460054</v>
      </c>
      <c r="P235" s="47">
        <f t="shared" si="74"/>
        <v>39.866398199095315</v>
      </c>
      <c r="Q235" s="47">
        <f t="shared" si="74"/>
        <v>43.769486057778636</v>
      </c>
      <c r="R235" s="47">
        <f t="shared" si="74"/>
        <v>47.826493192531856</v>
      </c>
      <c r="S235" s="47">
        <f>SUM(S230:S234)</f>
        <v>52.200036526161099</v>
      </c>
      <c r="T235" s="47">
        <f>SUM(T230:T234)</f>
        <v>37.358032873405833</v>
      </c>
      <c r="U235" s="47">
        <f>SUM(U230:U234)</f>
        <v>35.795717840365327</v>
      </c>
    </row>
    <row r="237" spans="2:21">
      <c r="B237" t="s">
        <v>52</v>
      </c>
      <c r="F237" s="19"/>
    </row>
    <row r="238" spans="2:21">
      <c r="B238" s="28" t="s">
        <v>762</v>
      </c>
      <c r="C238" s="28"/>
      <c r="D238" s="28"/>
      <c r="E238" s="28"/>
      <c r="F238" s="28"/>
      <c r="G238" s="28"/>
      <c r="H238" s="28"/>
      <c r="I238" s="47">
        <f t="shared" ref="I238:R238" si="75">SUM(I235,J237)</f>
        <v>0</v>
      </c>
      <c r="J238" s="47">
        <f t="shared" si="75"/>
        <v>9.9410240892464667</v>
      </c>
      <c r="K238" s="47">
        <f t="shared" si="75"/>
        <v>-94.909476667169997</v>
      </c>
      <c r="L238" s="47">
        <f t="shared" si="75"/>
        <v>-88.108635881000637</v>
      </c>
      <c r="M238" s="47">
        <f t="shared" si="75"/>
        <v>29.512787672824917</v>
      </c>
      <c r="N238" s="47">
        <f t="shared" si="75"/>
        <v>32.734969877446993</v>
      </c>
      <c r="O238" s="47">
        <f t="shared" si="75"/>
        <v>36.206072643460054</v>
      </c>
      <c r="P238" s="47">
        <f t="shared" si="75"/>
        <v>39.866398199095315</v>
      </c>
      <c r="Q238" s="47">
        <f t="shared" si="75"/>
        <v>43.769486057778636</v>
      </c>
      <c r="R238" s="47">
        <f t="shared" si="75"/>
        <v>47.826493192531856</v>
      </c>
      <c r="S238" s="47">
        <f>SUM(S235,T237)</f>
        <v>52.200036526161099</v>
      </c>
      <c r="T238" s="47">
        <f>SUM(T235,U237)</f>
        <v>37.358032873405833</v>
      </c>
      <c r="U238" s="47">
        <f>SUM(U235,V237)</f>
        <v>35.795717840365327</v>
      </c>
    </row>
    <row r="240" spans="2:21">
      <c r="B240" t="s">
        <v>763</v>
      </c>
      <c r="I240">
        <f>SUM($I$235:I235)</f>
        <v>0</v>
      </c>
      <c r="J240">
        <f>SUM($I$235:J235)</f>
        <v>9.9410240892464667</v>
      </c>
      <c r="K240">
        <f>SUM($I$235:K235)</f>
        <v>-84.968452577923529</v>
      </c>
      <c r="L240">
        <f>SUM($I$235:L235)</f>
        <v>-173.07708845892415</v>
      </c>
      <c r="M240">
        <f>SUM($I$235:M235)</f>
        <v>-143.56430078609924</v>
      </c>
      <c r="N240">
        <f>SUM($I$235:N235)</f>
        <v>-110.82933090865225</v>
      </c>
      <c r="O240">
        <f>SUM($I$235:O235)</f>
        <v>-74.623258265192192</v>
      </c>
      <c r="P240">
        <f>SUM($I$235:P235)</f>
        <v>-34.756860066096877</v>
      </c>
      <c r="Q240">
        <f>SUM($I$235:Q235)</f>
        <v>9.0126259916817588</v>
      </c>
      <c r="R240">
        <f>SUM($I$235:R235)</f>
        <v>56.839119184213615</v>
      </c>
      <c r="S240">
        <f>SUM($I$235:S235)</f>
        <v>109.03915571037471</v>
      </c>
      <c r="T240">
        <f>SUM($I$235:T235)</f>
        <v>146.39718858378055</v>
      </c>
      <c r="U240">
        <f>SUM($I$235:U235)</f>
        <v>182.19290642414586</v>
      </c>
    </row>
    <row r="241" spans="2:21">
      <c r="B241" t="s">
        <v>764</v>
      </c>
      <c r="H241">
        <f>SUM(I241:U241)</f>
        <v>6</v>
      </c>
      <c r="I241" s="13">
        <f>IF(I240&lt;0,1,0)</f>
        <v>0</v>
      </c>
      <c r="J241" s="13">
        <f t="shared" ref="J241:R241" si="76">IF(J240&lt;0,1,0)</f>
        <v>0</v>
      </c>
      <c r="K241" s="13">
        <f t="shared" si="76"/>
        <v>1</v>
      </c>
      <c r="L241" s="13">
        <f t="shared" si="76"/>
        <v>1</v>
      </c>
      <c r="M241" s="13">
        <f t="shared" si="76"/>
        <v>1</v>
      </c>
      <c r="N241" s="13">
        <f t="shared" si="76"/>
        <v>1</v>
      </c>
      <c r="O241" s="13">
        <f t="shared" si="76"/>
        <v>1</v>
      </c>
      <c r="P241" s="13">
        <f t="shared" si="76"/>
        <v>1</v>
      </c>
      <c r="Q241" s="13">
        <f t="shared" si="76"/>
        <v>0</v>
      </c>
      <c r="R241" s="13">
        <f t="shared" si="76"/>
        <v>0</v>
      </c>
      <c r="S241" s="13">
        <f>IF(S240&lt;0,1,0)</f>
        <v>0</v>
      </c>
      <c r="T241" s="13">
        <f>IF(T240&lt;0,1,0)</f>
        <v>0</v>
      </c>
      <c r="U241" s="13">
        <f>IF(U240&lt;0,1,0)</f>
        <v>0</v>
      </c>
    </row>
    <row r="242" spans="2:21">
      <c r="B242" t="s">
        <v>765</v>
      </c>
      <c r="I242" s="13">
        <f t="shared" ref="I242:R242" si="77">IF(AND(H241=1,I241=0),IF(MAX(I240,0),1),0)</f>
        <v>0</v>
      </c>
      <c r="J242" s="13">
        <f t="shared" si="77"/>
        <v>0</v>
      </c>
      <c r="K242" s="13">
        <f t="shared" si="77"/>
        <v>0</v>
      </c>
      <c r="L242" s="13">
        <f t="shared" si="77"/>
        <v>0</v>
      </c>
      <c r="M242" s="13">
        <f t="shared" si="77"/>
        <v>0</v>
      </c>
      <c r="N242" s="13">
        <f t="shared" si="77"/>
        <v>0</v>
      </c>
      <c r="O242" s="13">
        <f t="shared" si="77"/>
        <v>0</v>
      </c>
      <c r="P242" s="13">
        <f t="shared" si="77"/>
        <v>0</v>
      </c>
      <c r="Q242" s="13">
        <f t="shared" si="77"/>
        <v>1</v>
      </c>
      <c r="R242" s="13">
        <f t="shared" si="77"/>
        <v>0</v>
      </c>
      <c r="S242" s="13">
        <f>IF(AND(R241=1,S241=0),IF(MAX(S240,0),1),0)</f>
        <v>0</v>
      </c>
      <c r="T242" s="13">
        <f>IF(AND(S241=1,T241=0),IF(MAX(T240,0),1),0)</f>
        <v>0</v>
      </c>
      <c r="U242" s="13">
        <f>IF(AND(T241=1,U241=0),IF(MAX(U240,0),1),0)</f>
        <v>0</v>
      </c>
    </row>
    <row r="243" spans="2:21">
      <c r="B243" t="s">
        <v>766</v>
      </c>
      <c r="H243" s="22">
        <f>SUM(I243:U243)</f>
        <v>0.79408883211960746</v>
      </c>
      <c r="I243" s="22">
        <f t="shared" ref="I243:R243" si="78">IF(I242=1,-H240/I238,0)</f>
        <v>0</v>
      </c>
      <c r="J243" s="22">
        <f t="shared" si="78"/>
        <v>0</v>
      </c>
      <c r="K243" s="22">
        <f t="shared" si="78"/>
        <v>0</v>
      </c>
      <c r="L243" s="22">
        <f t="shared" si="78"/>
        <v>0</v>
      </c>
      <c r="M243" s="22">
        <f t="shared" si="78"/>
        <v>0</v>
      </c>
      <c r="N243" s="22">
        <f t="shared" si="78"/>
        <v>0</v>
      </c>
      <c r="O243" s="22">
        <f t="shared" si="78"/>
        <v>0</v>
      </c>
      <c r="P243" s="22">
        <f t="shared" si="78"/>
        <v>0</v>
      </c>
      <c r="Q243" s="22">
        <f t="shared" si="78"/>
        <v>0.79408883211960746</v>
      </c>
      <c r="R243" s="22">
        <f t="shared" si="78"/>
        <v>0</v>
      </c>
      <c r="S243" s="22">
        <f>IF(S242=1,-R240/S238,0)</f>
        <v>0</v>
      </c>
      <c r="T243" s="22">
        <f>IF(T242=1,-S240/T238,0)</f>
        <v>0</v>
      </c>
      <c r="U243" s="22">
        <f>IF(U242=1,-T240/U238,0)</f>
        <v>0</v>
      </c>
    </row>
    <row r="246" spans="2:21" ht="15.75">
      <c r="B246" s="15" t="s">
        <v>767</v>
      </c>
    </row>
    <row r="247" spans="2:21">
      <c r="B247" s="44" t="s">
        <v>54</v>
      </c>
      <c r="F247" s="21"/>
      <c r="H247" s="476">
        <f>IRR(J238:U238)</f>
        <v>0.14657863789355585</v>
      </c>
    </row>
    <row r="248" spans="2:21">
      <c r="B248" s="44" t="s">
        <v>768</v>
      </c>
      <c r="F248" s="22"/>
      <c r="H248" s="46">
        <f>SUM(H241,H243)</f>
        <v>6.7940888321196073</v>
      </c>
    </row>
    <row r="250" spans="2:21" ht="15.75">
      <c r="B250" s="15" t="s">
        <v>772</v>
      </c>
    </row>
    <row r="251" spans="2:21">
      <c r="B251" t="s">
        <v>300</v>
      </c>
    </row>
    <row r="252" spans="2:21">
      <c r="B252" s="407" t="s">
        <v>302</v>
      </c>
      <c r="I252" s="21"/>
    </row>
    <row r="253" spans="2:21">
      <c r="B253" s="407" t="s">
        <v>9</v>
      </c>
      <c r="I253" s="50">
        <f>'Output_Standalone (IDR)'!J277</f>
        <v>0</v>
      </c>
      <c r="J253" s="50">
        <f>'Output_Standalone (IDR)'!K277</f>
        <v>0</v>
      </c>
      <c r="K253" s="50">
        <f>'Output_Standalone (IDR)'!L277</f>
        <v>0</v>
      </c>
      <c r="L253" s="50">
        <f>'Output_Standalone (IDR)'!M277</f>
        <v>0</v>
      </c>
      <c r="M253" s="50">
        <f>'Output_Standalone (IDR)'!N277</f>
        <v>58.257839587834468</v>
      </c>
      <c r="N253" s="50">
        <f>'Output_Standalone (IDR)'!O277</f>
        <v>76.900348255941509</v>
      </c>
      <c r="O253" s="50">
        <f>'Output_Standalone (IDR)'!P277</f>
        <v>84.590383081535663</v>
      </c>
      <c r="P253" s="50">
        <f>'Output_Standalone (IDR)'!Q277</f>
        <v>102.35436352865814</v>
      </c>
      <c r="Q253" s="50">
        <f>'Output_Standalone (IDR)'!R277</f>
        <v>108.49562534037766</v>
      </c>
      <c r="R253" s="50">
        <f>'Output_Standalone (IDR)'!S277</f>
        <v>121.90568463244836</v>
      </c>
      <c r="S253" s="50">
        <f>'Output_Standalone (IDR)'!T277</f>
        <v>129.22002571039528</v>
      </c>
      <c r="T253" s="50">
        <f>'Output_Standalone (IDR)'!U277</f>
        <v>145.19162088820013</v>
      </c>
      <c r="U253" s="50">
        <f>'Output_Standalone (IDR)'!V277</f>
        <v>153.90311814149214</v>
      </c>
    </row>
    <row r="254" spans="2:21">
      <c r="B254" s="407" t="s">
        <v>303</v>
      </c>
      <c r="F254" s="19">
        <v>45</v>
      </c>
      <c r="I254" s="19">
        <v>45</v>
      </c>
      <c r="J254" s="19">
        <v>45</v>
      </c>
      <c r="K254" s="19">
        <v>45</v>
      </c>
      <c r="L254" s="19">
        <v>45</v>
      </c>
      <c r="M254" s="19">
        <v>45</v>
      </c>
      <c r="N254" s="19">
        <v>45</v>
      </c>
      <c r="O254" s="19">
        <v>45</v>
      </c>
      <c r="P254" s="19">
        <v>45</v>
      </c>
      <c r="Q254" s="19">
        <v>45</v>
      </c>
      <c r="R254" s="19">
        <v>45</v>
      </c>
      <c r="S254" s="19">
        <v>45</v>
      </c>
      <c r="T254" s="19">
        <v>45</v>
      </c>
      <c r="U254" s="19">
        <v>45</v>
      </c>
    </row>
    <row r="255" spans="2:21">
      <c r="B255" s="28" t="s">
        <v>304</v>
      </c>
      <c r="C255" s="28"/>
      <c r="D255" s="28"/>
      <c r="E255" s="28"/>
      <c r="F255" s="28"/>
      <c r="G255" s="28"/>
      <c r="H255" s="28"/>
      <c r="I255" s="47">
        <f t="shared" ref="I255:R255" si="79">I253*I254/I$3</f>
        <v>0</v>
      </c>
      <c r="J255" s="47">
        <f t="shared" si="79"/>
        <v>0</v>
      </c>
      <c r="K255" s="47">
        <f t="shared" si="79"/>
        <v>0</v>
      </c>
      <c r="L255" s="47">
        <f t="shared" si="79"/>
        <v>0</v>
      </c>
      <c r="M255" s="47">
        <f t="shared" si="79"/>
        <v>7.1628491296517787</v>
      </c>
      <c r="N255" s="47">
        <f t="shared" si="79"/>
        <v>9.4808648534722408</v>
      </c>
      <c r="O255" s="47">
        <f t="shared" si="79"/>
        <v>10.428951338819465</v>
      </c>
      <c r="P255" s="47">
        <f t="shared" si="79"/>
        <v>12.619031119971551</v>
      </c>
      <c r="Q255" s="47">
        <f t="shared" si="79"/>
        <v>13.339626066439875</v>
      </c>
      <c r="R255" s="47">
        <f t="shared" si="79"/>
        <v>15.029467968384044</v>
      </c>
      <c r="S255" s="47">
        <f>S253*S254/S$3</f>
        <v>15.93123604648709</v>
      </c>
      <c r="T255" s="47">
        <f>T253*T254/T$3</f>
        <v>17.900336821832894</v>
      </c>
      <c r="U255" s="47">
        <f>U253*U254/U$3</f>
        <v>18.922514525593296</v>
      </c>
    </row>
    <row r="256" spans="2:21">
      <c r="I256" s="21"/>
    </row>
    <row r="257" spans="2:21">
      <c r="B257" s="407" t="s">
        <v>306</v>
      </c>
      <c r="I257" s="21"/>
    </row>
    <row r="258" spans="2:21">
      <c r="B258" s="407" t="s">
        <v>307</v>
      </c>
      <c r="I258" s="33">
        <f>-'Output_Standalone (IDR)'!J278</f>
        <v>0</v>
      </c>
      <c r="J258" s="33">
        <f>-'Output_Standalone (IDR)'!K278</f>
        <v>0</v>
      </c>
      <c r="K258" s="33">
        <f>-'Output_Standalone (IDR)'!L278</f>
        <v>0</v>
      </c>
      <c r="L258" s="33">
        <f>-'Output_Standalone (IDR)'!M278</f>
        <v>0</v>
      </c>
      <c r="M258" s="33">
        <f>-'Output_Standalone (IDR)'!N278</f>
        <v>15.060366036570935</v>
      </c>
      <c r="N258" s="33">
        <f>-'Output_Standalone (IDR)'!O278</f>
        <v>18.293330967567417</v>
      </c>
      <c r="O258" s="33">
        <f>-'Output_Standalone (IDR)'!P278</f>
        <v>20.331384195423407</v>
      </c>
      <c r="P258" s="33">
        <f>-'Output_Standalone (IDR)'!Q278</f>
        <v>23.455629098209847</v>
      </c>
      <c r="Q258" s="33">
        <f>-'Output_Standalone (IDR)'!R278</f>
        <v>25.179645829240805</v>
      </c>
      <c r="R258" s="33">
        <f>-'Output_Standalone (IDR)'!S278</f>
        <v>26.987302524079247</v>
      </c>
      <c r="S258" s="33">
        <f>-'Output_Standalone (IDR)'!T278</f>
        <v>28.932476872844564</v>
      </c>
      <c r="T258" s="33">
        <f>-'Output_Standalone (IDR)'!U278</f>
        <v>32.887630952372412</v>
      </c>
      <c r="U258" s="33">
        <f>-'Output_Standalone (IDR)'!V278</f>
        <v>35.276654045694151</v>
      </c>
    </row>
    <row r="259" spans="2:21">
      <c r="B259" s="407" t="s">
        <v>308</v>
      </c>
      <c r="F259" s="19">
        <v>40</v>
      </c>
    </row>
    <row r="260" spans="2:21">
      <c r="B260" s="28" t="s">
        <v>204</v>
      </c>
      <c r="C260" s="28"/>
      <c r="D260" s="28"/>
      <c r="E260" s="28"/>
      <c r="F260" s="28"/>
      <c r="G260" s="28"/>
      <c r="H260" s="28"/>
      <c r="I260" s="47">
        <f t="shared" ref="I260:R260" si="80">I258*$F259/I$3</f>
        <v>0</v>
      </c>
      <c r="J260" s="47">
        <f t="shared" si="80"/>
        <v>0</v>
      </c>
      <c r="K260" s="47">
        <f t="shared" si="80"/>
        <v>0</v>
      </c>
      <c r="L260" s="47">
        <f t="shared" si="80"/>
        <v>0</v>
      </c>
      <c r="M260" s="47">
        <f t="shared" si="80"/>
        <v>1.6459416433410858</v>
      </c>
      <c r="N260" s="47">
        <f t="shared" si="80"/>
        <v>2.0047485991854703</v>
      </c>
      <c r="O260" s="47">
        <f t="shared" si="80"/>
        <v>2.2280968981285927</v>
      </c>
      <c r="P260" s="47">
        <f t="shared" si="80"/>
        <v>2.5704799011736816</v>
      </c>
      <c r="Q260" s="47">
        <f t="shared" si="80"/>
        <v>2.7518738611192135</v>
      </c>
      <c r="R260" s="47">
        <f t="shared" si="80"/>
        <v>2.9575126053785477</v>
      </c>
      <c r="S260" s="47">
        <f>S258*$F259/S$3</f>
        <v>3.1706823970240618</v>
      </c>
      <c r="T260" s="47">
        <f>T258*$F259/T$3</f>
        <v>3.6041239399860174</v>
      </c>
      <c r="U260" s="47">
        <f>U258*$F259/U$3</f>
        <v>3.8553720268518199</v>
      </c>
    </row>
    <row r="261" spans="2:21">
      <c r="I261" s="21"/>
    </row>
    <row r="262" spans="2:21">
      <c r="B262" s="407" t="s">
        <v>309</v>
      </c>
      <c r="I262" s="21"/>
    </row>
    <row r="263" spans="2:21">
      <c r="B263" s="407" t="s">
        <v>307</v>
      </c>
      <c r="I263" s="50">
        <f>I258</f>
        <v>0</v>
      </c>
      <c r="J263" s="50">
        <f t="shared" ref="J263:R263" si="81">J258</f>
        <v>0</v>
      </c>
      <c r="K263" s="50">
        <f t="shared" si="81"/>
        <v>0</v>
      </c>
      <c r="L263" s="50">
        <f t="shared" si="81"/>
        <v>0</v>
      </c>
      <c r="M263" s="50">
        <f t="shared" si="81"/>
        <v>15.060366036570935</v>
      </c>
      <c r="N263" s="50">
        <f t="shared" si="81"/>
        <v>18.293330967567417</v>
      </c>
      <c r="O263" s="50">
        <f t="shared" si="81"/>
        <v>20.331384195423407</v>
      </c>
      <c r="P263" s="50">
        <f t="shared" si="81"/>
        <v>23.455629098209847</v>
      </c>
      <c r="Q263" s="50">
        <f t="shared" si="81"/>
        <v>25.179645829240805</v>
      </c>
      <c r="R263" s="50">
        <f t="shared" si="81"/>
        <v>26.987302524079247</v>
      </c>
      <c r="S263" s="50">
        <f>S258</f>
        <v>28.932476872844564</v>
      </c>
      <c r="T263" s="50">
        <f>T258</f>
        <v>32.887630952372412</v>
      </c>
      <c r="U263" s="50">
        <f>U258</f>
        <v>35.276654045694151</v>
      </c>
    </row>
    <row r="264" spans="2:21">
      <c r="B264" s="407" t="s">
        <v>310</v>
      </c>
      <c r="F264" s="19">
        <v>30</v>
      </c>
      <c r="I264" s="19">
        <v>30</v>
      </c>
      <c r="J264" s="19">
        <v>30</v>
      </c>
      <c r="K264" s="19">
        <v>30</v>
      </c>
      <c r="L264" s="19">
        <v>30</v>
      </c>
      <c r="M264" s="19">
        <v>30</v>
      </c>
      <c r="N264" s="19">
        <v>30</v>
      </c>
      <c r="O264" s="19">
        <v>30</v>
      </c>
      <c r="P264" s="19">
        <v>30</v>
      </c>
      <c r="Q264" s="19">
        <v>30</v>
      </c>
      <c r="R264" s="19">
        <v>30</v>
      </c>
      <c r="S264" s="19">
        <v>30</v>
      </c>
      <c r="T264" s="19">
        <v>30</v>
      </c>
      <c r="U264" s="19">
        <v>30</v>
      </c>
    </row>
    <row r="265" spans="2:21">
      <c r="B265" s="28" t="s">
        <v>240</v>
      </c>
      <c r="C265" s="28"/>
      <c r="D265" s="28"/>
      <c r="E265" s="28"/>
      <c r="F265" s="28"/>
      <c r="G265" s="28"/>
      <c r="H265" s="28"/>
      <c r="I265" s="47">
        <f t="shared" ref="I265:R265" si="82">I263*I264/I$3</f>
        <v>0</v>
      </c>
      <c r="J265" s="47">
        <f t="shared" si="82"/>
        <v>0</v>
      </c>
      <c r="K265" s="47">
        <f t="shared" si="82"/>
        <v>0</v>
      </c>
      <c r="L265" s="47">
        <f t="shared" si="82"/>
        <v>0</v>
      </c>
      <c r="M265" s="47">
        <f t="shared" si="82"/>
        <v>1.2344562325058144</v>
      </c>
      <c r="N265" s="47">
        <f t="shared" si="82"/>
        <v>1.5035614493891027</v>
      </c>
      <c r="O265" s="47">
        <f t="shared" si="82"/>
        <v>1.6710726735964443</v>
      </c>
      <c r="P265" s="47">
        <f t="shared" si="82"/>
        <v>1.9278599258802616</v>
      </c>
      <c r="Q265" s="47">
        <f t="shared" si="82"/>
        <v>2.0639053958394102</v>
      </c>
      <c r="R265" s="47">
        <f t="shared" si="82"/>
        <v>2.2181344540339105</v>
      </c>
      <c r="S265" s="47">
        <f>S263*S264/S$3</f>
        <v>2.3780117977680462</v>
      </c>
      <c r="T265" s="47">
        <f>T263*T264/T$3</f>
        <v>2.7030929549895131</v>
      </c>
      <c r="U265" s="47">
        <f>U263*U264/U$3</f>
        <v>2.891529020138865</v>
      </c>
    </row>
    <row r="267" spans="2:21">
      <c r="B267" t="s">
        <v>300</v>
      </c>
      <c r="I267" s="23">
        <f>SUM(I255,I260,-I265)</f>
        <v>0</v>
      </c>
      <c r="J267" s="23">
        <f t="shared" ref="J267:R267" si="83">SUM(J255,J260,-J265)</f>
        <v>0</v>
      </c>
      <c r="K267" s="23">
        <f t="shared" si="83"/>
        <v>0</v>
      </c>
      <c r="L267" s="23">
        <f t="shared" si="83"/>
        <v>0</v>
      </c>
      <c r="M267" s="23">
        <f t="shared" si="83"/>
        <v>7.5743345404870501</v>
      </c>
      <c r="N267" s="23">
        <f t="shared" si="83"/>
        <v>9.982052003268608</v>
      </c>
      <c r="O267" s="23">
        <f t="shared" si="83"/>
        <v>10.985975563351612</v>
      </c>
      <c r="P267" s="23">
        <f t="shared" si="83"/>
        <v>13.261651095264972</v>
      </c>
      <c r="Q267" s="23">
        <f t="shared" si="83"/>
        <v>14.027594531719679</v>
      </c>
      <c r="R267" s="23">
        <f t="shared" si="83"/>
        <v>15.76884611972868</v>
      </c>
      <c r="S267" s="23">
        <f>SUM(S255,S260,-S265)</f>
        <v>16.723906645743106</v>
      </c>
      <c r="T267" s="23">
        <f>SUM(T255,T260,-T265)</f>
        <v>18.801367806829397</v>
      </c>
      <c r="U267" s="23">
        <f>SUM(U255,U260,-U265)</f>
        <v>19.886357532306253</v>
      </c>
    </row>
    <row r="268" spans="2:21">
      <c r="B268" t="s">
        <v>311</v>
      </c>
      <c r="I268" s="23">
        <f t="shared" ref="I268:R268" si="84">H267-I267</f>
        <v>0</v>
      </c>
      <c r="J268" s="23">
        <f t="shared" si="84"/>
        <v>0</v>
      </c>
      <c r="K268" s="23">
        <f t="shared" si="84"/>
        <v>0</v>
      </c>
      <c r="L268" s="23">
        <f t="shared" si="84"/>
        <v>0</v>
      </c>
      <c r="M268" s="23">
        <f t="shared" si="84"/>
        <v>-7.5743345404870501</v>
      </c>
      <c r="N268" s="23">
        <f t="shared" si="84"/>
        <v>-2.4077174627815578</v>
      </c>
      <c r="O268" s="23">
        <f t="shared" si="84"/>
        <v>-1.0039235600830043</v>
      </c>
      <c r="P268" s="23">
        <f t="shared" si="84"/>
        <v>-2.2756755319133593</v>
      </c>
      <c r="Q268" s="23">
        <f t="shared" si="84"/>
        <v>-0.76594343645470708</v>
      </c>
      <c r="R268" s="23">
        <f t="shared" si="84"/>
        <v>-1.7412515880090016</v>
      </c>
      <c r="S268" s="23">
        <f>R267-S267</f>
        <v>-0.95506052601442626</v>
      </c>
      <c r="T268" s="23">
        <f>S267-T267</f>
        <v>-2.0774611610862905</v>
      </c>
      <c r="U268" s="23">
        <f>T267-U267</f>
        <v>-1.0849897254768557</v>
      </c>
    </row>
    <row r="270" spans="2:21" ht="15.75">
      <c r="B270" s="15" t="s">
        <v>758</v>
      </c>
    </row>
    <row r="271" spans="2:21">
      <c r="B271" s="407" t="s">
        <v>434</v>
      </c>
      <c r="I271" s="462">
        <f>'Output_Standalone (IDR)'!J285</f>
        <v>0</v>
      </c>
      <c r="J271">
        <f>'Output_Standalone (IDR)'!K285</f>
        <v>0</v>
      </c>
      <c r="K271">
        <f>'Output_Standalone (IDR)'!L285</f>
        <v>0</v>
      </c>
      <c r="L271">
        <f>'Output_Standalone (IDR)'!M285</f>
        <v>0</v>
      </c>
      <c r="M271" s="462">
        <f>'Output_Standalone (IDR)'!N285</f>
        <v>25.955081932767648</v>
      </c>
      <c r="N271">
        <f>'Output_Standalone (IDR)'!O285</f>
        <v>39.320207794090656</v>
      </c>
      <c r="O271">
        <f>'Output_Standalone (IDR)'!P285</f>
        <v>43.729687846797916</v>
      </c>
      <c r="P271">
        <f>'Output_Standalone (IDR)'!Q285</f>
        <v>56.443051453044383</v>
      </c>
      <c r="Q271">
        <f>'Output_Standalone (IDR)'!R285</f>
        <v>59.906601095884639</v>
      </c>
      <c r="R271">
        <f>'Output_Standalone (IDR)'!S285</f>
        <v>70.49573598653059</v>
      </c>
      <c r="S271">
        <f>'Output_Standalone (IDR)'!T285</f>
        <v>74.788333104942808</v>
      </c>
      <c r="T271">
        <f>'Output_Standalone (IDR)'!U285</f>
        <v>84.491412246498953</v>
      </c>
      <c r="U271">
        <f>'Output_Standalone (IDR)'!V285</f>
        <v>89.52565457372647</v>
      </c>
    </row>
    <row r="272" spans="2:21">
      <c r="B272" s="407" t="s">
        <v>759</v>
      </c>
      <c r="I272">
        <f t="shared" ref="I272:R272" si="85">-IF(I271&lt;0,0,I271*22%)</f>
        <v>0</v>
      </c>
      <c r="J272">
        <f t="shared" si="85"/>
        <v>0</v>
      </c>
      <c r="K272">
        <f t="shared" si="85"/>
        <v>0</v>
      </c>
      <c r="L272">
        <f t="shared" si="85"/>
        <v>0</v>
      </c>
      <c r="M272">
        <f t="shared" si="85"/>
        <v>-5.7101180252088826</v>
      </c>
      <c r="N272">
        <f t="shared" si="85"/>
        <v>-8.6504457146999449</v>
      </c>
      <c r="O272">
        <f t="shared" si="85"/>
        <v>-9.6205313262955414</v>
      </c>
      <c r="P272">
        <f t="shared" si="85"/>
        <v>-12.417471319669763</v>
      </c>
      <c r="Q272">
        <f t="shared" si="85"/>
        <v>-13.179452241094621</v>
      </c>
      <c r="R272">
        <f t="shared" si="85"/>
        <v>-15.50906191703673</v>
      </c>
      <c r="S272">
        <f>-IF(S271&lt;0,0,S271*22%)</f>
        <v>-16.453433283087417</v>
      </c>
      <c r="T272">
        <f>-IF(T271&lt;0,0,T271*22%)</f>
        <v>-18.588110694229769</v>
      </c>
      <c r="U272">
        <f>-IF(U271&lt;0,0,U271*22%)</f>
        <v>-19.695644006219823</v>
      </c>
    </row>
    <row r="273" spans="2:21">
      <c r="B273" s="437" t="s">
        <v>760</v>
      </c>
      <c r="I273">
        <f>-'Output_Standalone (IDR)'!J284</f>
        <v>0</v>
      </c>
      <c r="J273">
        <f>-'Output_Standalone (IDR)'!K284</f>
        <v>0</v>
      </c>
      <c r="K273">
        <f>-'Output_Standalone (IDR)'!L284</f>
        <v>0</v>
      </c>
      <c r="L273">
        <f>-'Output_Standalone (IDR)'!M284</f>
        <v>0</v>
      </c>
      <c r="M273">
        <f>-'Output_Standalone (IDR)'!N284</f>
        <v>7.1509374999999995</v>
      </c>
      <c r="N273">
        <f>-'Output_Standalone (IDR)'!O284</f>
        <v>7.1509374999999995</v>
      </c>
      <c r="O273">
        <f>-'Output_Standalone (IDR)'!P284</f>
        <v>7.1509374999999995</v>
      </c>
      <c r="P273">
        <f>-'Output_Standalone (IDR)'!Q284</f>
        <v>7.1509374999999995</v>
      </c>
      <c r="Q273">
        <f>-'Output_Standalone (IDR)'!R284</f>
        <v>7.1509374999999995</v>
      </c>
      <c r="R273">
        <f>-'Output_Standalone (IDR)'!S284</f>
        <v>7.1509374999999995</v>
      </c>
      <c r="S273">
        <f>-'Output_Standalone (IDR)'!T284</f>
        <v>7.1509374999999995</v>
      </c>
      <c r="T273">
        <f>-'Output_Standalone (IDR)'!U284</f>
        <v>7.1509374999999995</v>
      </c>
      <c r="U273">
        <f>-'Output_Standalone (IDR)'!V284</f>
        <v>7.1509374999999995</v>
      </c>
    </row>
    <row r="274" spans="2:21">
      <c r="B274" s="407" t="s">
        <v>219</v>
      </c>
      <c r="I274">
        <f>-Calculation_FSL!J1479*USD_IDR/Thousands</f>
        <v>0</v>
      </c>
      <c r="J274">
        <f>-Calculation_FSL!K1479*USD_IDR/Thousands</f>
        <v>0</v>
      </c>
      <c r="K274">
        <f>-Calculation_FSL!L1479*USD_IDR/Thousands</f>
        <v>-40.862499999999997</v>
      </c>
      <c r="L274" s="462">
        <f>-Calculation_FSL!M1479*USD_IDR/Thousands</f>
        <v>-40.862499999999997</v>
      </c>
      <c r="M274">
        <f>-Calculation_FSL!N1479*USD_IDR/Thousands</f>
        <v>0</v>
      </c>
      <c r="N274">
        <f>-Calculation_FSL!O1479*USD_IDR/Thousands</f>
        <v>0</v>
      </c>
      <c r="O274">
        <f>-Calculation_FSL!P1479*USD_IDR/Thousands</f>
        <v>0</v>
      </c>
      <c r="P274">
        <f>-Calculation_FSL!Q1479*USD_IDR/Thousands</f>
        <v>0</v>
      </c>
      <c r="Q274">
        <f>-Calculation_FSL!R1479*USD_IDR/Thousands</f>
        <v>0</v>
      </c>
      <c r="R274">
        <f>-Calculation_FSL!S1479*USD_IDR/Thousands</f>
        <v>0</v>
      </c>
      <c r="S274">
        <f>-Calculation_FSL!T1479*USD_IDR/Thousands</f>
        <v>0</v>
      </c>
      <c r="T274">
        <f>-Calculation_FSL!U1479*USD_IDR/Thousands</f>
        <v>0</v>
      </c>
      <c r="U274">
        <f>-Calculation_FSL!V1479*USD_IDR/Thousands</f>
        <v>0</v>
      </c>
    </row>
    <row r="275" spans="2:21">
      <c r="B275" s="407" t="s">
        <v>311</v>
      </c>
      <c r="I275">
        <f t="shared" ref="I275:R275" si="86">I268</f>
        <v>0</v>
      </c>
      <c r="J275">
        <f t="shared" si="86"/>
        <v>0</v>
      </c>
      <c r="K275">
        <f t="shared" si="86"/>
        <v>0</v>
      </c>
      <c r="L275">
        <f t="shared" si="86"/>
        <v>0</v>
      </c>
      <c r="M275">
        <f t="shared" si="86"/>
        <v>-7.5743345404870501</v>
      </c>
      <c r="N275">
        <f t="shared" si="86"/>
        <v>-2.4077174627815578</v>
      </c>
      <c r="O275">
        <f t="shared" si="86"/>
        <v>-1.0039235600830043</v>
      </c>
      <c r="P275">
        <f t="shared" si="86"/>
        <v>-2.2756755319133593</v>
      </c>
      <c r="Q275">
        <f t="shared" si="86"/>
        <v>-0.76594343645470708</v>
      </c>
      <c r="R275">
        <f t="shared" si="86"/>
        <v>-1.7412515880090016</v>
      </c>
      <c r="S275">
        <f>S268</f>
        <v>-0.95506052601442626</v>
      </c>
      <c r="T275">
        <f>T268</f>
        <v>-2.0774611610862905</v>
      </c>
      <c r="U275">
        <f>U268</f>
        <v>-1.0849897254768557</v>
      </c>
    </row>
    <row r="276" spans="2:21">
      <c r="B276" s="28" t="s">
        <v>761</v>
      </c>
      <c r="C276" s="28"/>
      <c r="D276" s="28"/>
      <c r="E276" s="28"/>
      <c r="F276" s="28"/>
      <c r="G276" s="28"/>
      <c r="H276" s="28"/>
      <c r="I276" s="47">
        <f>SUM(I271:I275)</f>
        <v>0</v>
      </c>
      <c r="J276" s="47">
        <f t="shared" ref="J276:R276" si="87">SUM(J271:J275)</f>
        <v>0</v>
      </c>
      <c r="K276" s="47">
        <f t="shared" si="87"/>
        <v>-40.862499999999997</v>
      </c>
      <c r="L276" s="47">
        <f t="shared" si="87"/>
        <v>-40.862499999999997</v>
      </c>
      <c r="M276" s="47">
        <f t="shared" si="87"/>
        <v>19.821566867071716</v>
      </c>
      <c r="N276" s="47">
        <f t="shared" si="87"/>
        <v>35.412982116609157</v>
      </c>
      <c r="O276" s="47">
        <f t="shared" si="87"/>
        <v>40.256170460419369</v>
      </c>
      <c r="P276" s="47">
        <f t="shared" si="87"/>
        <v>48.900842101461258</v>
      </c>
      <c r="Q276" s="47">
        <f t="shared" si="87"/>
        <v>53.112142918335309</v>
      </c>
      <c r="R276" s="47">
        <f t="shared" si="87"/>
        <v>60.396359981484856</v>
      </c>
      <c r="S276" s="47">
        <f>SUM(S271:S275)</f>
        <v>64.530776795840964</v>
      </c>
      <c r="T276" s="47">
        <f>SUM(T271:T275)</f>
        <v>70.976777891182891</v>
      </c>
      <c r="U276" s="47">
        <f>SUM(U271:U275)</f>
        <v>75.895958342029786</v>
      </c>
    </row>
    <row r="278" spans="2:21">
      <c r="B278" t="s">
        <v>52</v>
      </c>
      <c r="F278" s="19"/>
    </row>
    <row r="279" spans="2:21">
      <c r="B279" s="28" t="s">
        <v>762</v>
      </c>
      <c r="C279" s="28"/>
      <c r="D279" s="28"/>
      <c r="E279" s="28"/>
      <c r="F279" s="28"/>
      <c r="G279" s="28"/>
      <c r="H279" s="28"/>
      <c r="I279" s="47">
        <f t="shared" ref="I279:R279" si="88">SUM(I276,J278)</f>
        <v>0</v>
      </c>
      <c r="J279" s="47">
        <f t="shared" si="88"/>
        <v>0</v>
      </c>
      <c r="K279" s="47">
        <f t="shared" si="88"/>
        <v>-40.862499999999997</v>
      </c>
      <c r="L279" s="47">
        <f t="shared" si="88"/>
        <v>-40.862499999999997</v>
      </c>
      <c r="M279" s="47">
        <f t="shared" si="88"/>
        <v>19.821566867071716</v>
      </c>
      <c r="N279" s="47">
        <f t="shared" si="88"/>
        <v>35.412982116609157</v>
      </c>
      <c r="O279" s="47">
        <f t="shared" si="88"/>
        <v>40.256170460419369</v>
      </c>
      <c r="P279" s="47">
        <f t="shared" si="88"/>
        <v>48.900842101461258</v>
      </c>
      <c r="Q279" s="47">
        <f t="shared" si="88"/>
        <v>53.112142918335309</v>
      </c>
      <c r="R279" s="47">
        <f t="shared" si="88"/>
        <v>60.396359981484856</v>
      </c>
      <c r="S279" s="47">
        <f>SUM(S276,T278)</f>
        <v>64.530776795840964</v>
      </c>
      <c r="T279" s="47">
        <f>SUM(T276,U278)</f>
        <v>70.976777891182891</v>
      </c>
      <c r="U279" s="47">
        <f>SUM(U276,V278)</f>
        <v>75.895958342029786</v>
      </c>
    </row>
    <row r="281" spans="2:21">
      <c r="B281" t="s">
        <v>763</v>
      </c>
      <c r="I281">
        <f>SUM($I$276:I276)</f>
        <v>0</v>
      </c>
      <c r="J281">
        <f>SUM($I$276:J276)</f>
        <v>0</v>
      </c>
      <c r="K281">
        <f>SUM($I$276:K276)</f>
        <v>-40.862499999999997</v>
      </c>
      <c r="L281">
        <f>SUM($I$276:L276)</f>
        <v>-81.724999999999994</v>
      </c>
      <c r="M281">
        <f>SUM($I$276:M276)</f>
        <v>-61.903433132928278</v>
      </c>
      <c r="N281">
        <f>SUM($I$276:N276)</f>
        <v>-26.49045101631912</v>
      </c>
      <c r="O281">
        <f>SUM($I$276:O276)</f>
        <v>13.765719444100249</v>
      </c>
      <c r="P281">
        <f>SUM($I$276:P276)</f>
        <v>62.666561545561507</v>
      </c>
      <c r="Q281">
        <f>SUM($I$276:Q276)</f>
        <v>115.77870446389682</v>
      </c>
      <c r="R281">
        <f>SUM($I$276:R276)</f>
        <v>176.17506444538168</v>
      </c>
      <c r="S281">
        <f>SUM($I$276:S276)</f>
        <v>240.70584124122263</v>
      </c>
      <c r="T281">
        <f>SUM($I$276:T276)</f>
        <v>311.68261913240553</v>
      </c>
      <c r="U281">
        <f>SUM($I$276:U276)</f>
        <v>387.57857747443529</v>
      </c>
    </row>
    <row r="282" spans="2:21">
      <c r="B282" t="s">
        <v>764</v>
      </c>
      <c r="H282">
        <f>SUM(I282:U282)</f>
        <v>4</v>
      </c>
      <c r="I282" s="13">
        <f>IF(I281&lt;0,1,0)</f>
        <v>0</v>
      </c>
      <c r="J282" s="13">
        <f t="shared" ref="J282:R282" si="89">IF(J281&lt;0,1,0)</f>
        <v>0</v>
      </c>
      <c r="K282" s="13">
        <f t="shared" si="89"/>
        <v>1</v>
      </c>
      <c r="L282" s="13">
        <f t="shared" si="89"/>
        <v>1</v>
      </c>
      <c r="M282" s="13">
        <f t="shared" si="89"/>
        <v>1</v>
      </c>
      <c r="N282" s="13">
        <f t="shared" si="89"/>
        <v>1</v>
      </c>
      <c r="O282" s="13">
        <f t="shared" si="89"/>
        <v>0</v>
      </c>
      <c r="P282" s="13">
        <f t="shared" si="89"/>
        <v>0</v>
      </c>
      <c r="Q282" s="13">
        <f t="shared" si="89"/>
        <v>0</v>
      </c>
      <c r="R282" s="13">
        <f t="shared" si="89"/>
        <v>0</v>
      </c>
      <c r="S282" s="13">
        <f>IF(S281&lt;0,1,0)</f>
        <v>0</v>
      </c>
      <c r="T282" s="13">
        <f>IF(T281&lt;0,1,0)</f>
        <v>0</v>
      </c>
      <c r="U282" s="13">
        <f>IF(U281&lt;0,1,0)</f>
        <v>0</v>
      </c>
    </row>
    <row r="283" spans="2:21">
      <c r="B283" t="s">
        <v>765</v>
      </c>
      <c r="I283" s="13">
        <f t="shared" ref="I283:R283" si="90">IF(AND(H282=1,I282=0),IF(MAX(I281,0),1),0)</f>
        <v>0</v>
      </c>
      <c r="J283" s="13">
        <f t="shared" si="90"/>
        <v>0</v>
      </c>
      <c r="K283" s="13">
        <f t="shared" si="90"/>
        <v>0</v>
      </c>
      <c r="L283" s="13">
        <f t="shared" si="90"/>
        <v>0</v>
      </c>
      <c r="M283" s="13">
        <f t="shared" si="90"/>
        <v>0</v>
      </c>
      <c r="N283" s="13">
        <f t="shared" si="90"/>
        <v>0</v>
      </c>
      <c r="O283" s="13">
        <f t="shared" si="90"/>
        <v>1</v>
      </c>
      <c r="P283" s="13">
        <f t="shared" si="90"/>
        <v>0</v>
      </c>
      <c r="Q283" s="13">
        <f t="shared" si="90"/>
        <v>0</v>
      </c>
      <c r="R283" s="13">
        <f t="shared" si="90"/>
        <v>0</v>
      </c>
      <c r="S283" s="13">
        <f>IF(AND(R282=1,S282=0),IF(MAX(S281,0),1),0)</f>
        <v>0</v>
      </c>
      <c r="T283" s="13">
        <f>IF(AND(S282=1,T282=0),IF(MAX(T281,0),1),0)</f>
        <v>0</v>
      </c>
      <c r="U283" s="13">
        <f>IF(AND(T282=1,U282=0),IF(MAX(U281,0),1),0)</f>
        <v>0</v>
      </c>
    </row>
    <row r="284" spans="2:21">
      <c r="B284" t="s">
        <v>766</v>
      </c>
      <c r="H284" s="22">
        <f>SUM(I284:U284)</f>
        <v>0.65804697052256955</v>
      </c>
      <c r="I284" s="22">
        <f t="shared" ref="I284:R284" si="91">IF(I283=1,-H281/I279,0)</f>
        <v>0</v>
      </c>
      <c r="J284" s="22">
        <f t="shared" si="91"/>
        <v>0</v>
      </c>
      <c r="K284" s="22">
        <f t="shared" si="91"/>
        <v>0</v>
      </c>
      <c r="L284" s="22">
        <f t="shared" si="91"/>
        <v>0</v>
      </c>
      <c r="M284" s="22">
        <f t="shared" si="91"/>
        <v>0</v>
      </c>
      <c r="N284" s="22">
        <f t="shared" si="91"/>
        <v>0</v>
      </c>
      <c r="O284" s="22">
        <f t="shared" si="91"/>
        <v>0.65804697052256955</v>
      </c>
      <c r="P284" s="22">
        <f t="shared" si="91"/>
        <v>0</v>
      </c>
      <c r="Q284" s="22">
        <f t="shared" si="91"/>
        <v>0</v>
      </c>
      <c r="R284" s="22">
        <f t="shared" si="91"/>
        <v>0</v>
      </c>
      <c r="S284" s="22">
        <f>IF(S283=1,-R281/S279,0)</f>
        <v>0</v>
      </c>
      <c r="T284" s="22">
        <f>IF(T283=1,-S281/T279,0)</f>
        <v>0</v>
      </c>
      <c r="U284" s="22">
        <f>IF(U283=1,-T281/U279,0)</f>
        <v>0</v>
      </c>
    </row>
    <row r="287" spans="2:21" ht="15.75">
      <c r="B287" s="15" t="s">
        <v>767</v>
      </c>
    </row>
    <row r="288" spans="2:21">
      <c r="B288" s="44" t="s">
        <v>54</v>
      </c>
      <c r="F288" s="21"/>
      <c r="H288" s="476">
        <f>IRR(I279:U279)</f>
        <v>0.38066209217298508</v>
      </c>
    </row>
    <row r="289" spans="2:21">
      <c r="B289" s="44" t="s">
        <v>768</v>
      </c>
      <c r="F289" s="22"/>
      <c r="H289" s="46">
        <f>SUM(H282,H284)</f>
        <v>4.6580469705225696</v>
      </c>
    </row>
    <row r="291" spans="2:21" ht="15.75">
      <c r="B291" s="15" t="s">
        <v>773</v>
      </c>
    </row>
    <row r="292" spans="2:21">
      <c r="B292" t="s">
        <v>300</v>
      </c>
    </row>
    <row r="293" spans="2:21">
      <c r="B293" s="407" t="s">
        <v>302</v>
      </c>
      <c r="I293" s="21"/>
    </row>
    <row r="294" spans="2:21">
      <c r="B294" s="407" t="s">
        <v>9</v>
      </c>
      <c r="I294" s="50">
        <f>'Output_Standalone (IDR)'!J484</f>
        <v>0</v>
      </c>
      <c r="J294" s="50">
        <f>'Output_Standalone (IDR)'!K484</f>
        <v>0</v>
      </c>
      <c r="K294" s="50">
        <f>'Output_Standalone (IDR)'!L484</f>
        <v>0</v>
      </c>
      <c r="L294" s="50">
        <f>'Output_Standalone (IDR)'!M484</f>
        <v>0</v>
      </c>
      <c r="M294" s="50">
        <f>'Output_Standalone (IDR)'!N484</f>
        <v>0</v>
      </c>
      <c r="N294" s="50">
        <f>'Output_Standalone (IDR)'!O484</f>
        <v>0</v>
      </c>
      <c r="O294" s="50">
        <f>'Output_Standalone (IDR)'!P484</f>
        <v>0</v>
      </c>
      <c r="P294" s="50">
        <f>'Output_Standalone (IDR)'!Q484</f>
        <v>0</v>
      </c>
      <c r="Q294" s="50">
        <f>'Output_Standalone (IDR)'!R484</f>
        <v>0</v>
      </c>
      <c r="R294" s="50">
        <f>'Output_Standalone (IDR)'!S484</f>
        <v>0</v>
      </c>
      <c r="S294" s="50">
        <f>'Output_Standalone (IDR)'!T484</f>
        <v>0</v>
      </c>
      <c r="T294" s="50">
        <f>'Output_Standalone (IDR)'!U484</f>
        <v>0</v>
      </c>
      <c r="U294" s="50">
        <f>'Output_Standalone (IDR)'!V484</f>
        <v>0</v>
      </c>
    </row>
    <row r="295" spans="2:21">
      <c r="B295" s="407" t="s">
        <v>303</v>
      </c>
      <c r="F295" s="19">
        <v>45</v>
      </c>
      <c r="I295" s="19">
        <v>45</v>
      </c>
      <c r="J295" s="19">
        <v>45</v>
      </c>
      <c r="K295" s="19">
        <v>45</v>
      </c>
      <c r="L295" s="19">
        <v>45</v>
      </c>
      <c r="M295" s="19">
        <v>45</v>
      </c>
      <c r="N295" s="19">
        <v>45</v>
      </c>
      <c r="O295" s="19">
        <v>45</v>
      </c>
      <c r="P295" s="19">
        <v>45</v>
      </c>
      <c r="Q295" s="19">
        <v>45</v>
      </c>
      <c r="R295" s="19">
        <v>45</v>
      </c>
      <c r="S295" s="19">
        <v>45</v>
      </c>
      <c r="T295" s="19">
        <v>45</v>
      </c>
      <c r="U295" s="19">
        <v>45</v>
      </c>
    </row>
    <row r="296" spans="2:21">
      <c r="B296" s="28" t="s">
        <v>304</v>
      </c>
      <c r="C296" s="28"/>
      <c r="D296" s="28"/>
      <c r="E296" s="28"/>
      <c r="F296" s="28"/>
      <c r="G296" s="28"/>
      <c r="H296" s="28"/>
      <c r="I296" s="47">
        <f t="shared" ref="I296:R296" si="92">I294*I295/I$3</f>
        <v>0</v>
      </c>
      <c r="J296" s="47">
        <f t="shared" si="92"/>
        <v>0</v>
      </c>
      <c r="K296" s="47">
        <f t="shared" si="92"/>
        <v>0</v>
      </c>
      <c r="L296" s="47">
        <f t="shared" si="92"/>
        <v>0</v>
      </c>
      <c r="M296" s="47">
        <f t="shared" si="92"/>
        <v>0</v>
      </c>
      <c r="N296" s="47">
        <f t="shared" si="92"/>
        <v>0</v>
      </c>
      <c r="O296" s="47">
        <f t="shared" si="92"/>
        <v>0</v>
      </c>
      <c r="P296" s="47">
        <f t="shared" si="92"/>
        <v>0</v>
      </c>
      <c r="Q296" s="47">
        <f t="shared" si="92"/>
        <v>0</v>
      </c>
      <c r="R296" s="47">
        <f t="shared" si="92"/>
        <v>0</v>
      </c>
      <c r="S296" s="47">
        <f>S294*S295/S$3</f>
        <v>0</v>
      </c>
      <c r="T296" s="47">
        <f>T294*T295/T$3</f>
        <v>0</v>
      </c>
      <c r="U296" s="47">
        <f>U294*U295/U$3</f>
        <v>0</v>
      </c>
    </row>
    <row r="297" spans="2:21">
      <c r="I297" s="21"/>
    </row>
    <row r="298" spans="2:21">
      <c r="B298" s="407" t="s">
        <v>306</v>
      </c>
      <c r="I298" s="21"/>
    </row>
    <row r="299" spans="2:21">
      <c r="B299" s="407" t="s">
        <v>307</v>
      </c>
      <c r="I299" s="33">
        <f>-'Output_Standalone (IDR)'!J485</f>
        <v>0</v>
      </c>
      <c r="J299" s="33">
        <f>-'Output_Standalone (IDR)'!K485</f>
        <v>0</v>
      </c>
      <c r="K299" s="33">
        <f>-'Output_Standalone (IDR)'!L485</f>
        <v>0</v>
      </c>
      <c r="L299" s="33">
        <f>-'Output_Standalone (IDR)'!M485</f>
        <v>0</v>
      </c>
      <c r="M299" s="33">
        <f>-'Output_Standalone (IDR)'!N485</f>
        <v>0</v>
      </c>
      <c r="N299" s="33">
        <f>-'Output_Standalone (IDR)'!O485</f>
        <v>0</v>
      </c>
      <c r="O299" s="33">
        <f>-'Output_Standalone (IDR)'!P485</f>
        <v>0</v>
      </c>
      <c r="P299" s="33">
        <f>-'Output_Standalone (IDR)'!Q485</f>
        <v>0</v>
      </c>
      <c r="Q299" s="33">
        <f>-'Output_Standalone (IDR)'!R485</f>
        <v>0</v>
      </c>
      <c r="R299" s="33">
        <f>-'Output_Standalone (IDR)'!S485</f>
        <v>0</v>
      </c>
      <c r="S299" s="33">
        <f>-'Output_Standalone (IDR)'!T485</f>
        <v>0</v>
      </c>
      <c r="T299" s="33">
        <f>-'Output_Standalone (IDR)'!U485</f>
        <v>0</v>
      </c>
      <c r="U299" s="33">
        <f>-'Output_Standalone (IDR)'!V485</f>
        <v>0</v>
      </c>
    </row>
    <row r="300" spans="2:21">
      <c r="B300" s="407" t="s">
        <v>308</v>
      </c>
      <c r="F300" s="19">
        <v>40</v>
      </c>
    </row>
    <row r="301" spans="2:21">
      <c r="B301" s="28" t="s">
        <v>204</v>
      </c>
      <c r="C301" s="28"/>
      <c r="D301" s="28"/>
      <c r="E301" s="28"/>
      <c r="F301" s="28"/>
      <c r="G301" s="28"/>
      <c r="H301" s="28"/>
      <c r="I301" s="47">
        <f t="shared" ref="I301:R301" si="93">I299*$F300/I$3</f>
        <v>0</v>
      </c>
      <c r="J301" s="47">
        <f t="shared" si="93"/>
        <v>0</v>
      </c>
      <c r="K301" s="47">
        <f t="shared" si="93"/>
        <v>0</v>
      </c>
      <c r="L301" s="47">
        <f t="shared" si="93"/>
        <v>0</v>
      </c>
      <c r="M301" s="47">
        <f t="shared" si="93"/>
        <v>0</v>
      </c>
      <c r="N301" s="47">
        <f t="shared" si="93"/>
        <v>0</v>
      </c>
      <c r="O301" s="47">
        <f t="shared" si="93"/>
        <v>0</v>
      </c>
      <c r="P301" s="47">
        <f t="shared" si="93"/>
        <v>0</v>
      </c>
      <c r="Q301" s="47">
        <f t="shared" si="93"/>
        <v>0</v>
      </c>
      <c r="R301" s="47">
        <f t="shared" si="93"/>
        <v>0</v>
      </c>
      <c r="S301" s="47">
        <f>S299*$F300/S$3</f>
        <v>0</v>
      </c>
      <c r="T301" s="47">
        <f>T299*$F300/T$3</f>
        <v>0</v>
      </c>
      <c r="U301" s="47">
        <f>U299*$F300/U$3</f>
        <v>0</v>
      </c>
    </row>
    <row r="302" spans="2:21">
      <c r="I302" s="21"/>
    </row>
    <row r="303" spans="2:21">
      <c r="B303" s="407" t="s">
        <v>309</v>
      </c>
      <c r="I303" s="21"/>
    </row>
    <row r="304" spans="2:21">
      <c r="B304" s="407" t="s">
        <v>307</v>
      </c>
      <c r="I304" s="50">
        <f>I299</f>
        <v>0</v>
      </c>
      <c r="J304" s="50">
        <f t="shared" ref="J304:R304" si="94">J299</f>
        <v>0</v>
      </c>
      <c r="K304" s="50">
        <f t="shared" si="94"/>
        <v>0</v>
      </c>
      <c r="L304" s="50">
        <f t="shared" si="94"/>
        <v>0</v>
      </c>
      <c r="M304" s="50">
        <f t="shared" si="94"/>
        <v>0</v>
      </c>
      <c r="N304" s="50">
        <f t="shared" si="94"/>
        <v>0</v>
      </c>
      <c r="O304" s="50">
        <f t="shared" si="94"/>
        <v>0</v>
      </c>
      <c r="P304" s="50">
        <f t="shared" si="94"/>
        <v>0</v>
      </c>
      <c r="Q304" s="50">
        <f t="shared" si="94"/>
        <v>0</v>
      </c>
      <c r="R304" s="50">
        <f t="shared" si="94"/>
        <v>0</v>
      </c>
      <c r="S304" s="50">
        <f>S299</f>
        <v>0</v>
      </c>
      <c r="T304" s="50">
        <f>T299</f>
        <v>0</v>
      </c>
      <c r="U304" s="50">
        <f>U299</f>
        <v>0</v>
      </c>
    </row>
    <row r="305" spans="2:21">
      <c r="B305" s="407" t="s">
        <v>310</v>
      </c>
      <c r="F305" s="19">
        <v>30</v>
      </c>
      <c r="I305" s="19">
        <v>30</v>
      </c>
      <c r="J305" s="19">
        <v>30</v>
      </c>
      <c r="K305" s="19">
        <v>30</v>
      </c>
      <c r="L305" s="19">
        <v>30</v>
      </c>
      <c r="M305" s="19">
        <v>30</v>
      </c>
      <c r="N305" s="19">
        <v>30</v>
      </c>
      <c r="O305" s="19">
        <v>30</v>
      </c>
      <c r="P305" s="19">
        <v>30</v>
      </c>
      <c r="Q305" s="19">
        <v>30</v>
      </c>
      <c r="R305" s="19">
        <v>30</v>
      </c>
      <c r="S305" s="19">
        <v>30</v>
      </c>
      <c r="T305" s="19">
        <v>30</v>
      </c>
      <c r="U305" s="19">
        <v>30</v>
      </c>
    </row>
    <row r="306" spans="2:21">
      <c r="B306" s="28" t="s">
        <v>240</v>
      </c>
      <c r="C306" s="28"/>
      <c r="D306" s="28"/>
      <c r="E306" s="28"/>
      <c r="F306" s="28"/>
      <c r="G306" s="28"/>
      <c r="H306" s="28"/>
      <c r="I306" s="47">
        <f t="shared" ref="I306:R306" si="95">I304*I305/I$3</f>
        <v>0</v>
      </c>
      <c r="J306" s="47">
        <f t="shared" si="95"/>
        <v>0</v>
      </c>
      <c r="K306" s="47">
        <f t="shared" si="95"/>
        <v>0</v>
      </c>
      <c r="L306" s="47">
        <f t="shared" si="95"/>
        <v>0</v>
      </c>
      <c r="M306" s="47">
        <f t="shared" si="95"/>
        <v>0</v>
      </c>
      <c r="N306" s="47">
        <f t="shared" si="95"/>
        <v>0</v>
      </c>
      <c r="O306" s="47">
        <f t="shared" si="95"/>
        <v>0</v>
      </c>
      <c r="P306" s="47">
        <f t="shared" si="95"/>
        <v>0</v>
      </c>
      <c r="Q306" s="47">
        <f t="shared" si="95"/>
        <v>0</v>
      </c>
      <c r="R306" s="47">
        <f t="shared" si="95"/>
        <v>0</v>
      </c>
      <c r="S306" s="47">
        <f>S304*S305/S$3</f>
        <v>0</v>
      </c>
      <c r="T306" s="47">
        <f>T304*T305/T$3</f>
        <v>0</v>
      </c>
      <c r="U306" s="47">
        <f>U304*U305/U$3</f>
        <v>0</v>
      </c>
    </row>
    <row r="308" spans="2:21">
      <c r="B308" t="s">
        <v>300</v>
      </c>
      <c r="I308" s="23">
        <f>SUM(I296,I301,-I306)</f>
        <v>0</v>
      </c>
      <c r="J308" s="23">
        <f t="shared" ref="J308:R308" si="96">SUM(J296,J301,-J306)</f>
        <v>0</v>
      </c>
      <c r="K308" s="23">
        <f t="shared" si="96"/>
        <v>0</v>
      </c>
      <c r="L308" s="23">
        <f t="shared" si="96"/>
        <v>0</v>
      </c>
      <c r="M308" s="23">
        <f t="shared" si="96"/>
        <v>0</v>
      </c>
      <c r="N308" s="23">
        <f t="shared" si="96"/>
        <v>0</v>
      </c>
      <c r="O308" s="23">
        <f t="shared" si="96"/>
        <v>0</v>
      </c>
      <c r="P308" s="23">
        <f t="shared" si="96"/>
        <v>0</v>
      </c>
      <c r="Q308" s="23">
        <f t="shared" si="96"/>
        <v>0</v>
      </c>
      <c r="R308" s="23">
        <f t="shared" si="96"/>
        <v>0</v>
      </c>
      <c r="S308" s="23">
        <f>SUM(S296,S301,-S306)</f>
        <v>0</v>
      </c>
      <c r="T308" s="23">
        <f>SUM(T296,T301,-T306)</f>
        <v>0</v>
      </c>
      <c r="U308" s="23">
        <f>SUM(U296,U301,-U306)</f>
        <v>0</v>
      </c>
    </row>
    <row r="309" spans="2:21">
      <c r="B309" t="s">
        <v>311</v>
      </c>
      <c r="I309" s="23">
        <f t="shared" ref="I309:R309" si="97">H308-I308</f>
        <v>0</v>
      </c>
      <c r="J309" s="23">
        <f t="shared" si="97"/>
        <v>0</v>
      </c>
      <c r="K309" s="23">
        <f t="shared" si="97"/>
        <v>0</v>
      </c>
      <c r="L309" s="23">
        <f t="shared" si="97"/>
        <v>0</v>
      </c>
      <c r="M309" s="23">
        <f t="shared" si="97"/>
        <v>0</v>
      </c>
      <c r="N309" s="23">
        <f t="shared" si="97"/>
        <v>0</v>
      </c>
      <c r="O309" s="23">
        <f t="shared" si="97"/>
        <v>0</v>
      </c>
      <c r="P309" s="23">
        <f t="shared" si="97"/>
        <v>0</v>
      </c>
      <c r="Q309" s="23">
        <f t="shared" si="97"/>
        <v>0</v>
      </c>
      <c r="R309" s="23">
        <f t="shared" si="97"/>
        <v>0</v>
      </c>
      <c r="S309" s="23">
        <f>R308-S308</f>
        <v>0</v>
      </c>
      <c r="T309" s="23">
        <f>S308-T308</f>
        <v>0</v>
      </c>
      <c r="U309" s="23">
        <f>T308-U308</f>
        <v>0</v>
      </c>
    </row>
    <row r="311" spans="2:21" ht="15.75">
      <c r="B311" s="15" t="s">
        <v>758</v>
      </c>
    </row>
    <row r="312" spans="2:21">
      <c r="B312" s="407" t="s">
        <v>434</v>
      </c>
      <c r="I312" s="462">
        <f>'Output_Standalone (IDR)'!J492</f>
        <v>0</v>
      </c>
      <c r="J312">
        <f>'Output_Standalone (IDR)'!K492</f>
        <v>0</v>
      </c>
      <c r="K312">
        <f>'Output_Standalone (IDR)'!L492</f>
        <v>0</v>
      </c>
      <c r="L312">
        <f>'Output_Standalone (IDR)'!M492</f>
        <v>0</v>
      </c>
      <c r="M312">
        <f>'Output_Standalone (IDR)'!N492</f>
        <v>0</v>
      </c>
      <c r="N312">
        <f>'Output_Standalone (IDR)'!O492</f>
        <v>0</v>
      </c>
      <c r="O312">
        <f>'Output_Standalone (IDR)'!P492</f>
        <v>0</v>
      </c>
      <c r="P312">
        <f>'Output_Standalone (IDR)'!Q492</f>
        <v>0</v>
      </c>
      <c r="Q312">
        <f>'Output_Standalone (IDR)'!R492</f>
        <v>0</v>
      </c>
      <c r="R312">
        <f>'Output_Standalone (IDR)'!S492</f>
        <v>0</v>
      </c>
      <c r="S312">
        <f>'Output_Standalone (IDR)'!T492</f>
        <v>0</v>
      </c>
      <c r="T312">
        <f>'Output_Standalone (IDR)'!U492</f>
        <v>0</v>
      </c>
      <c r="U312">
        <f>'Output_Standalone (IDR)'!V492</f>
        <v>0</v>
      </c>
    </row>
    <row r="313" spans="2:21">
      <c r="B313" s="407" t="s">
        <v>759</v>
      </c>
      <c r="I313">
        <f t="shared" ref="I313:R313" si="98">-IF(I312&lt;0,0,I312*22%)</f>
        <v>0</v>
      </c>
      <c r="J313">
        <f t="shared" si="98"/>
        <v>0</v>
      </c>
      <c r="K313">
        <f t="shared" si="98"/>
        <v>0</v>
      </c>
      <c r="L313">
        <f t="shared" si="98"/>
        <v>0</v>
      </c>
      <c r="M313">
        <f t="shared" si="98"/>
        <v>0</v>
      </c>
      <c r="N313">
        <f t="shared" si="98"/>
        <v>0</v>
      </c>
      <c r="O313">
        <f t="shared" si="98"/>
        <v>0</v>
      </c>
      <c r="P313">
        <f t="shared" si="98"/>
        <v>0</v>
      </c>
      <c r="Q313">
        <f t="shared" si="98"/>
        <v>0</v>
      </c>
      <c r="R313">
        <f t="shared" si="98"/>
        <v>0</v>
      </c>
      <c r="S313">
        <f>-IF(S312&lt;0,0,S312*22%)</f>
        <v>0</v>
      </c>
      <c r="T313">
        <f>-IF(T312&lt;0,0,T312*22%)</f>
        <v>0</v>
      </c>
      <c r="U313">
        <f>-IF(U312&lt;0,0,U312*22%)</f>
        <v>0</v>
      </c>
    </row>
    <row r="314" spans="2:21">
      <c r="B314" s="437" t="s">
        <v>760</v>
      </c>
      <c r="I314">
        <f>-'Output_Standalone (IDR)'!J491</f>
        <v>0</v>
      </c>
      <c r="J314">
        <f>-'Output_Standalone (IDR)'!K491</f>
        <v>0</v>
      </c>
      <c r="K314">
        <f>-'Output_Standalone (IDR)'!L491</f>
        <v>0</v>
      </c>
      <c r="L314">
        <f>-'Output_Standalone (IDR)'!M491</f>
        <v>0</v>
      </c>
      <c r="M314">
        <f>-'Output_Standalone (IDR)'!N491</f>
        <v>0</v>
      </c>
      <c r="N314">
        <f>-'Output_Standalone (IDR)'!O491</f>
        <v>0</v>
      </c>
      <c r="O314">
        <f>-'Output_Standalone (IDR)'!P491</f>
        <v>0</v>
      </c>
      <c r="P314">
        <f>-'Output_Standalone (IDR)'!Q491</f>
        <v>0</v>
      </c>
      <c r="Q314">
        <f>-'Output_Standalone (IDR)'!R491</f>
        <v>0</v>
      </c>
      <c r="R314">
        <f>-'Output_Standalone (IDR)'!S491</f>
        <v>0</v>
      </c>
      <c r="S314">
        <f>-'Output_Standalone (IDR)'!T491</f>
        <v>0</v>
      </c>
      <c r="T314">
        <f>-'Output_Standalone (IDR)'!U491</f>
        <v>0</v>
      </c>
      <c r="U314">
        <f>-'Output_Standalone (IDR)'!V491</f>
        <v>0</v>
      </c>
    </row>
    <row r="315" spans="2:21">
      <c r="B315" s="407" t="s">
        <v>219</v>
      </c>
      <c r="I315">
        <f>-Calculation_FSL!J1481*USD_IDR/Thousands</f>
        <v>0</v>
      </c>
      <c r="J315">
        <f>-Calculation_FSL!K1481*USD_IDR/Thousands</f>
        <v>0</v>
      </c>
      <c r="K315">
        <f>-Calculation_FSL!L1481*USD_IDR/Thousands</f>
        <v>0</v>
      </c>
      <c r="L315" s="462">
        <f>-Calculation_FSL!M1481*USD_IDR/Thousands</f>
        <v>0</v>
      </c>
      <c r="M315">
        <f>-Calculation_FSL!N1481*USD_IDR/Thousands</f>
        <v>0</v>
      </c>
      <c r="N315">
        <f>-Calculation_FSL!O1481*USD_IDR/Thousands</f>
        <v>0</v>
      </c>
      <c r="O315">
        <f>-Calculation_FSL!P1481*USD_IDR/Thousands</f>
        <v>0</v>
      </c>
      <c r="P315">
        <f>-Calculation_FSL!Q1481*USD_IDR/Thousands</f>
        <v>0</v>
      </c>
      <c r="Q315">
        <f>-Calculation_FSL!R1481*USD_IDR/Thousands</f>
        <v>0</v>
      </c>
      <c r="R315">
        <f>-Calculation_FSL!S1481*USD_IDR/Thousands</f>
        <v>0</v>
      </c>
      <c r="S315">
        <f>-Calculation_FSL!T1481*USD_IDR/Thousands</f>
        <v>0</v>
      </c>
      <c r="T315">
        <f>-Calculation_FSL!U1481*USD_IDR/Thousands</f>
        <v>0</v>
      </c>
      <c r="U315">
        <f>-Calculation_FSL!V1481*USD_IDR/Thousands</f>
        <v>0</v>
      </c>
    </row>
    <row r="316" spans="2:21">
      <c r="B316" s="407" t="s">
        <v>311</v>
      </c>
      <c r="I316">
        <f t="shared" ref="I316:R316" si="99">I309</f>
        <v>0</v>
      </c>
      <c r="J316">
        <f t="shared" si="99"/>
        <v>0</v>
      </c>
      <c r="K316">
        <f t="shared" si="99"/>
        <v>0</v>
      </c>
      <c r="L316">
        <f t="shared" si="99"/>
        <v>0</v>
      </c>
      <c r="M316">
        <f t="shared" si="99"/>
        <v>0</v>
      </c>
      <c r="N316">
        <f t="shared" si="99"/>
        <v>0</v>
      </c>
      <c r="O316">
        <f t="shared" si="99"/>
        <v>0</v>
      </c>
      <c r="P316">
        <f t="shared" si="99"/>
        <v>0</v>
      </c>
      <c r="Q316">
        <f t="shared" si="99"/>
        <v>0</v>
      </c>
      <c r="R316">
        <f t="shared" si="99"/>
        <v>0</v>
      </c>
      <c r="S316">
        <f>S309</f>
        <v>0</v>
      </c>
      <c r="T316">
        <f>T309</f>
        <v>0</v>
      </c>
      <c r="U316">
        <f>U309</f>
        <v>0</v>
      </c>
    </row>
    <row r="317" spans="2:21">
      <c r="B317" s="28" t="s">
        <v>761</v>
      </c>
      <c r="C317" s="28"/>
      <c r="D317" s="28"/>
      <c r="E317" s="28"/>
      <c r="F317" s="28"/>
      <c r="G317" s="28"/>
      <c r="H317" s="28"/>
      <c r="I317" s="47">
        <f>SUM(I312:I316)</f>
        <v>0</v>
      </c>
      <c r="J317" s="47">
        <f t="shared" ref="J317:R317" si="100">SUM(J312:J316)</f>
        <v>0</v>
      </c>
      <c r="K317" s="47">
        <f t="shared" si="100"/>
        <v>0</v>
      </c>
      <c r="L317" s="47">
        <f t="shared" si="100"/>
        <v>0</v>
      </c>
      <c r="M317" s="47">
        <f t="shared" si="100"/>
        <v>0</v>
      </c>
      <c r="N317" s="47">
        <f t="shared" si="100"/>
        <v>0</v>
      </c>
      <c r="O317" s="47">
        <f t="shared" si="100"/>
        <v>0</v>
      </c>
      <c r="P317" s="47">
        <f t="shared" si="100"/>
        <v>0</v>
      </c>
      <c r="Q317" s="47">
        <f t="shared" si="100"/>
        <v>0</v>
      </c>
      <c r="R317" s="47">
        <f t="shared" si="100"/>
        <v>0</v>
      </c>
      <c r="S317" s="47">
        <f>SUM(S312:S316)</f>
        <v>0</v>
      </c>
      <c r="T317" s="47">
        <f>SUM(T312:T316)</f>
        <v>0</v>
      </c>
      <c r="U317" s="47">
        <f>SUM(U312:U316)</f>
        <v>0</v>
      </c>
    </row>
    <row r="319" spans="2:21">
      <c r="B319" t="s">
        <v>52</v>
      </c>
      <c r="F319" s="19"/>
    </row>
    <row r="320" spans="2:21">
      <c r="B320" s="28" t="s">
        <v>762</v>
      </c>
      <c r="C320" s="28"/>
      <c r="D320" s="28"/>
      <c r="E320" s="28"/>
      <c r="F320" s="28"/>
      <c r="G320" s="28"/>
      <c r="H320" s="28"/>
      <c r="I320" s="47">
        <f t="shared" ref="I320:R320" si="101">SUM(I317,J319)</f>
        <v>0</v>
      </c>
      <c r="J320" s="47">
        <f t="shared" si="101"/>
        <v>0</v>
      </c>
      <c r="K320" s="47">
        <f t="shared" si="101"/>
        <v>0</v>
      </c>
      <c r="L320" s="47">
        <f t="shared" si="101"/>
        <v>0</v>
      </c>
      <c r="M320" s="47">
        <f t="shared" si="101"/>
        <v>0</v>
      </c>
      <c r="N320" s="47">
        <f t="shared" si="101"/>
        <v>0</v>
      </c>
      <c r="O320" s="47">
        <f t="shared" si="101"/>
        <v>0</v>
      </c>
      <c r="P320" s="47">
        <f t="shared" si="101"/>
        <v>0</v>
      </c>
      <c r="Q320" s="47">
        <f t="shared" si="101"/>
        <v>0</v>
      </c>
      <c r="R320" s="47">
        <f t="shared" si="101"/>
        <v>0</v>
      </c>
      <c r="S320" s="47">
        <f>SUM(S317,T319)</f>
        <v>0</v>
      </c>
      <c r="T320" s="47">
        <f>SUM(T317,U319)</f>
        <v>0</v>
      </c>
      <c r="U320" s="47">
        <f>SUM(U317,V319)</f>
        <v>0</v>
      </c>
    </row>
    <row r="322" spans="2:21">
      <c r="B322" t="s">
        <v>763</v>
      </c>
      <c r="I322">
        <f>SUM($I$317:I317)</f>
        <v>0</v>
      </c>
      <c r="J322">
        <f>SUM($I$317:J317)</f>
        <v>0</v>
      </c>
      <c r="K322">
        <f>SUM($I$317:K317)</f>
        <v>0</v>
      </c>
      <c r="L322">
        <f>SUM($I$317:L317)</f>
        <v>0</v>
      </c>
      <c r="M322">
        <f>SUM($I$317:M317)</f>
        <v>0</v>
      </c>
      <c r="N322">
        <f>SUM($I$317:N317)</f>
        <v>0</v>
      </c>
      <c r="O322">
        <f>SUM($I$317:O317)</f>
        <v>0</v>
      </c>
      <c r="P322">
        <f>SUM($I$317:P317)</f>
        <v>0</v>
      </c>
      <c r="Q322">
        <f>SUM($I$317:Q317)</f>
        <v>0</v>
      </c>
      <c r="R322">
        <f>SUM($I$317:R317)</f>
        <v>0</v>
      </c>
      <c r="S322">
        <f>SUM($I$317:S317)</f>
        <v>0</v>
      </c>
      <c r="T322">
        <f>SUM($I$317:T317)</f>
        <v>0</v>
      </c>
      <c r="U322">
        <f>SUM($I$317:U317)</f>
        <v>0</v>
      </c>
    </row>
    <row r="323" spans="2:21">
      <c r="B323" t="s">
        <v>764</v>
      </c>
      <c r="H323">
        <f>SUM(I323:U323)</f>
        <v>0</v>
      </c>
      <c r="I323" s="13">
        <f>IF(I322&lt;0,1,0)</f>
        <v>0</v>
      </c>
      <c r="J323" s="13">
        <f t="shared" ref="J323:R323" si="102">IF(J322&lt;0,1,0)</f>
        <v>0</v>
      </c>
      <c r="K323" s="13">
        <f t="shared" si="102"/>
        <v>0</v>
      </c>
      <c r="L323" s="13">
        <f t="shared" si="102"/>
        <v>0</v>
      </c>
      <c r="M323" s="13">
        <f t="shared" si="102"/>
        <v>0</v>
      </c>
      <c r="N323" s="13">
        <f t="shared" si="102"/>
        <v>0</v>
      </c>
      <c r="O323" s="13">
        <f t="shared" si="102"/>
        <v>0</v>
      </c>
      <c r="P323" s="13">
        <f t="shared" si="102"/>
        <v>0</v>
      </c>
      <c r="Q323" s="13">
        <f t="shared" si="102"/>
        <v>0</v>
      </c>
      <c r="R323" s="13">
        <f t="shared" si="102"/>
        <v>0</v>
      </c>
      <c r="S323" s="13">
        <f>IF(S322&lt;0,1,0)</f>
        <v>0</v>
      </c>
      <c r="T323" s="13">
        <f>IF(T322&lt;0,1,0)</f>
        <v>0</v>
      </c>
      <c r="U323" s="13">
        <f>IF(U322&lt;0,1,0)</f>
        <v>0</v>
      </c>
    </row>
    <row r="324" spans="2:21">
      <c r="B324" t="s">
        <v>765</v>
      </c>
      <c r="I324" s="13">
        <f t="shared" ref="I324:R324" si="103">IF(AND(H323=1,I323=0),IF(MAX(I322,0),1),0)</f>
        <v>0</v>
      </c>
      <c r="J324" s="13">
        <f t="shared" si="103"/>
        <v>0</v>
      </c>
      <c r="K324" s="13">
        <f t="shared" si="103"/>
        <v>0</v>
      </c>
      <c r="L324" s="13">
        <f t="shared" si="103"/>
        <v>0</v>
      </c>
      <c r="M324" s="13">
        <f t="shared" si="103"/>
        <v>0</v>
      </c>
      <c r="N324" s="13">
        <f t="shared" si="103"/>
        <v>0</v>
      </c>
      <c r="O324" s="13">
        <f t="shared" si="103"/>
        <v>0</v>
      </c>
      <c r="P324" s="13">
        <f t="shared" si="103"/>
        <v>0</v>
      </c>
      <c r="Q324" s="13">
        <f t="shared" si="103"/>
        <v>0</v>
      </c>
      <c r="R324" s="13">
        <f t="shared" si="103"/>
        <v>0</v>
      </c>
      <c r="S324" s="13">
        <f>IF(AND(R323=1,S323=0),IF(MAX(S322,0),1),0)</f>
        <v>0</v>
      </c>
      <c r="T324" s="13">
        <f>IF(AND(S323=1,T323=0),IF(MAX(T322,0),1),0)</f>
        <v>0</v>
      </c>
      <c r="U324" s="13">
        <f>IF(AND(T323=1,U323=0),IF(MAX(U322,0),1),0)</f>
        <v>0</v>
      </c>
    </row>
    <row r="325" spans="2:21">
      <c r="B325" t="s">
        <v>766</v>
      </c>
      <c r="H325" s="22">
        <f>SUM(I325:U325)</f>
        <v>0</v>
      </c>
      <c r="I325" s="22">
        <f t="shared" ref="I325:R325" si="104">IF(I324=1,-H322/I320,0)</f>
        <v>0</v>
      </c>
      <c r="J325" s="22">
        <f t="shared" si="104"/>
        <v>0</v>
      </c>
      <c r="K325" s="22">
        <f t="shared" si="104"/>
        <v>0</v>
      </c>
      <c r="L325" s="22">
        <f t="shared" si="104"/>
        <v>0</v>
      </c>
      <c r="M325" s="22">
        <f t="shared" si="104"/>
        <v>0</v>
      </c>
      <c r="N325" s="22">
        <f t="shared" si="104"/>
        <v>0</v>
      </c>
      <c r="O325" s="22">
        <f t="shared" si="104"/>
        <v>0</v>
      </c>
      <c r="P325" s="22">
        <f t="shared" si="104"/>
        <v>0</v>
      </c>
      <c r="Q325" s="22">
        <f t="shared" si="104"/>
        <v>0</v>
      </c>
      <c r="R325" s="22">
        <f t="shared" si="104"/>
        <v>0</v>
      </c>
      <c r="S325" s="22">
        <f>IF(S324=1,-R322/S320,0)</f>
        <v>0</v>
      </c>
      <c r="T325" s="22">
        <f>IF(T324=1,-S322/T320,0)</f>
        <v>0</v>
      </c>
      <c r="U325" s="22">
        <f>IF(U324=1,-T322/U320,0)</f>
        <v>0</v>
      </c>
    </row>
    <row r="328" spans="2:21" ht="15.75">
      <c r="B328" s="15" t="s">
        <v>767</v>
      </c>
    </row>
    <row r="329" spans="2:21">
      <c r="B329" s="44" t="s">
        <v>54</v>
      </c>
      <c r="F329" s="21"/>
      <c r="H329" s="18">
        <f>IFERROR(IRR(I320:U320),0)</f>
        <v>0</v>
      </c>
    </row>
    <row r="330" spans="2:21">
      <c r="B330" s="44" t="s">
        <v>768</v>
      </c>
      <c r="F330" s="22"/>
      <c r="H330" s="46">
        <f>SUM(H323,H325)</f>
        <v>0</v>
      </c>
    </row>
    <row r="333" spans="2:21" ht="15.75">
      <c r="B333" s="15" t="s">
        <v>774</v>
      </c>
    </row>
    <row r="334" spans="2:21">
      <c r="B334" t="s">
        <v>300</v>
      </c>
    </row>
    <row r="335" spans="2:21">
      <c r="B335" s="407" t="s">
        <v>302</v>
      </c>
      <c r="I335" s="21"/>
    </row>
    <row r="336" spans="2:21">
      <c r="B336" s="407" t="s">
        <v>9</v>
      </c>
      <c r="I336" s="50">
        <f>SUM(I7,I48,I89,I130,I212,I253,I294)</f>
        <v>22.243500000000001</v>
      </c>
      <c r="J336" s="50">
        <f t="shared" ref="J336:R336" si="105">SUM(J7,J48,J89,J130,J212,J253,J294)</f>
        <v>154.72301409619203</v>
      </c>
      <c r="K336" s="50">
        <f t="shared" si="105"/>
        <v>218.83450243157776</v>
      </c>
      <c r="L336" s="50">
        <f t="shared" si="105"/>
        <v>267.29028203055515</v>
      </c>
      <c r="M336" s="50">
        <f t="shared" si="105"/>
        <v>335.10225054392447</v>
      </c>
      <c r="N336" s="50">
        <f t="shared" si="105"/>
        <v>380.58706098810171</v>
      </c>
      <c r="O336" s="50">
        <f t="shared" si="105"/>
        <v>399.10110619570077</v>
      </c>
      <c r="P336" s="50">
        <f t="shared" si="105"/>
        <v>437.64855444433312</v>
      </c>
      <c r="Q336" s="50">
        <f t="shared" si="105"/>
        <v>455.86549295046791</v>
      </c>
      <c r="R336" s="50">
        <f t="shared" si="105"/>
        <v>496.09436850026759</v>
      </c>
      <c r="S336" s="50">
        <f>SUM(S7,S48,S89,S130,S212,S253,S294)</f>
        <v>516.87678200891366</v>
      </c>
      <c r="T336" s="50">
        <f>SUM(T7,T48,T89,T130,T212,T253,T294)</f>
        <v>513.49537363816773</v>
      </c>
      <c r="U336" s="50">
        <f>SUM(U7,U48,U89,U130,U212,U253,U294)</f>
        <v>532.99505414178554</v>
      </c>
    </row>
    <row r="337" spans="2:21">
      <c r="B337" s="407" t="s">
        <v>303</v>
      </c>
      <c r="F337" s="19">
        <v>45</v>
      </c>
      <c r="I337" s="19">
        <v>45</v>
      </c>
      <c r="J337" s="19">
        <v>45</v>
      </c>
      <c r="K337" s="19">
        <v>45</v>
      </c>
      <c r="L337" s="19">
        <v>45</v>
      </c>
      <c r="M337" s="19">
        <v>45</v>
      </c>
      <c r="N337" s="19">
        <v>45</v>
      </c>
      <c r="O337" s="19">
        <v>45</v>
      </c>
      <c r="P337" s="19">
        <v>45</v>
      </c>
      <c r="Q337" s="19">
        <v>45</v>
      </c>
      <c r="R337" s="19">
        <v>45</v>
      </c>
      <c r="S337" s="19">
        <v>45</v>
      </c>
      <c r="T337" s="19">
        <v>45</v>
      </c>
      <c r="U337" s="19">
        <v>45</v>
      </c>
    </row>
    <row r="338" spans="2:21">
      <c r="B338" s="28" t="s">
        <v>304</v>
      </c>
      <c r="C338" s="28"/>
      <c r="D338" s="28"/>
      <c r="E338" s="28"/>
      <c r="F338" s="28"/>
      <c r="G338" s="28"/>
      <c r="H338" s="28"/>
      <c r="I338" s="47">
        <f t="shared" ref="I338:R338" si="106">I336*I337/I$3</f>
        <v>2.7348565573770496</v>
      </c>
      <c r="J338" s="47">
        <f t="shared" si="106"/>
        <v>19.075440094051071</v>
      </c>
      <c r="K338" s="47">
        <f t="shared" si="106"/>
        <v>26.97959619019452</v>
      </c>
      <c r="L338" s="47">
        <f t="shared" si="106"/>
        <v>32.953596414725979</v>
      </c>
      <c r="M338" s="47">
        <f t="shared" si="106"/>
        <v>41.201096378351373</v>
      </c>
      <c r="N338" s="47">
        <f t="shared" si="106"/>
        <v>46.921692450587877</v>
      </c>
      <c r="O338" s="47">
        <f t="shared" si="106"/>
        <v>49.204245969332966</v>
      </c>
      <c r="P338" s="47">
        <f t="shared" si="106"/>
        <v>53.956671095876686</v>
      </c>
      <c r="Q338" s="47">
        <f t="shared" si="106"/>
        <v>56.049036018500153</v>
      </c>
      <c r="R338" s="47">
        <f t="shared" si="106"/>
        <v>61.162319404142579</v>
      </c>
      <c r="S338" s="47">
        <f>S336*S337/S$3</f>
        <v>63.724534768222227</v>
      </c>
      <c r="T338" s="47">
        <f>T336*T337/T$3</f>
        <v>63.307648804705607</v>
      </c>
      <c r="U338" s="47">
        <f>U336*U337/U$3</f>
        <v>65.532178787924451</v>
      </c>
    </row>
    <row r="339" spans="2:21">
      <c r="I339" s="21"/>
    </row>
    <row r="340" spans="2:21">
      <c r="B340" s="407" t="s">
        <v>306</v>
      </c>
      <c r="I340" s="21"/>
    </row>
    <row r="341" spans="2:21">
      <c r="B341" s="407" t="s">
        <v>307</v>
      </c>
      <c r="I341" s="33">
        <f>SUM(I12,I53,I94,I135,I217,I258,I299)</f>
        <v>8.0261410826860775</v>
      </c>
      <c r="J341" s="33">
        <f t="shared" ref="J341:R341" si="107">SUM(J12,J53,J94,J135,J217,J258,J299)</f>
        <v>20.297793358631878</v>
      </c>
      <c r="K341" s="33">
        <f t="shared" si="107"/>
        <v>21.978265798928426</v>
      </c>
      <c r="L341" s="33">
        <f t="shared" si="107"/>
        <v>23.850972711234235</v>
      </c>
      <c r="M341" s="33">
        <f t="shared" si="107"/>
        <v>40.259677050623552</v>
      </c>
      <c r="N341" s="33">
        <f t="shared" si="107"/>
        <v>44.916992440572685</v>
      </c>
      <c r="O341" s="33">
        <f t="shared" si="107"/>
        <v>48.459637988531895</v>
      </c>
      <c r="P341" s="33">
        <f t="shared" si="107"/>
        <v>53.173185724676685</v>
      </c>
      <c r="Q341" s="33">
        <f t="shared" si="107"/>
        <v>56.575937191731306</v>
      </c>
      <c r="R341" s="33">
        <f t="shared" si="107"/>
        <v>60.156749253226401</v>
      </c>
      <c r="S341" s="33">
        <f>SUM(S12,S53,S94,S135,S217,S258,S299)</f>
        <v>63.974771126462869</v>
      </c>
      <c r="T341" s="33">
        <f>SUM(T12,T53,T94,T135,T217,T258,T299)</f>
        <v>66.822099873488582</v>
      </c>
      <c r="U341" s="33">
        <f>SUM(U12,U53,U94,U135,U217,U258,U299)</f>
        <v>70.941561329933535</v>
      </c>
    </row>
    <row r="342" spans="2:21">
      <c r="B342" s="407" t="s">
        <v>308</v>
      </c>
      <c r="F342" s="19">
        <v>40</v>
      </c>
    </row>
    <row r="343" spans="2:21">
      <c r="B343" s="28" t="s">
        <v>204</v>
      </c>
      <c r="C343" s="28"/>
      <c r="D343" s="28"/>
      <c r="E343" s="28"/>
      <c r="F343" s="28"/>
      <c r="G343" s="28"/>
      <c r="H343" s="28"/>
      <c r="I343" s="47">
        <f t="shared" ref="I343:R343" si="108">I341*$F342/I$3</f>
        <v>0.87717388881815062</v>
      </c>
      <c r="J343" s="47">
        <f t="shared" si="108"/>
        <v>2.2244157105350002</v>
      </c>
      <c r="K343" s="47">
        <f t="shared" si="108"/>
        <v>2.4085770738551697</v>
      </c>
      <c r="L343" s="47">
        <f t="shared" si="108"/>
        <v>2.6138052286284092</v>
      </c>
      <c r="M343" s="47">
        <f t="shared" si="108"/>
        <v>4.3999647049861812</v>
      </c>
      <c r="N343" s="47">
        <f t="shared" si="108"/>
        <v>4.9224101304737191</v>
      </c>
      <c r="O343" s="47">
        <f t="shared" si="108"/>
        <v>5.3106452590171935</v>
      </c>
      <c r="P343" s="47">
        <f t="shared" si="108"/>
        <v>5.827198435581006</v>
      </c>
      <c r="Q343" s="47">
        <f t="shared" si="108"/>
        <v>6.1831625346154429</v>
      </c>
      <c r="R343" s="47">
        <f t="shared" si="108"/>
        <v>6.5925204661070032</v>
      </c>
      <c r="S343" s="47">
        <f>S341*$F342/S$3</f>
        <v>7.0109338220781225</v>
      </c>
      <c r="T343" s="47">
        <f>T341*$F342/T$3</f>
        <v>7.3229698491494339</v>
      </c>
      <c r="U343" s="47">
        <f>U341*$F342/U$3</f>
        <v>7.7531761016320795</v>
      </c>
    </row>
    <row r="344" spans="2:21">
      <c r="I344" s="21"/>
    </row>
    <row r="345" spans="2:21">
      <c r="B345" s="407" t="s">
        <v>309</v>
      </c>
      <c r="I345" s="21"/>
    </row>
    <row r="346" spans="2:21">
      <c r="B346" s="407" t="s">
        <v>307</v>
      </c>
      <c r="I346" s="50">
        <f>I341</f>
        <v>8.0261410826860775</v>
      </c>
      <c r="J346" s="50">
        <f t="shared" ref="J346:R346" si="109">J341</f>
        <v>20.297793358631878</v>
      </c>
      <c r="K346" s="50">
        <f t="shared" si="109"/>
        <v>21.978265798928426</v>
      </c>
      <c r="L346" s="50">
        <f t="shared" si="109"/>
        <v>23.850972711234235</v>
      </c>
      <c r="M346" s="50">
        <f t="shared" si="109"/>
        <v>40.259677050623552</v>
      </c>
      <c r="N346" s="50">
        <f t="shared" si="109"/>
        <v>44.916992440572685</v>
      </c>
      <c r="O346" s="50">
        <f t="shared" si="109"/>
        <v>48.459637988531895</v>
      </c>
      <c r="P346" s="50">
        <f t="shared" si="109"/>
        <v>53.173185724676685</v>
      </c>
      <c r="Q346" s="50">
        <f t="shared" si="109"/>
        <v>56.575937191731306</v>
      </c>
      <c r="R346" s="50">
        <f t="shared" si="109"/>
        <v>60.156749253226401</v>
      </c>
      <c r="S346" s="50">
        <f>S341</f>
        <v>63.974771126462869</v>
      </c>
      <c r="T346" s="50">
        <f>T341</f>
        <v>66.822099873488582</v>
      </c>
      <c r="U346" s="50">
        <f>U341</f>
        <v>70.941561329933535</v>
      </c>
    </row>
    <row r="347" spans="2:21">
      <c r="B347" s="407" t="s">
        <v>310</v>
      </c>
      <c r="F347" s="19">
        <v>30</v>
      </c>
      <c r="I347" s="19">
        <v>30</v>
      </c>
      <c r="J347" s="19">
        <v>30</v>
      </c>
      <c r="K347" s="19">
        <v>30</v>
      </c>
      <c r="L347" s="19">
        <v>30</v>
      </c>
      <c r="M347" s="19">
        <v>30</v>
      </c>
      <c r="N347" s="19">
        <v>30</v>
      </c>
      <c r="O347" s="19">
        <v>30</v>
      </c>
      <c r="P347" s="19">
        <v>30</v>
      </c>
      <c r="Q347" s="19">
        <v>30</v>
      </c>
      <c r="R347" s="19">
        <v>30</v>
      </c>
      <c r="S347" s="19">
        <v>30</v>
      </c>
      <c r="T347" s="19">
        <v>30</v>
      </c>
      <c r="U347" s="19">
        <v>30</v>
      </c>
    </row>
    <row r="348" spans="2:21">
      <c r="B348" s="28" t="s">
        <v>240</v>
      </c>
      <c r="C348" s="28"/>
      <c r="D348" s="28"/>
      <c r="E348" s="28"/>
      <c r="F348" s="28"/>
      <c r="G348" s="28"/>
      <c r="H348" s="28"/>
      <c r="I348" s="47">
        <f t="shared" ref="I348:R348" si="110">I346*I347/I$3</f>
        <v>0.65788041661361285</v>
      </c>
      <c r="J348" s="47">
        <f t="shared" si="110"/>
        <v>1.6683117829012502</v>
      </c>
      <c r="K348" s="47">
        <f t="shared" si="110"/>
        <v>1.8064328053913776</v>
      </c>
      <c r="L348" s="47">
        <f t="shared" si="110"/>
        <v>1.9603539214713068</v>
      </c>
      <c r="M348" s="47">
        <f t="shared" si="110"/>
        <v>3.2999735287396357</v>
      </c>
      <c r="N348" s="47">
        <f t="shared" si="110"/>
        <v>3.6918075978552891</v>
      </c>
      <c r="O348" s="47">
        <f t="shared" si="110"/>
        <v>3.9829839442628954</v>
      </c>
      <c r="P348" s="47">
        <f t="shared" si="110"/>
        <v>4.3703988266857543</v>
      </c>
      <c r="Q348" s="47">
        <f t="shared" si="110"/>
        <v>4.6373719009615826</v>
      </c>
      <c r="R348" s="47">
        <f t="shared" si="110"/>
        <v>4.9443903495802521</v>
      </c>
      <c r="S348" s="47">
        <f>S346*S347/S$3</f>
        <v>5.2582003665585919</v>
      </c>
      <c r="T348" s="47">
        <f>T346*T347/T$3</f>
        <v>5.4922273868620755</v>
      </c>
      <c r="U348" s="47">
        <f>U346*U347/U$3</f>
        <v>5.8148820762240598</v>
      </c>
    </row>
    <row r="350" spans="2:21">
      <c r="B350" t="s">
        <v>300</v>
      </c>
      <c r="I350" s="23">
        <f>SUM(I338,I343,-I348)</f>
        <v>2.9541500295815872</v>
      </c>
      <c r="J350" s="23">
        <f t="shared" ref="J350:R350" si="111">SUM(J338,J343,-J348)</f>
        <v>19.631544021684824</v>
      </c>
      <c r="K350" s="23">
        <f t="shared" si="111"/>
        <v>27.581740458658313</v>
      </c>
      <c r="L350" s="23">
        <f t="shared" si="111"/>
        <v>33.607047721883077</v>
      </c>
      <c r="M350" s="23">
        <f t="shared" si="111"/>
        <v>42.30108755459792</v>
      </c>
      <c r="N350" s="23">
        <f t="shared" si="111"/>
        <v>48.152294983206311</v>
      </c>
      <c r="O350" s="23">
        <f t="shared" si="111"/>
        <v>50.531907284087261</v>
      </c>
      <c r="P350" s="23">
        <f t="shared" si="111"/>
        <v>55.413470704771939</v>
      </c>
      <c r="Q350" s="23">
        <f t="shared" si="111"/>
        <v>57.594826652154012</v>
      </c>
      <c r="R350" s="23">
        <f t="shared" si="111"/>
        <v>62.81044952066933</v>
      </c>
      <c r="S350" s="23">
        <f>SUM(S338,S343,-S348)</f>
        <v>65.477268223741746</v>
      </c>
      <c r="T350" s="23">
        <f>SUM(T338,T343,-T348)</f>
        <v>65.138391266992969</v>
      </c>
      <c r="U350" s="23">
        <f>SUM(U338,U343,-U348)</f>
        <v>67.470472813332464</v>
      </c>
    </row>
    <row r="351" spans="2:21">
      <c r="B351" t="s">
        <v>311</v>
      </c>
      <c r="I351" s="23">
        <f t="shared" ref="I351:R351" si="112">H350-I350</f>
        <v>-2.9541500295815872</v>
      </c>
      <c r="J351" s="23">
        <f t="shared" si="112"/>
        <v>-16.677393992103237</v>
      </c>
      <c r="K351" s="23">
        <f t="shared" si="112"/>
        <v>-7.9501964369734885</v>
      </c>
      <c r="L351" s="23">
        <f t="shared" si="112"/>
        <v>-6.0253072632247644</v>
      </c>
      <c r="M351" s="23">
        <f t="shared" si="112"/>
        <v>-8.6940398327148429</v>
      </c>
      <c r="N351" s="23">
        <f t="shared" si="112"/>
        <v>-5.8512074286083902</v>
      </c>
      <c r="O351" s="23">
        <f t="shared" si="112"/>
        <v>-2.3796123008809502</v>
      </c>
      <c r="P351" s="23">
        <f t="shared" si="112"/>
        <v>-4.8815634206846781</v>
      </c>
      <c r="Q351" s="23">
        <f t="shared" si="112"/>
        <v>-2.1813559473820732</v>
      </c>
      <c r="R351" s="23">
        <f t="shared" si="112"/>
        <v>-5.2156228685153181</v>
      </c>
      <c r="S351" s="23">
        <f>R350-S350</f>
        <v>-2.6668187030724155</v>
      </c>
      <c r="T351" s="23">
        <f>S350-T350</f>
        <v>0.33887695674877705</v>
      </c>
      <c r="U351" s="23">
        <f>T350-U350</f>
        <v>-2.332081546339495</v>
      </c>
    </row>
    <row r="353" spans="2:21" ht="15.75">
      <c r="B353" s="15" t="s">
        <v>758</v>
      </c>
      <c r="I353" s="22"/>
      <c r="J353" s="22"/>
      <c r="K353" s="22">
        <f t="shared" ref="K353:U353" si="113">17.6*Thousands/USD_IDR*78%</f>
        <v>0.84402090378112515</v>
      </c>
      <c r="L353" s="22">
        <f t="shared" si="113"/>
        <v>0.84402090378112515</v>
      </c>
      <c r="M353" s="22">
        <f t="shared" si="113"/>
        <v>0.84402090378112515</v>
      </c>
      <c r="N353" s="22">
        <f t="shared" si="113"/>
        <v>0.84402090378112515</v>
      </c>
      <c r="O353" s="22">
        <f t="shared" si="113"/>
        <v>0.84402090378112515</v>
      </c>
      <c r="P353" s="22">
        <f t="shared" si="113"/>
        <v>0.84402090378112515</v>
      </c>
      <c r="Q353" s="22">
        <f t="shared" si="113"/>
        <v>0.84402090378112515</v>
      </c>
      <c r="R353" s="22">
        <f t="shared" si="113"/>
        <v>0.84402090378112515</v>
      </c>
      <c r="S353" s="22">
        <f t="shared" si="113"/>
        <v>0.84402090378112515</v>
      </c>
      <c r="T353" s="22">
        <f t="shared" si="113"/>
        <v>0.84402090378112515</v>
      </c>
      <c r="U353" s="22">
        <f t="shared" si="113"/>
        <v>0.84402090378112515</v>
      </c>
    </row>
    <row r="354" spans="2:21">
      <c r="B354" s="407" t="s">
        <v>434</v>
      </c>
      <c r="I354" s="462">
        <f t="shared" ref="I354:R354" si="114">SUM(I25,I66,I107,I148,I230,I271,I312)</f>
        <v>0</v>
      </c>
      <c r="J354">
        <f t="shared" si="114"/>
        <v>6.1621072490048263</v>
      </c>
      <c r="K354">
        <f t="shared" si="114"/>
        <v>23.464166547466561</v>
      </c>
      <c r="L354">
        <f t="shared" si="114"/>
        <v>43.173433779374456</v>
      </c>
      <c r="M354">
        <f t="shared" si="114"/>
        <v>72.583672140275937</v>
      </c>
      <c r="N354">
        <f t="shared" si="114"/>
        <v>92.504470035270742</v>
      </c>
      <c r="O354">
        <f t="shared" si="114"/>
        <v>100.39086094312205</v>
      </c>
      <c r="P354">
        <f t="shared" si="114"/>
        <v>117.49169875268443</v>
      </c>
      <c r="Q354">
        <f t="shared" si="114"/>
        <v>125.39102393040841</v>
      </c>
      <c r="R354">
        <f t="shared" si="114"/>
        <v>143.74758897761456</v>
      </c>
      <c r="S354">
        <f>SUM(S25,S66,S107,S148,S230,S271,S312)</f>
        <v>158.58246965590959</v>
      </c>
      <c r="T354">
        <f>SUM(T25,T66,T107,T148,T230,T271,T312)</f>
        <v>142.84786929439957</v>
      </c>
      <c r="U354">
        <f>SUM(U25,U66,U107,U148,U230,U271,U312)</f>
        <v>150.41344394126071</v>
      </c>
    </row>
    <row r="355" spans="2:21">
      <c r="B355" s="407" t="s">
        <v>759</v>
      </c>
      <c r="I355">
        <f t="shared" ref="I355:R355" si="115">-IF(I354&lt;0,0,I354*22%)</f>
        <v>0</v>
      </c>
      <c r="J355">
        <f t="shared" si="115"/>
        <v>-1.3556635947810618</v>
      </c>
      <c r="K355">
        <f t="shared" si="115"/>
        <v>-5.162116640442644</v>
      </c>
      <c r="L355">
        <f t="shared" si="115"/>
        <v>-9.4981554314623811</v>
      </c>
      <c r="M355">
        <f t="shared" si="115"/>
        <v>-15.968407870860705</v>
      </c>
      <c r="N355">
        <f t="shared" si="115"/>
        <v>-20.350983407759564</v>
      </c>
      <c r="O355">
        <f t="shared" si="115"/>
        <v>-22.085989407486853</v>
      </c>
      <c r="P355">
        <f t="shared" si="115"/>
        <v>-25.848173725590573</v>
      </c>
      <c r="Q355">
        <f t="shared" si="115"/>
        <v>-27.586025264689852</v>
      </c>
      <c r="R355">
        <f t="shared" si="115"/>
        <v>-31.624469575075203</v>
      </c>
      <c r="S355">
        <f>-IF(S354&lt;0,0,S354*22%)</f>
        <v>-34.88814332430011</v>
      </c>
      <c r="T355">
        <f>-IF(T354&lt;0,0,T354*22%)</f>
        <v>-31.426531244767904</v>
      </c>
      <c r="U355">
        <f>-IF(U354&lt;0,0,U354*22%)</f>
        <v>-33.090957667077355</v>
      </c>
    </row>
    <row r="356" spans="2:21">
      <c r="B356" s="437" t="s">
        <v>760</v>
      </c>
      <c r="I356">
        <f t="shared" ref="I356:R356" si="116">SUM(I27,I68,I109,I150,I232,I273,I314)</f>
        <v>0</v>
      </c>
      <c r="J356">
        <f t="shared" si="116"/>
        <v>5.2339742134300007</v>
      </c>
      <c r="K356">
        <f t="shared" si="116"/>
        <v>24.593864487667378</v>
      </c>
      <c r="L356">
        <f t="shared" si="116"/>
        <v>26.168649255952381</v>
      </c>
      <c r="M356">
        <f t="shared" si="116"/>
        <v>33.319586755952379</v>
      </c>
      <c r="N356">
        <f t="shared" si="116"/>
        <v>33.319586755952379</v>
      </c>
      <c r="O356">
        <f t="shared" si="116"/>
        <v>33.319586755952379</v>
      </c>
      <c r="P356">
        <f t="shared" si="116"/>
        <v>33.319586755952379</v>
      </c>
      <c r="Q356">
        <f t="shared" si="116"/>
        <v>33.319586755952379</v>
      </c>
      <c r="R356">
        <f t="shared" si="116"/>
        <v>33.319586755952379</v>
      </c>
      <c r="S356">
        <f t="shared" ref="S356:U357" si="117">SUM(S27,S68,S109,S150,S232,S273,S314)</f>
        <v>27.781741517857142</v>
      </c>
      <c r="T356">
        <f t="shared" si="117"/>
        <v>27.781741517857142</v>
      </c>
      <c r="U356">
        <f t="shared" si="117"/>
        <v>27.781741517857142</v>
      </c>
    </row>
    <row r="357" spans="2:21">
      <c r="B357" s="407" t="s">
        <v>219</v>
      </c>
      <c r="I357">
        <f t="shared" ref="I357:R357" si="118">SUM(I28,I69,I110,I151,I233,I274,I315)</f>
        <v>0</v>
      </c>
      <c r="J357">
        <f t="shared" si="118"/>
        <v>0</v>
      </c>
      <c r="K357">
        <f t="shared" si="118"/>
        <v>-321.78202976190477</v>
      </c>
      <c r="L357" s="462">
        <f t="shared" si="118"/>
        <v>-160.003625</v>
      </c>
      <c r="M357">
        <f t="shared" si="118"/>
        <v>0</v>
      </c>
      <c r="N357">
        <f t="shared" si="118"/>
        <v>0</v>
      </c>
      <c r="O357">
        <f t="shared" si="118"/>
        <v>0</v>
      </c>
      <c r="P357">
        <f t="shared" si="118"/>
        <v>0</v>
      </c>
      <c r="Q357">
        <f t="shared" si="118"/>
        <v>0</v>
      </c>
      <c r="R357">
        <f t="shared" si="118"/>
        <v>0</v>
      </c>
      <c r="S357">
        <f t="shared" si="117"/>
        <v>0</v>
      </c>
      <c r="T357">
        <f t="shared" si="117"/>
        <v>0</v>
      </c>
      <c r="U357">
        <f t="shared" si="117"/>
        <v>0</v>
      </c>
    </row>
    <row r="358" spans="2:21">
      <c r="B358" s="407" t="s">
        <v>311</v>
      </c>
      <c r="I358">
        <f t="shared" ref="I358:R358" si="119">I351</f>
        <v>-2.9541500295815872</v>
      </c>
      <c r="J358">
        <f t="shared" si="119"/>
        <v>-16.677393992103237</v>
      </c>
      <c r="K358">
        <f t="shared" si="119"/>
        <v>-7.9501964369734885</v>
      </c>
      <c r="L358">
        <f t="shared" si="119"/>
        <v>-6.0253072632247644</v>
      </c>
      <c r="M358">
        <f t="shared" si="119"/>
        <v>-8.6940398327148429</v>
      </c>
      <c r="N358">
        <f t="shared" si="119"/>
        <v>-5.8512074286083902</v>
      </c>
      <c r="O358">
        <f t="shared" si="119"/>
        <v>-2.3796123008809502</v>
      </c>
      <c r="P358">
        <f t="shared" si="119"/>
        <v>-4.8815634206846781</v>
      </c>
      <c r="Q358">
        <f t="shared" si="119"/>
        <v>-2.1813559473820732</v>
      </c>
      <c r="R358">
        <f t="shared" si="119"/>
        <v>-5.2156228685153181</v>
      </c>
      <c r="S358">
        <f>S351</f>
        <v>-2.6668187030724155</v>
      </c>
      <c r="T358">
        <f>T351</f>
        <v>0.33887695674877705</v>
      </c>
      <c r="U358">
        <f>U351</f>
        <v>-2.332081546339495</v>
      </c>
    </row>
    <row r="359" spans="2:21">
      <c r="B359" s="28" t="s">
        <v>761</v>
      </c>
      <c r="C359" s="28"/>
      <c r="D359" s="28"/>
      <c r="E359" s="28"/>
      <c r="F359" s="28"/>
      <c r="G359" s="28"/>
      <c r="H359" s="28"/>
      <c r="I359" s="47">
        <f>SUM(I354:I358)</f>
        <v>-2.9541500295815872</v>
      </c>
      <c r="J359" s="47">
        <f t="shared" ref="J359:R359" si="120">SUM(J354:J358)</f>
        <v>-6.6369761244494718</v>
      </c>
      <c r="K359" s="47">
        <f t="shared" si="120"/>
        <v>-286.83631180418695</v>
      </c>
      <c r="L359" s="47">
        <f t="shared" si="120"/>
        <v>-106.1850046593603</v>
      </c>
      <c r="M359" s="47">
        <f t="shared" si="120"/>
        <v>81.240811192652757</v>
      </c>
      <c r="N359" s="47">
        <f t="shared" si="120"/>
        <v>99.621865954855153</v>
      </c>
      <c r="O359" s="47">
        <f t="shared" si="120"/>
        <v>109.24484599070664</v>
      </c>
      <c r="P359" s="47">
        <f t="shared" si="120"/>
        <v>120.08154836236156</v>
      </c>
      <c r="Q359" s="47">
        <f t="shared" si="120"/>
        <v>128.94322947428884</v>
      </c>
      <c r="R359" s="47">
        <f t="shared" si="120"/>
        <v>140.22708328997641</v>
      </c>
      <c r="S359" s="47">
        <f>SUM(S354:S358)</f>
        <v>148.80924914639422</v>
      </c>
      <c r="T359" s="47">
        <f>SUM(T354:T358)</f>
        <v>139.54195652423761</v>
      </c>
      <c r="U359" s="47">
        <f>SUM(U354:U358)</f>
        <v>142.77214624570098</v>
      </c>
    </row>
    <row r="361" spans="2:21">
      <c r="B361" t="s">
        <v>52</v>
      </c>
      <c r="F361" s="19"/>
    </row>
    <row r="362" spans="2:21">
      <c r="B362" s="28" t="s">
        <v>762</v>
      </c>
      <c r="C362" s="28"/>
      <c r="D362" s="28"/>
      <c r="E362" s="28"/>
      <c r="F362" s="28"/>
      <c r="G362" s="28"/>
      <c r="H362" s="28"/>
      <c r="I362" s="47">
        <f t="shared" ref="I362:R362" si="121">SUM(I359,J361)</f>
        <v>-2.9541500295815872</v>
      </c>
      <c r="J362" s="47">
        <f t="shared" si="121"/>
        <v>-6.6369761244494718</v>
      </c>
      <c r="K362" s="47">
        <f t="shared" si="121"/>
        <v>-286.83631180418695</v>
      </c>
      <c r="L362" s="47">
        <f t="shared" si="121"/>
        <v>-106.1850046593603</v>
      </c>
      <c r="M362" s="47">
        <f t="shared" si="121"/>
        <v>81.240811192652757</v>
      </c>
      <c r="N362" s="47">
        <f t="shared" si="121"/>
        <v>99.621865954855153</v>
      </c>
      <c r="O362" s="47">
        <f t="shared" si="121"/>
        <v>109.24484599070664</v>
      </c>
      <c r="P362" s="47">
        <f t="shared" si="121"/>
        <v>120.08154836236156</v>
      </c>
      <c r="Q362" s="47">
        <f t="shared" si="121"/>
        <v>128.94322947428884</v>
      </c>
      <c r="R362" s="47">
        <f t="shared" si="121"/>
        <v>140.22708328997641</v>
      </c>
      <c r="S362" s="47">
        <f>SUM(S359,T361)</f>
        <v>148.80924914639422</v>
      </c>
      <c r="T362" s="47">
        <f>SUM(T359,U361)</f>
        <v>139.54195652423761</v>
      </c>
      <c r="U362" s="47">
        <f>SUM(U359,V361)</f>
        <v>142.77214624570098</v>
      </c>
    </row>
    <row r="364" spans="2:21">
      <c r="B364" t="s">
        <v>763</v>
      </c>
      <c r="I364">
        <f>SUM($I$359:I359)</f>
        <v>-2.9541500295815872</v>
      </c>
      <c r="J364">
        <f>SUM($I$359:J359)</f>
        <v>-9.5911261540310591</v>
      </c>
      <c r="K364">
        <f>SUM($I$359:K359)</f>
        <v>-296.42743795821798</v>
      </c>
      <c r="L364">
        <f>SUM($I$359:L359)</f>
        <v>-402.61244261757827</v>
      </c>
      <c r="M364">
        <f>SUM($I$359:M359)</f>
        <v>-321.37163142492551</v>
      </c>
      <c r="N364">
        <f>SUM($I$359:N359)</f>
        <v>-221.74976547007037</v>
      </c>
      <c r="O364">
        <f>SUM($I$359:O359)</f>
        <v>-112.50491947936374</v>
      </c>
      <c r="P364">
        <f>SUM($I$359:P359)</f>
        <v>7.5766288829978237</v>
      </c>
      <c r="Q364">
        <f>SUM($I$359:Q359)</f>
        <v>136.51985835728667</v>
      </c>
      <c r="R364">
        <f>SUM($I$359:R359)</f>
        <v>276.74694164726304</v>
      </c>
      <c r="S364">
        <f>SUM($I$359:S359)</f>
        <v>425.55619079365727</v>
      </c>
      <c r="T364">
        <f>SUM($I$359:T359)</f>
        <v>565.09814731789493</v>
      </c>
      <c r="U364">
        <f>SUM($I$359:U359)</f>
        <v>707.87029356359585</v>
      </c>
    </row>
    <row r="365" spans="2:21">
      <c r="B365" t="s">
        <v>764</v>
      </c>
      <c r="H365">
        <f>SUM(I365:U365)</f>
        <v>7</v>
      </c>
      <c r="I365" s="13">
        <f>IF(I364&lt;0,1,0)</f>
        <v>1</v>
      </c>
      <c r="J365" s="13">
        <f t="shared" ref="J365:R365" si="122">IF(J364&lt;0,1,0)</f>
        <v>1</v>
      </c>
      <c r="K365" s="13">
        <f t="shared" si="122"/>
        <v>1</v>
      </c>
      <c r="L365" s="13">
        <f t="shared" si="122"/>
        <v>1</v>
      </c>
      <c r="M365" s="13">
        <f t="shared" si="122"/>
        <v>1</v>
      </c>
      <c r="N365" s="13">
        <f t="shared" si="122"/>
        <v>1</v>
      </c>
      <c r="O365" s="13">
        <f t="shared" si="122"/>
        <v>1</v>
      </c>
      <c r="P365" s="13">
        <f t="shared" si="122"/>
        <v>0</v>
      </c>
      <c r="Q365" s="13">
        <f t="shared" si="122"/>
        <v>0</v>
      </c>
      <c r="R365" s="13">
        <f t="shared" si="122"/>
        <v>0</v>
      </c>
      <c r="S365" s="13">
        <f>IF(S364&lt;0,1,0)</f>
        <v>0</v>
      </c>
      <c r="T365" s="13">
        <f>IF(T364&lt;0,1,0)</f>
        <v>0</v>
      </c>
      <c r="U365" s="13">
        <f>IF(U364&lt;0,1,0)</f>
        <v>0</v>
      </c>
    </row>
    <row r="366" spans="2:21">
      <c r="B366" t="s">
        <v>765</v>
      </c>
      <c r="I366" s="13">
        <f t="shared" ref="I366:R366" si="123">IF(AND(H365=1,I365=0),IF(MAX(I364,0),1),0)</f>
        <v>0</v>
      </c>
      <c r="J366" s="13">
        <f t="shared" si="123"/>
        <v>0</v>
      </c>
      <c r="K366" s="13">
        <f t="shared" si="123"/>
        <v>0</v>
      </c>
      <c r="L366" s="13">
        <f t="shared" si="123"/>
        <v>0</v>
      </c>
      <c r="M366" s="13">
        <f t="shared" si="123"/>
        <v>0</v>
      </c>
      <c r="N366" s="13">
        <f t="shared" si="123"/>
        <v>0</v>
      </c>
      <c r="O366" s="13">
        <f t="shared" si="123"/>
        <v>0</v>
      </c>
      <c r="P366" s="13">
        <f t="shared" si="123"/>
        <v>1</v>
      </c>
      <c r="Q366" s="13">
        <f t="shared" si="123"/>
        <v>0</v>
      </c>
      <c r="R366" s="13">
        <f t="shared" si="123"/>
        <v>0</v>
      </c>
      <c r="S366" s="13">
        <f>IF(AND(R365=1,S365=0),IF(MAX(S364,0),1),0)</f>
        <v>0</v>
      </c>
      <c r="T366" s="13">
        <f>IF(AND(S365=1,T365=0),IF(MAX(T364,0),1),0)</f>
        <v>0</v>
      </c>
      <c r="U366" s="13">
        <f>IF(AND(T365=1,U365=0),IF(MAX(U364,0),1),0)</f>
        <v>0</v>
      </c>
    </row>
    <row r="367" spans="2:21">
      <c r="B367" t="s">
        <v>766</v>
      </c>
      <c r="H367" s="22">
        <f>SUM(I367:U367)</f>
        <v>0.9369043038974284</v>
      </c>
      <c r="I367" s="22">
        <f t="shared" ref="I367:R367" si="124">IF(I366=1,-H364/I362,0)</f>
        <v>0</v>
      </c>
      <c r="J367" s="22">
        <f t="shared" si="124"/>
        <v>0</v>
      </c>
      <c r="K367" s="22">
        <f t="shared" si="124"/>
        <v>0</v>
      </c>
      <c r="L367" s="22">
        <f t="shared" si="124"/>
        <v>0</v>
      </c>
      <c r="M367" s="22">
        <f t="shared" si="124"/>
        <v>0</v>
      </c>
      <c r="N367" s="22">
        <f t="shared" si="124"/>
        <v>0</v>
      </c>
      <c r="O367" s="22">
        <f t="shared" si="124"/>
        <v>0</v>
      </c>
      <c r="P367" s="22">
        <f t="shared" si="124"/>
        <v>0.9369043038974284</v>
      </c>
      <c r="Q367" s="22">
        <f t="shared" si="124"/>
        <v>0</v>
      </c>
      <c r="R367" s="22">
        <f t="shared" si="124"/>
        <v>0</v>
      </c>
      <c r="S367" s="22">
        <f>IF(S366=1,-R364/S362,0)</f>
        <v>0</v>
      </c>
      <c r="T367" s="22">
        <f>IF(T366=1,-S364/T362,0)</f>
        <v>0</v>
      </c>
      <c r="U367" s="22">
        <f>IF(U366=1,-T364/U362,0)</f>
        <v>0</v>
      </c>
    </row>
    <row r="370" spans="2:21" ht="15.75">
      <c r="B370" s="15" t="s">
        <v>767</v>
      </c>
      <c r="J370">
        <f>SUM(I357:M357)/USD_IDR*Thousands</f>
        <v>-29.621005518715325</v>
      </c>
    </row>
    <row r="371" spans="2:21">
      <c r="B371" s="44" t="s">
        <v>54</v>
      </c>
      <c r="F371" s="21"/>
      <c r="H371" s="476">
        <f>IRR(I362:U362)</f>
        <v>0.1966488143145475</v>
      </c>
    </row>
    <row r="372" spans="2:21">
      <c r="B372" s="44" t="s">
        <v>768</v>
      </c>
      <c r="F372" s="22"/>
      <c r="H372" s="409">
        <f>SUM(H365,H367)</f>
        <v>7.9369043038974283</v>
      </c>
    </row>
    <row r="376" spans="2:21">
      <c r="I376" s="1">
        <v>-326.40835655737709</v>
      </c>
      <c r="J376" s="1">
        <v>78.899777596743604</v>
      </c>
      <c r="K376" s="1">
        <v>-181.75938426589417</v>
      </c>
      <c r="L376" s="1">
        <v>-439.22927318866977</v>
      </c>
      <c r="M376" s="1">
        <v>22.823784540944025</v>
      </c>
      <c r="N376" s="1">
        <v>310.07469805573328</v>
      </c>
      <c r="O376" s="1">
        <v>409.00708974137945</v>
      </c>
      <c r="P376" s="1">
        <v>467.74925425483883</v>
      </c>
      <c r="Q376" s="1">
        <v>487.69260521908205</v>
      </c>
      <c r="R376" s="1">
        <v>520.01751968115821</v>
      </c>
      <c r="S376" s="1">
        <v>544.08057395288461</v>
      </c>
      <c r="T376" s="1">
        <v>531.92656314533156</v>
      </c>
      <c r="U376" s="1">
        <v>565.71039975998167</v>
      </c>
    </row>
  </sheetData>
  <conditionalFormatting sqref="I36:U37">
    <cfRule type="cellIs" dxfId="30" priority="9" operator="equal">
      <formula>1</formula>
    </cfRule>
  </conditionalFormatting>
  <conditionalFormatting sqref="I77:U78">
    <cfRule type="cellIs" dxfId="29" priority="8" operator="equal">
      <formula>1</formula>
    </cfRule>
  </conditionalFormatting>
  <conditionalFormatting sqref="I118:U119">
    <cfRule type="cellIs" dxfId="28" priority="7" operator="equal">
      <formula>1</formula>
    </cfRule>
  </conditionalFormatting>
  <conditionalFormatting sqref="I159:U160">
    <cfRule type="cellIs" dxfId="27" priority="6" operator="equal">
      <formula>1</formula>
    </cfRule>
  </conditionalFormatting>
  <conditionalFormatting sqref="I241:U242">
    <cfRule type="cellIs" dxfId="26" priority="5" operator="equal">
      <formula>1</formula>
    </cfRule>
  </conditionalFormatting>
  <conditionalFormatting sqref="I282:U283">
    <cfRule type="cellIs" dxfId="25" priority="4" operator="equal">
      <formula>1</formula>
    </cfRule>
  </conditionalFormatting>
  <conditionalFormatting sqref="I323:U324">
    <cfRule type="cellIs" dxfId="24" priority="3" operator="equal">
      <formula>1</formula>
    </cfRule>
  </conditionalFormatting>
  <conditionalFormatting sqref="I365:U366">
    <cfRule type="cellIs" dxfId="23" priority="2" operator="equal">
      <formula>1</formula>
    </cfRule>
  </conditionalFormatting>
  <conditionalFormatting sqref="I200:U201">
    <cfRule type="cellIs" dxfId="22" priority="1" operator="equal">
      <formula>1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8A424-2AAE-4FCD-A62B-02F5C4EA571A}">
  <dimension ref="A2:F8"/>
  <sheetViews>
    <sheetView workbookViewId="0">
      <selection activeCell="A2" sqref="A2"/>
    </sheetView>
  </sheetViews>
  <sheetFormatPr defaultRowHeight="15"/>
  <cols>
    <col min="2" max="2" width="14.85546875" bestFit="1" customWidth="1"/>
  </cols>
  <sheetData>
    <row r="2" spans="1:6">
      <c r="A2" t="s">
        <v>934</v>
      </c>
      <c r="B2">
        <v>100000</v>
      </c>
      <c r="D2" t="s">
        <v>935</v>
      </c>
      <c r="E2" t="s">
        <v>936</v>
      </c>
      <c r="F2" t="s">
        <v>937</v>
      </c>
    </row>
    <row r="3" spans="1:6">
      <c r="A3" t="s">
        <v>938</v>
      </c>
      <c r="B3" s="21">
        <v>0.9</v>
      </c>
    </row>
    <row r="4" spans="1:6">
      <c r="B4">
        <f>B2*B3</f>
        <v>90000</v>
      </c>
    </row>
    <row r="5" spans="1:6">
      <c r="B5">
        <f>B4/16</f>
        <v>5625</v>
      </c>
      <c r="C5" t="s">
        <v>939</v>
      </c>
    </row>
    <row r="6" spans="1:6">
      <c r="B6">
        <f>B5*2500</f>
        <v>14062500</v>
      </c>
    </row>
    <row r="7" spans="1:6">
      <c r="B7">
        <f>B6*30</f>
        <v>421875000</v>
      </c>
    </row>
    <row r="8" spans="1:6">
      <c r="B8">
        <f>B7*12</f>
        <v>5062500000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FE34B-A648-4241-98EF-7028F41B8A36}">
  <sheetPr codeName="Sheet11">
    <tabColor theme="0" tint="-0.249977111117893"/>
  </sheetPr>
  <dimension ref="B1:V139"/>
  <sheetViews>
    <sheetView showGridLines="0" tabSelected="1" zoomScale="71" workbookViewId="0">
      <pane xSplit="9" ySplit="14" topLeftCell="J72" activePane="bottomRight" state="frozen"/>
      <selection pane="topRight" activeCell="H90" sqref="H90"/>
      <selection pane="bottomLeft" activeCell="H90" sqref="H90"/>
      <selection pane="bottomRight" activeCell="V44" sqref="V44"/>
    </sheetView>
  </sheetViews>
  <sheetFormatPr defaultColWidth="0" defaultRowHeight="15" customHeight="1" zeroHeight="1" outlineLevelRow="1"/>
  <cols>
    <col min="1" max="1" width="3" style="315" customWidth="1"/>
    <col min="2" max="4" width="9.140625" style="315" customWidth="1"/>
    <col min="5" max="5" width="15.28515625" style="315" customWidth="1"/>
    <col min="6" max="6" width="15.42578125" style="315" bestFit="1" customWidth="1"/>
    <col min="7" max="7" width="17.85546875" style="315" bestFit="1" customWidth="1"/>
    <col min="8" max="8" width="35.42578125" style="315" hidden="1" customWidth="1"/>
    <col min="9" max="22" width="14.7109375" style="315" customWidth="1"/>
    <col min="23" max="23" width="10.5703125" style="315" customWidth="1"/>
    <col min="24" max="16384" width="0" style="315" hidden="1"/>
  </cols>
  <sheetData>
    <row r="1" spans="2:22" s="322" customFormat="1" ht="23.25">
      <c r="B1" s="321" t="s">
        <v>1046</v>
      </c>
    </row>
    <row r="2" spans="2:22" ht="15.75">
      <c r="B2" s="323" t="s">
        <v>1047</v>
      </c>
      <c r="D2" s="324">
        <v>0</v>
      </c>
    </row>
    <row r="3" spans="2:22"/>
    <row r="4" spans="2:22">
      <c r="B4" s="315" t="s">
        <v>29</v>
      </c>
      <c r="D4" s="324">
        <v>1</v>
      </c>
      <c r="F4" s="110">
        <f>SUM(I114:I115)</f>
        <v>0</v>
      </c>
    </row>
    <row r="5" spans="2:22"/>
    <row r="6" spans="2:22">
      <c r="B6" s="315" t="s">
        <v>30</v>
      </c>
      <c r="J6" s="325">
        <f>I7+1</f>
        <v>45292</v>
      </c>
      <c r="K6" s="325">
        <f t="shared" ref="K6:V6" si="0">J7+1</f>
        <v>45658</v>
      </c>
      <c r="L6" s="325">
        <f t="shared" si="0"/>
        <v>46023</v>
      </c>
      <c r="M6" s="325">
        <f t="shared" si="0"/>
        <v>46388</v>
      </c>
      <c r="N6" s="325">
        <f t="shared" si="0"/>
        <v>46753</v>
      </c>
      <c r="O6" s="325">
        <f t="shared" si="0"/>
        <v>47119</v>
      </c>
      <c r="P6" s="325">
        <f t="shared" si="0"/>
        <v>47484</v>
      </c>
      <c r="Q6" s="325">
        <f t="shared" si="0"/>
        <v>47849</v>
      </c>
      <c r="R6" s="325">
        <f t="shared" si="0"/>
        <v>48214</v>
      </c>
      <c r="S6" s="325">
        <f t="shared" si="0"/>
        <v>48580</v>
      </c>
      <c r="T6" s="325">
        <f t="shared" si="0"/>
        <v>48945</v>
      </c>
      <c r="U6" s="325">
        <f t="shared" si="0"/>
        <v>49310</v>
      </c>
      <c r="V6" s="325">
        <f t="shared" si="0"/>
        <v>49675</v>
      </c>
    </row>
    <row r="7" spans="2:22">
      <c r="B7" s="315" t="s">
        <v>31</v>
      </c>
      <c r="I7" s="8">
        <f>'Output_Standalone (IDR)'!I7</f>
        <v>45291</v>
      </c>
      <c r="J7" s="325">
        <f>EOMONTH(J6,12-1)</f>
        <v>45657</v>
      </c>
      <c r="K7" s="325">
        <f t="shared" ref="K7:V7" si="1">EOMONTH(K6,12-1)</f>
        <v>46022</v>
      </c>
      <c r="L7" s="325">
        <f t="shared" si="1"/>
        <v>46387</v>
      </c>
      <c r="M7" s="325">
        <f t="shared" si="1"/>
        <v>46752</v>
      </c>
      <c r="N7" s="325">
        <f t="shared" si="1"/>
        <v>47118</v>
      </c>
      <c r="O7" s="325">
        <f t="shared" si="1"/>
        <v>47483</v>
      </c>
      <c r="P7" s="325">
        <f t="shared" si="1"/>
        <v>47848</v>
      </c>
      <c r="Q7" s="325">
        <f t="shared" si="1"/>
        <v>48213</v>
      </c>
      <c r="R7" s="325">
        <f t="shared" si="1"/>
        <v>48579</v>
      </c>
      <c r="S7" s="325">
        <f t="shared" si="1"/>
        <v>48944</v>
      </c>
      <c r="T7" s="325">
        <f t="shared" si="1"/>
        <v>49309</v>
      </c>
      <c r="U7" s="325">
        <f t="shared" si="1"/>
        <v>49674</v>
      </c>
      <c r="V7" s="325">
        <f t="shared" si="1"/>
        <v>50040</v>
      </c>
    </row>
    <row r="8" spans="2:22">
      <c r="B8" s="315" t="s">
        <v>32</v>
      </c>
      <c r="J8" s="9">
        <f>YEAR(J7)</f>
        <v>2024</v>
      </c>
      <c r="K8" s="9">
        <f t="shared" ref="K8:V8" si="2">YEAR(K7)</f>
        <v>2025</v>
      </c>
      <c r="L8" s="9">
        <f t="shared" si="2"/>
        <v>2026</v>
      </c>
      <c r="M8" s="9">
        <f t="shared" si="2"/>
        <v>2027</v>
      </c>
      <c r="N8" s="9">
        <f t="shared" si="2"/>
        <v>2028</v>
      </c>
      <c r="O8" s="9">
        <f t="shared" si="2"/>
        <v>2029</v>
      </c>
      <c r="P8" s="9">
        <f t="shared" si="2"/>
        <v>2030</v>
      </c>
      <c r="Q8" s="9">
        <f t="shared" si="2"/>
        <v>2031</v>
      </c>
      <c r="R8" s="9">
        <f t="shared" si="2"/>
        <v>2032</v>
      </c>
      <c r="S8" s="9">
        <f t="shared" si="2"/>
        <v>2033</v>
      </c>
      <c r="T8" s="9">
        <f t="shared" si="2"/>
        <v>2034</v>
      </c>
      <c r="U8" s="9">
        <f t="shared" si="2"/>
        <v>2035</v>
      </c>
      <c r="V8" s="9">
        <f t="shared" si="2"/>
        <v>2036</v>
      </c>
    </row>
    <row r="9" spans="2:22">
      <c r="B9" s="315" t="s">
        <v>33</v>
      </c>
      <c r="J9" s="326">
        <f>J7-J6+1</f>
        <v>366</v>
      </c>
      <c r="K9" s="326">
        <f t="shared" ref="K9:V9" si="3">K7-K6+1</f>
        <v>365</v>
      </c>
      <c r="L9" s="326">
        <f t="shared" si="3"/>
        <v>365</v>
      </c>
      <c r="M9" s="326">
        <f t="shared" si="3"/>
        <v>365</v>
      </c>
      <c r="N9" s="326">
        <f t="shared" si="3"/>
        <v>366</v>
      </c>
      <c r="O9" s="326">
        <f t="shared" si="3"/>
        <v>365</v>
      </c>
      <c r="P9" s="326">
        <f t="shared" si="3"/>
        <v>365</v>
      </c>
      <c r="Q9" s="326">
        <f t="shared" si="3"/>
        <v>365</v>
      </c>
      <c r="R9" s="326">
        <f t="shared" si="3"/>
        <v>366</v>
      </c>
      <c r="S9" s="326">
        <f t="shared" si="3"/>
        <v>365</v>
      </c>
      <c r="T9" s="326">
        <f t="shared" si="3"/>
        <v>365</v>
      </c>
      <c r="U9" s="326">
        <f t="shared" si="3"/>
        <v>365</v>
      </c>
      <c r="V9" s="326">
        <f t="shared" si="3"/>
        <v>366</v>
      </c>
    </row>
    <row r="10" spans="2:22">
      <c r="E10" s="11" t="s">
        <v>34</v>
      </c>
      <c r="F10" s="11" t="s">
        <v>35</v>
      </c>
      <c r="J10" s="325"/>
      <c r="K10" s="325"/>
      <c r="L10" s="325"/>
      <c r="M10" s="325"/>
      <c r="N10" s="325"/>
      <c r="O10" s="325"/>
      <c r="P10" s="325"/>
      <c r="Q10" s="325"/>
      <c r="R10" s="325"/>
      <c r="S10" s="325"/>
      <c r="T10" s="325"/>
      <c r="U10" s="325"/>
    </row>
    <row r="11" spans="2:22">
      <c r="B11" s="445" t="s">
        <v>36</v>
      </c>
      <c r="E11" s="327">
        <f>'Output_Standalone (IDR)'!E11</f>
        <v>45291</v>
      </c>
      <c r="F11" s="327">
        <f>'Output_Standalone (IDR)'!F11</f>
        <v>45291</v>
      </c>
      <c r="J11" s="328">
        <f t="shared" ref="J11:V11" si="4">IF(J7=$F$11,1,0)</f>
        <v>0</v>
      </c>
      <c r="K11" s="328">
        <f t="shared" si="4"/>
        <v>0</v>
      </c>
      <c r="L11" s="328">
        <f t="shared" si="4"/>
        <v>0</v>
      </c>
      <c r="M11" s="328">
        <f t="shared" si="4"/>
        <v>0</v>
      </c>
      <c r="N11" s="328">
        <f t="shared" si="4"/>
        <v>0</v>
      </c>
      <c r="O11" s="328">
        <f t="shared" si="4"/>
        <v>0</v>
      </c>
      <c r="P11" s="328">
        <f t="shared" si="4"/>
        <v>0</v>
      </c>
      <c r="Q11" s="328">
        <f t="shared" si="4"/>
        <v>0</v>
      </c>
      <c r="R11" s="328">
        <f t="shared" si="4"/>
        <v>0</v>
      </c>
      <c r="S11" s="328">
        <f t="shared" si="4"/>
        <v>0</v>
      </c>
      <c r="T11" s="328">
        <f t="shared" si="4"/>
        <v>0</v>
      </c>
      <c r="U11" s="328">
        <f t="shared" si="4"/>
        <v>0</v>
      </c>
      <c r="V11" s="328">
        <f t="shared" si="4"/>
        <v>0</v>
      </c>
    </row>
    <row r="12" spans="2:22">
      <c r="B12" s="315" t="s">
        <v>37</v>
      </c>
      <c r="E12" s="327">
        <f>'Output_Standalone (IDR)'!E12</f>
        <v>45292</v>
      </c>
      <c r="F12" s="327">
        <f>'Output_Standalone (IDR)'!F12</f>
        <v>50040</v>
      </c>
      <c r="J12" s="328">
        <f>IF(J11=1,0,IF(J7&gt;$F$12,0,1))</f>
        <v>1</v>
      </c>
      <c r="K12" s="328">
        <f>IF(K11=1,0,IF(K7&gt;$F$12,0,1))</f>
        <v>1</v>
      </c>
      <c r="L12" s="328">
        <f t="shared" ref="L12:V12" si="5">IF(L11=1,0,IF(L7&gt;$F$12,0,1))</f>
        <v>1</v>
      </c>
      <c r="M12" s="328">
        <f t="shared" si="5"/>
        <v>1</v>
      </c>
      <c r="N12" s="328">
        <f t="shared" si="5"/>
        <v>1</v>
      </c>
      <c r="O12" s="328">
        <f t="shared" si="5"/>
        <v>1</v>
      </c>
      <c r="P12" s="328">
        <f t="shared" si="5"/>
        <v>1</v>
      </c>
      <c r="Q12" s="328">
        <f t="shared" si="5"/>
        <v>1</v>
      </c>
      <c r="R12" s="328">
        <f t="shared" si="5"/>
        <v>1</v>
      </c>
      <c r="S12" s="329">
        <f t="shared" si="5"/>
        <v>1</v>
      </c>
      <c r="T12" s="328">
        <f t="shared" si="5"/>
        <v>1</v>
      </c>
      <c r="U12" s="328">
        <f t="shared" si="5"/>
        <v>1</v>
      </c>
      <c r="V12" s="328">
        <f t="shared" si="5"/>
        <v>1</v>
      </c>
    </row>
    <row r="13" spans="2:22">
      <c r="F13" s="325"/>
    </row>
    <row r="14" spans="2:22">
      <c r="B14" s="315" t="s">
        <v>38</v>
      </c>
      <c r="J14" s="315">
        <f>SUM($J$12:J12)</f>
        <v>1</v>
      </c>
      <c r="K14" s="315">
        <f>SUM($J$12:K12)</f>
        <v>2</v>
      </c>
      <c r="L14" s="315">
        <f>SUM($J$12:L12)</f>
        <v>3</v>
      </c>
      <c r="M14" s="315">
        <f>SUM($J$12:M12)</f>
        <v>4</v>
      </c>
      <c r="N14" s="315">
        <f>SUM($J$12:N12)</f>
        <v>5</v>
      </c>
      <c r="O14" s="315">
        <f>SUM($J$12:O12)</f>
        <v>6</v>
      </c>
      <c r="P14" s="315">
        <f>SUM($J$12:P12)</f>
        <v>7</v>
      </c>
      <c r="Q14" s="315">
        <f>SUM($J$12:Q12)</f>
        <v>8</v>
      </c>
      <c r="R14" s="315">
        <f>SUM($J$12:R12)</f>
        <v>9</v>
      </c>
      <c r="S14" s="315">
        <f>SUM($J$12:S12)</f>
        <v>10</v>
      </c>
      <c r="T14" s="315">
        <f>SUM($J$12:T12)</f>
        <v>11</v>
      </c>
      <c r="U14" s="315">
        <f>SUM($J$12:U12)</f>
        <v>12</v>
      </c>
      <c r="V14" s="315">
        <f>SUM($J$12:V12)</f>
        <v>13</v>
      </c>
    </row>
    <row r="15" spans="2:22">
      <c r="B15" s="315" t="s">
        <v>186</v>
      </c>
      <c r="G15" s="315">
        <v>307.18476583308563</v>
      </c>
      <c r="J15" s="330">
        <f>J28*$F28</f>
        <v>5.7299388176239034</v>
      </c>
      <c r="K15" s="330">
        <f t="shared" ref="K15:S15" si="6">K28*$F28</f>
        <v>6.9027750292621874</v>
      </c>
      <c r="L15" s="330">
        <f t="shared" si="6"/>
        <v>8.3029320673939999</v>
      </c>
      <c r="M15" s="330">
        <f t="shared" si="6"/>
        <v>8.5217921356743389</v>
      </c>
      <c r="N15" s="330">
        <f t="shared" si="6"/>
        <v>11.099799343324488</v>
      </c>
      <c r="O15" s="330">
        <f t="shared" si="6"/>
        <v>11.397294393364279</v>
      </c>
      <c r="P15" s="330">
        <f t="shared" si="6"/>
        <v>13.975178312099446</v>
      </c>
      <c r="Q15" s="330">
        <f t="shared" si="6"/>
        <v>14.424047010098967</v>
      </c>
      <c r="R15" s="330">
        <f t="shared" si="6"/>
        <v>15.975470931737034</v>
      </c>
      <c r="S15" s="330">
        <f t="shared" si="6"/>
        <v>16.489162458549394</v>
      </c>
      <c r="T15" s="331"/>
    </row>
    <row r="16" spans="2:22">
      <c r="B16" s="315" t="s">
        <v>293</v>
      </c>
      <c r="J16" s="330">
        <f t="shared" ref="J16:S16" si="7">J31*$F31</f>
        <v>2.7355854615314357</v>
      </c>
      <c r="K16" s="330">
        <f t="shared" si="7"/>
        <v>2.6864481927613877</v>
      </c>
      <c r="L16" s="330">
        <f t="shared" si="7"/>
        <v>7.4047034287337929</v>
      </c>
      <c r="M16" s="330">
        <f t="shared" si="7"/>
        <v>9.1751675546485902</v>
      </c>
      <c r="N16" s="330">
        <f t="shared" si="7"/>
        <v>9.1210704757766603</v>
      </c>
      <c r="O16" s="330">
        <f t="shared" si="7"/>
        <v>10.393160509868204</v>
      </c>
      <c r="P16" s="330">
        <f t="shared" si="7"/>
        <v>10.576234271592648</v>
      </c>
      <c r="Q16" s="330">
        <f t="shared" si="7"/>
        <v>11.528241452829572</v>
      </c>
      <c r="R16" s="330">
        <f t="shared" si="7"/>
        <v>11.730044209532762</v>
      </c>
      <c r="S16" s="330">
        <f t="shared" si="7"/>
        <v>12.782117148887533</v>
      </c>
      <c r="T16" s="331"/>
    </row>
    <row r="17" spans="2:20">
      <c r="B17" s="445" t="s">
        <v>294</v>
      </c>
      <c r="J17" s="330">
        <f t="shared" ref="J17:S17" si="8">J32*$F32</f>
        <v>0</v>
      </c>
      <c r="K17" s="330">
        <f t="shared" si="8"/>
        <v>7.0035640382281974</v>
      </c>
      <c r="L17" s="330">
        <f t="shared" si="8"/>
        <v>7.0542035140093944</v>
      </c>
      <c r="M17" s="330">
        <f t="shared" si="8"/>
        <v>8.6709720243749313</v>
      </c>
      <c r="N17" s="330">
        <f t="shared" si="8"/>
        <v>8.6499145531353889</v>
      </c>
      <c r="O17" s="330">
        <f t="shared" si="8"/>
        <v>9.6640108723045746</v>
      </c>
      <c r="P17" s="330">
        <f t="shared" si="8"/>
        <v>9.7381180783777044</v>
      </c>
      <c r="Q17" s="330">
        <f t="shared" si="8"/>
        <v>10.451143870137878</v>
      </c>
      <c r="R17" s="330">
        <f t="shared" si="8"/>
        <v>10.531248609406854</v>
      </c>
      <c r="S17" s="330">
        <f t="shared" si="8"/>
        <v>11.302218727450505</v>
      </c>
      <c r="T17" s="331"/>
    </row>
    <row r="18" spans="2:20">
      <c r="B18" s="445" t="s">
        <v>295</v>
      </c>
      <c r="J18" s="330">
        <f t="shared" ref="J18:S18" si="9">J33*$F33</f>
        <v>0</v>
      </c>
      <c r="K18" s="330">
        <f t="shared" si="9"/>
        <v>0</v>
      </c>
      <c r="L18" s="330">
        <f t="shared" si="9"/>
        <v>1.8081733860942784</v>
      </c>
      <c r="M18" s="330">
        <f t="shared" si="9"/>
        <v>1.8047983724911245</v>
      </c>
      <c r="N18" s="330">
        <f t="shared" si="9"/>
        <v>1.8013221084798763</v>
      </c>
      <c r="O18" s="330">
        <f t="shared" si="9"/>
        <v>2.013663170423087</v>
      </c>
      <c r="P18" s="330">
        <f t="shared" si="9"/>
        <v>2.0095361580657518</v>
      </c>
      <c r="Q18" s="330">
        <f t="shared" si="9"/>
        <v>2.0052853353376969</v>
      </c>
      <c r="R18" s="330">
        <f t="shared" si="9"/>
        <v>2.0009069879277996</v>
      </c>
      <c r="S18" s="330">
        <f t="shared" si="9"/>
        <v>1.996397290095606</v>
      </c>
      <c r="T18" s="331"/>
    </row>
    <row r="19" spans="2:20">
      <c r="B19" s="315" t="s">
        <v>296</v>
      </c>
      <c r="J19" s="330">
        <f t="shared" ref="J19:S19" si="10">J37*$F37</f>
        <v>1.4101163345715022</v>
      </c>
      <c r="K19" s="330">
        <f t="shared" si="10"/>
        <v>2.3219279541959694</v>
      </c>
      <c r="L19" s="330">
        <f t="shared" si="10"/>
        <v>2.6635477176900335</v>
      </c>
      <c r="M19" s="330">
        <f t="shared" si="10"/>
        <v>2.6401058254692424</v>
      </c>
      <c r="N19" s="330">
        <f t="shared" si="10"/>
        <v>3.3093542971126388</v>
      </c>
      <c r="O19" s="330">
        <f t="shared" si="10"/>
        <v>3.3216699719788303</v>
      </c>
      <c r="P19" s="330">
        <f t="shared" si="10"/>
        <v>3.8440021406225631</v>
      </c>
      <c r="Q19" s="330">
        <f t="shared" si="10"/>
        <v>3.8601189655037786</v>
      </c>
      <c r="R19" s="330">
        <f t="shared" si="10"/>
        <v>4.167294600007577</v>
      </c>
      <c r="S19" s="330">
        <f t="shared" si="10"/>
        <v>4.1849835624241134</v>
      </c>
      <c r="T19" s="331"/>
    </row>
    <row r="20" spans="2:20">
      <c r="B20" s="315" t="s">
        <v>297</v>
      </c>
      <c r="J20" s="330">
        <f t="shared" ref="J20:S20" si="11">J38*$F38</f>
        <v>0</v>
      </c>
      <c r="K20" s="332">
        <f t="shared" si="11"/>
        <v>0</v>
      </c>
      <c r="L20" s="330">
        <f t="shared" si="11"/>
        <v>0</v>
      </c>
      <c r="M20" s="330">
        <f t="shared" si="11"/>
        <v>0</v>
      </c>
      <c r="N20" s="330">
        <f t="shared" si="11"/>
        <v>3.4796337275586713</v>
      </c>
      <c r="O20" s="330">
        <f t="shared" si="11"/>
        <v>4.1230665113709746</v>
      </c>
      <c r="P20" s="330">
        <f t="shared" si="11"/>
        <v>4.263045886134992</v>
      </c>
      <c r="Q20" s="330">
        <f t="shared" si="11"/>
        <v>4.7249950415093132</v>
      </c>
      <c r="R20" s="330">
        <f t="shared" si="11"/>
        <v>4.8842759940467877</v>
      </c>
      <c r="S20" s="330">
        <f t="shared" si="11"/>
        <v>5.4135863728228042</v>
      </c>
      <c r="T20" s="331"/>
    </row>
    <row r="21" spans="2:20">
      <c r="B21" s="315" t="s">
        <v>298</v>
      </c>
      <c r="J21" s="330">
        <f t="shared" ref="J21:S21" si="12">J39*$F39</f>
        <v>0.89120697948994432</v>
      </c>
      <c r="K21" s="330">
        <f t="shared" si="12"/>
        <v>0.85740895439965048</v>
      </c>
      <c r="L21" s="330">
        <f t="shared" si="12"/>
        <v>1.0282979022951941</v>
      </c>
      <c r="M21" s="330">
        <f t="shared" si="12"/>
        <v>1.1331743445112041</v>
      </c>
      <c r="N21" s="330">
        <f t="shared" si="12"/>
        <v>1.2470110017793805</v>
      </c>
      <c r="O21" s="330">
        <f t="shared" si="12"/>
        <v>1.3705453344152123</v>
      </c>
      <c r="P21" s="330">
        <f t="shared" si="12"/>
        <v>1.5045747998550836</v>
      </c>
      <c r="Q21" s="330">
        <f t="shared" si="12"/>
        <v>1.6499617148045416</v>
      </c>
      <c r="R21" s="330">
        <f t="shared" si="12"/>
        <v>1.8076385109983861</v>
      </c>
      <c r="S21" s="330">
        <f t="shared" si="12"/>
        <v>1.9786134164391471</v>
      </c>
      <c r="T21" s="331"/>
    </row>
    <row r="22" spans="2:20">
      <c r="B22" s="315" t="s">
        <v>299</v>
      </c>
      <c r="J22" s="330">
        <f t="shared" ref="J22:S22" si="13">J40*$F40</f>
        <v>0</v>
      </c>
      <c r="K22" s="330">
        <f t="shared" si="13"/>
        <v>0</v>
      </c>
      <c r="L22" s="330">
        <f t="shared" si="13"/>
        <v>0</v>
      </c>
      <c r="M22" s="330">
        <f t="shared" si="13"/>
        <v>0</v>
      </c>
      <c r="N22" s="330">
        <f t="shared" si="13"/>
        <v>0</v>
      </c>
      <c r="O22" s="330">
        <f t="shared" si="13"/>
        <v>0</v>
      </c>
      <c r="P22" s="330">
        <f t="shared" si="13"/>
        <v>0</v>
      </c>
      <c r="Q22" s="330">
        <f t="shared" si="13"/>
        <v>0</v>
      </c>
      <c r="R22" s="330">
        <f t="shared" si="13"/>
        <v>0</v>
      </c>
      <c r="S22" s="330">
        <f t="shared" si="13"/>
        <v>0</v>
      </c>
      <c r="T22" s="331"/>
    </row>
    <row r="23" spans="2:20">
      <c r="B23" s="447" t="s">
        <v>53</v>
      </c>
      <c r="J23" s="448">
        <f t="shared" ref="J23:S23" si="14">SUM(J15:J22)</f>
        <v>10.766847593216784</v>
      </c>
      <c r="K23" s="448">
        <f t="shared" si="14"/>
        <v>19.772124168847395</v>
      </c>
      <c r="L23" s="448">
        <f t="shared" si="14"/>
        <v>28.261858016216692</v>
      </c>
      <c r="M23" s="448">
        <f t="shared" si="14"/>
        <v>31.94601025716943</v>
      </c>
      <c r="N23" s="448">
        <f t="shared" si="14"/>
        <v>38.708105507167097</v>
      </c>
      <c r="O23" s="448">
        <f t="shared" si="14"/>
        <v>42.283410763725158</v>
      </c>
      <c r="P23" s="448">
        <f t="shared" si="14"/>
        <v>45.910689646748189</v>
      </c>
      <c r="Q23" s="448">
        <f t="shared" si="14"/>
        <v>48.643793390221752</v>
      </c>
      <c r="R23" s="448">
        <f t="shared" si="14"/>
        <v>51.096879843657206</v>
      </c>
      <c r="S23" s="448">
        <f t="shared" si="14"/>
        <v>54.147078976669107</v>
      </c>
      <c r="T23" s="331"/>
    </row>
    <row r="24" spans="2:20">
      <c r="J24" s="315">
        <v>11</v>
      </c>
      <c r="K24" s="330">
        <f>J24*(1+3%)</f>
        <v>11.33</v>
      </c>
      <c r="L24" s="330">
        <f t="shared" ref="L24:S25" si="15">K24*(1+3%)</f>
        <v>11.6699</v>
      </c>
      <c r="M24" s="330">
        <f t="shared" si="15"/>
        <v>12.019997</v>
      </c>
      <c r="N24" s="330">
        <f t="shared" si="15"/>
        <v>12.38059691</v>
      </c>
      <c r="O24" s="330">
        <f t="shared" si="15"/>
        <v>12.752014817299999</v>
      </c>
      <c r="P24" s="330">
        <f t="shared" si="15"/>
        <v>13.134575261819</v>
      </c>
      <c r="Q24" s="330">
        <f t="shared" si="15"/>
        <v>13.528612519673571</v>
      </c>
      <c r="R24" s="330">
        <f t="shared" si="15"/>
        <v>13.934470895263779</v>
      </c>
      <c r="S24" s="330">
        <f t="shared" si="15"/>
        <v>14.352505022121692</v>
      </c>
    </row>
    <row r="25" spans="2:20">
      <c r="J25" s="315">
        <v>35</v>
      </c>
      <c r="K25" s="330">
        <f>J25*(1+3%)</f>
        <v>36.050000000000004</v>
      </c>
      <c r="L25" s="330">
        <f t="shared" si="15"/>
        <v>37.131500000000003</v>
      </c>
      <c r="M25" s="330">
        <f t="shared" si="15"/>
        <v>38.245445000000004</v>
      </c>
      <c r="N25" s="330">
        <f t="shared" si="15"/>
        <v>39.392808350000003</v>
      </c>
      <c r="O25" s="330">
        <f t="shared" si="15"/>
        <v>40.574592600500004</v>
      </c>
      <c r="P25" s="330">
        <f t="shared" si="15"/>
        <v>41.791830378515009</v>
      </c>
      <c r="Q25" s="330">
        <f t="shared" si="15"/>
        <v>43.045585289870459</v>
      </c>
      <c r="R25" s="330">
        <f t="shared" si="15"/>
        <v>44.336952848566575</v>
      </c>
      <c r="S25" s="330">
        <f t="shared" si="15"/>
        <v>45.667061434023573</v>
      </c>
    </row>
    <row r="26" spans="2:20">
      <c r="J26" s="315">
        <f>SUM(J24:J25)</f>
        <v>46</v>
      </c>
      <c r="K26" s="315">
        <f t="shared" ref="K26:S26" si="16">SUM(K24:K25)</f>
        <v>47.38</v>
      </c>
      <c r="L26" s="315">
        <f t="shared" si="16"/>
        <v>48.801400000000001</v>
      </c>
      <c r="M26" s="315">
        <f t="shared" si="16"/>
        <v>50.265442000000007</v>
      </c>
      <c r="N26" s="315">
        <f t="shared" si="16"/>
        <v>51.773405260000004</v>
      </c>
      <c r="O26" s="315">
        <f t="shared" si="16"/>
        <v>53.326607417800005</v>
      </c>
      <c r="P26" s="315">
        <f t="shared" si="16"/>
        <v>54.926405640334011</v>
      </c>
      <c r="Q26" s="315">
        <f t="shared" si="16"/>
        <v>56.574197809544032</v>
      </c>
      <c r="R26" s="315">
        <f t="shared" si="16"/>
        <v>58.271423743830354</v>
      </c>
      <c r="S26" s="315">
        <f t="shared" si="16"/>
        <v>60.019566456145263</v>
      </c>
    </row>
    <row r="27" spans="2:20" ht="15.75">
      <c r="B27" s="333" t="s">
        <v>292</v>
      </c>
      <c r="E27" s="496" t="s">
        <v>1102</v>
      </c>
      <c r="F27" s="463">
        <v>1</v>
      </c>
      <c r="J27" s="334">
        <f t="shared" ref="J27:S27" si="17">J49/USD_IDR*Thousands</f>
        <v>9.4826606457339686</v>
      </c>
      <c r="K27" s="334">
        <f t="shared" si="17"/>
        <v>16.204029128725747</v>
      </c>
      <c r="L27" s="334">
        <f t="shared" si="17"/>
        <v>22.593931019440877</v>
      </c>
      <c r="M27" s="334">
        <f t="shared" si="17"/>
        <v>27.68202479740383</v>
      </c>
      <c r="N27" s="334">
        <f t="shared" si="17"/>
        <v>30.689794373073877</v>
      </c>
      <c r="O27" s="334">
        <f t="shared" si="17"/>
        <v>34.060272987804595</v>
      </c>
      <c r="P27" s="334">
        <f t="shared" si="17"/>
        <v>35.374486051496</v>
      </c>
      <c r="Q27" s="334">
        <f t="shared" si="17"/>
        <v>38.018610084456405</v>
      </c>
      <c r="R27" s="334">
        <f t="shared" si="17"/>
        <v>39.782924639744465</v>
      </c>
      <c r="S27" s="334">
        <f t="shared" si="17"/>
        <v>42.686251835727525</v>
      </c>
    </row>
    <row r="28" spans="2:20">
      <c r="B28" s="315" t="s">
        <v>186</v>
      </c>
      <c r="F28" s="335">
        <f>IF($F$27=0,I28,G28)</f>
        <v>1</v>
      </c>
      <c r="G28" s="315">
        <v>1</v>
      </c>
      <c r="I28" s="315">
        <v>1</v>
      </c>
      <c r="J28" s="315">
        <v>5.7299388176239034</v>
      </c>
      <c r="K28" s="315">
        <v>6.9027750292621874</v>
      </c>
      <c r="L28" s="315">
        <v>8.3029320673939999</v>
      </c>
      <c r="M28" s="315">
        <v>8.5217921356743389</v>
      </c>
      <c r="N28" s="315">
        <v>11.099799343324488</v>
      </c>
      <c r="O28" s="315">
        <v>11.397294393364279</v>
      </c>
      <c r="P28" s="315">
        <v>13.975178312099446</v>
      </c>
      <c r="Q28" s="315">
        <v>14.424047010098967</v>
      </c>
      <c r="R28" s="315">
        <v>15.975470931737034</v>
      </c>
      <c r="S28" s="315">
        <v>16.489162458549394</v>
      </c>
    </row>
    <row r="29" spans="2:20">
      <c r="B29" s="464" t="s">
        <v>1096</v>
      </c>
      <c r="F29" s="335">
        <f>IF($F$27=0,I29,G29)</f>
        <v>1</v>
      </c>
      <c r="G29" s="315">
        <v>1</v>
      </c>
      <c r="I29" s="315">
        <v>0</v>
      </c>
    </row>
    <row r="30" spans="2:20">
      <c r="B30" s="454" t="s">
        <v>391</v>
      </c>
      <c r="F30" s="457">
        <f t="shared" ref="F30:F40" si="18">IF($F$27=0,I30,G30)</f>
        <v>1</v>
      </c>
      <c r="G30" s="315">
        <v>1</v>
      </c>
      <c r="I30" s="315">
        <v>0</v>
      </c>
      <c r="J30" s="315">
        <v>0</v>
      </c>
      <c r="K30" s="315">
        <v>0</v>
      </c>
      <c r="L30" s="315">
        <v>0.90992929603442985</v>
      </c>
      <c r="M30" s="315">
        <v>0.91447894251460193</v>
      </c>
      <c r="N30" s="315">
        <v>0.91905133722717447</v>
      </c>
      <c r="O30" s="315">
        <v>0.92364659391331028</v>
      </c>
      <c r="P30" s="315">
        <v>0.92826482688287693</v>
      </c>
      <c r="Q30" s="315">
        <v>0.93290615101729091</v>
      </c>
      <c r="R30" s="315">
        <v>0.93757068177237746</v>
      </c>
      <c r="S30" s="315">
        <v>0.94225853518123914</v>
      </c>
    </row>
    <row r="31" spans="2:20">
      <c r="B31" s="315" t="s">
        <v>293</v>
      </c>
      <c r="F31" s="335">
        <f t="shared" si="18"/>
        <v>1</v>
      </c>
      <c r="G31" s="315">
        <v>1</v>
      </c>
      <c r="I31" s="315">
        <v>1</v>
      </c>
      <c r="J31" s="315">
        <v>2.7355854615314357</v>
      </c>
      <c r="K31" s="315">
        <v>2.6864481927613877</v>
      </c>
      <c r="L31" s="315">
        <v>7.4047034287337929</v>
      </c>
      <c r="M31" s="315">
        <v>9.1751675546485902</v>
      </c>
      <c r="N31" s="315">
        <v>9.1210704757766603</v>
      </c>
      <c r="O31" s="315">
        <v>10.393160509868204</v>
      </c>
      <c r="P31" s="315">
        <v>10.576234271592648</v>
      </c>
      <c r="Q31" s="315">
        <v>11.528241452829572</v>
      </c>
      <c r="R31" s="315">
        <v>11.730044209532762</v>
      </c>
      <c r="S31" s="315">
        <v>12.782117148887533</v>
      </c>
    </row>
    <row r="32" spans="2:20">
      <c r="B32" s="445" t="s">
        <v>294</v>
      </c>
      <c r="F32" s="335">
        <f t="shared" si="18"/>
        <v>1</v>
      </c>
      <c r="G32" s="315">
        <v>1</v>
      </c>
      <c r="I32" s="315">
        <v>1</v>
      </c>
      <c r="J32" s="315">
        <v>0</v>
      </c>
      <c r="K32" s="315">
        <v>7.0035640382281974</v>
      </c>
      <c r="L32" s="315">
        <v>7.0542035140093944</v>
      </c>
      <c r="M32" s="315">
        <v>8.6709720243749313</v>
      </c>
      <c r="N32" s="315">
        <v>8.6499145531353889</v>
      </c>
      <c r="O32" s="315">
        <v>9.6640108723045746</v>
      </c>
      <c r="P32" s="315">
        <v>9.7381180783777044</v>
      </c>
      <c r="Q32" s="315">
        <v>10.451143870137878</v>
      </c>
      <c r="R32" s="315">
        <v>10.531248609406854</v>
      </c>
      <c r="S32" s="315">
        <v>11.302218727450505</v>
      </c>
    </row>
    <row r="33" spans="2:22">
      <c r="B33" s="445" t="s">
        <v>295</v>
      </c>
      <c r="F33" s="335">
        <f t="shared" si="18"/>
        <v>1</v>
      </c>
      <c r="G33" s="315">
        <v>1</v>
      </c>
      <c r="I33" s="315">
        <v>1</v>
      </c>
      <c r="J33" s="315">
        <v>0</v>
      </c>
      <c r="K33" s="315">
        <v>0</v>
      </c>
      <c r="L33" s="315">
        <v>1.8081733860942784</v>
      </c>
      <c r="M33" s="315">
        <v>1.8047983724911245</v>
      </c>
      <c r="N33" s="315">
        <v>1.8013221084798763</v>
      </c>
      <c r="O33" s="315">
        <v>2.013663170423087</v>
      </c>
      <c r="P33" s="315">
        <v>2.0095361580657518</v>
      </c>
      <c r="Q33" s="315">
        <v>2.0052853353376969</v>
      </c>
      <c r="R33" s="315">
        <v>2.0009069879277996</v>
      </c>
      <c r="S33" s="315">
        <v>1.996397290095606</v>
      </c>
    </row>
    <row r="34" spans="2:22">
      <c r="B34" s="445" t="s">
        <v>802</v>
      </c>
      <c r="F34" s="457">
        <f t="shared" si="18"/>
        <v>1</v>
      </c>
      <c r="G34" s="315">
        <v>1</v>
      </c>
      <c r="I34" s="315">
        <v>0</v>
      </c>
      <c r="J34" s="315">
        <v>0</v>
      </c>
      <c r="K34" s="315">
        <v>0</v>
      </c>
      <c r="L34" s="315">
        <v>1.8081733860942784</v>
      </c>
      <c r="M34" s="315">
        <v>1.8047983724911245</v>
      </c>
      <c r="N34" s="315">
        <v>1.8013221084798763</v>
      </c>
      <c r="O34" s="315">
        <v>2.013663170423087</v>
      </c>
      <c r="P34" s="315">
        <v>2.0095361580657518</v>
      </c>
      <c r="Q34" s="315">
        <v>2.0052853353376969</v>
      </c>
      <c r="R34" s="315">
        <v>2.0009069879277996</v>
      </c>
      <c r="S34" s="315">
        <v>1.996397290095606</v>
      </c>
    </row>
    <row r="35" spans="2:22">
      <c r="B35" s="464" t="s">
        <v>1048</v>
      </c>
      <c r="F35" s="457">
        <f t="shared" si="18"/>
        <v>1</v>
      </c>
      <c r="G35" s="315">
        <v>1</v>
      </c>
      <c r="I35" s="315">
        <v>0</v>
      </c>
      <c r="J35" s="315">
        <v>0</v>
      </c>
      <c r="K35" s="315">
        <v>0</v>
      </c>
      <c r="L35" s="315">
        <v>3.8733476790654779</v>
      </c>
      <c r="M35" s="315">
        <v>3.8733476790654779</v>
      </c>
      <c r="N35" s="315">
        <v>3.8733476790654779</v>
      </c>
      <c r="O35" s="315">
        <v>3.8733476790654779</v>
      </c>
      <c r="P35" s="315">
        <v>3.8733476790654779</v>
      </c>
      <c r="Q35" s="315">
        <v>3.8733476790654779</v>
      </c>
      <c r="R35" s="315">
        <v>3.8733476790654779</v>
      </c>
      <c r="S35" s="315">
        <v>3.8733476790654779</v>
      </c>
    </row>
    <row r="36" spans="2:22">
      <c r="B36" s="445" t="s">
        <v>412</v>
      </c>
      <c r="F36" s="335">
        <f t="shared" si="18"/>
        <v>1</v>
      </c>
      <c r="G36" s="315">
        <v>1</v>
      </c>
      <c r="I36" s="315">
        <v>0</v>
      </c>
      <c r="J36" s="315">
        <v>0</v>
      </c>
      <c r="K36" s="315">
        <v>0</v>
      </c>
      <c r="L36" s="315">
        <v>3.8733476790654779</v>
      </c>
      <c r="M36" s="315">
        <v>3.8733476790654779</v>
      </c>
      <c r="N36" s="315">
        <v>3.8733476790654779</v>
      </c>
      <c r="O36" s="315">
        <v>3.8733476790654779</v>
      </c>
      <c r="P36" s="315">
        <v>3.8733476790654779</v>
      </c>
      <c r="Q36" s="315">
        <v>3.8733476790654779</v>
      </c>
      <c r="R36" s="315">
        <v>3.8733476790654779</v>
      </c>
      <c r="S36" s="315">
        <v>3.8733476790654779</v>
      </c>
    </row>
    <row r="37" spans="2:22">
      <c r="B37" s="315" t="s">
        <v>296</v>
      </c>
      <c r="F37" s="335">
        <f t="shared" si="18"/>
        <v>1</v>
      </c>
      <c r="G37" s="315">
        <v>1</v>
      </c>
      <c r="I37" s="315">
        <v>1</v>
      </c>
      <c r="J37" s="315">
        <v>1.4101163345715022</v>
      </c>
      <c r="K37" s="315">
        <v>2.3219279541959694</v>
      </c>
      <c r="L37" s="315">
        <v>2.6635477176900335</v>
      </c>
      <c r="M37" s="315">
        <v>2.6401058254692424</v>
      </c>
      <c r="N37" s="315">
        <v>3.3093542971126388</v>
      </c>
      <c r="O37" s="315">
        <v>3.3216699719788303</v>
      </c>
      <c r="P37" s="315">
        <v>3.8440021406225631</v>
      </c>
      <c r="Q37" s="315">
        <v>3.8601189655037786</v>
      </c>
      <c r="R37" s="315">
        <v>4.167294600007577</v>
      </c>
      <c r="S37" s="315">
        <v>4.1849835624241134</v>
      </c>
    </row>
    <row r="38" spans="2:22">
      <c r="B38" s="315" t="s">
        <v>297</v>
      </c>
      <c r="F38" s="335">
        <f t="shared" si="18"/>
        <v>1</v>
      </c>
      <c r="G38" s="315">
        <v>1</v>
      </c>
      <c r="I38" s="315">
        <v>0</v>
      </c>
      <c r="J38" s="315">
        <v>0</v>
      </c>
      <c r="K38" s="315">
        <v>0</v>
      </c>
      <c r="L38" s="315">
        <v>0</v>
      </c>
      <c r="M38" s="315">
        <v>0</v>
      </c>
      <c r="N38" s="315">
        <v>3.4796337275586713</v>
      </c>
      <c r="O38" s="315">
        <v>4.1230665113709746</v>
      </c>
      <c r="P38" s="315">
        <v>4.263045886134992</v>
      </c>
      <c r="Q38" s="315">
        <v>4.7249950415093132</v>
      </c>
      <c r="R38" s="315">
        <v>4.8842759940467877</v>
      </c>
      <c r="S38" s="315">
        <v>5.4135863728228042</v>
      </c>
    </row>
    <row r="39" spans="2:22">
      <c r="B39" s="315" t="s">
        <v>298</v>
      </c>
      <c r="F39" s="335">
        <f t="shared" si="18"/>
        <v>1</v>
      </c>
      <c r="G39" s="315">
        <v>1</v>
      </c>
      <c r="I39" s="315">
        <v>1</v>
      </c>
      <c r="J39" s="315">
        <v>0.89120697948994432</v>
      </c>
      <c r="K39" s="315">
        <v>0.85740895439965048</v>
      </c>
      <c r="L39" s="315">
        <v>1.0282979022951941</v>
      </c>
      <c r="M39" s="315">
        <v>1.1331743445112041</v>
      </c>
      <c r="N39" s="315">
        <v>1.2470110017793805</v>
      </c>
      <c r="O39" s="315">
        <v>1.3705453344152123</v>
      </c>
      <c r="P39" s="315">
        <v>1.5045747998550836</v>
      </c>
      <c r="Q39" s="315">
        <v>1.6499617148045416</v>
      </c>
      <c r="R39" s="315">
        <v>1.8076385109983861</v>
      </c>
      <c r="S39" s="315">
        <v>1.9786134164391471</v>
      </c>
    </row>
    <row r="40" spans="2:22">
      <c r="B40" s="315" t="s">
        <v>299</v>
      </c>
      <c r="F40" s="335">
        <f t="shared" si="18"/>
        <v>0</v>
      </c>
      <c r="G40" s="315">
        <v>0</v>
      </c>
      <c r="I40" s="315">
        <v>0</v>
      </c>
      <c r="J40" s="315">
        <v>0</v>
      </c>
      <c r="K40" s="315">
        <v>0</v>
      </c>
      <c r="L40" s="315">
        <v>0</v>
      </c>
      <c r="M40" s="315">
        <v>0</v>
      </c>
      <c r="N40" s="315">
        <v>0</v>
      </c>
      <c r="O40" s="315">
        <v>20.134536693203462</v>
      </c>
      <c r="P40" s="315">
        <v>23.854395201409247</v>
      </c>
      <c r="Q40" s="315">
        <v>24.945620497469537</v>
      </c>
      <c r="R40" s="315">
        <v>26.114763038945927</v>
      </c>
      <c r="S40" s="315">
        <v>27.322739229351715</v>
      </c>
    </row>
    <row r="41" spans="2:22">
      <c r="B41" s="315" t="s">
        <v>53</v>
      </c>
      <c r="J41" s="316">
        <f>SUM(J28:J40)</f>
        <v>10.766847593216784</v>
      </c>
      <c r="K41" s="316">
        <f t="shared" ref="K41:T41" si="19">SUM(K28:K40)</f>
        <v>19.772124168847395</v>
      </c>
      <c r="L41" s="316">
        <f t="shared" si="19"/>
        <v>38.726656056476358</v>
      </c>
      <c r="M41" s="316">
        <f t="shared" si="19"/>
        <v>42.41198293030611</v>
      </c>
      <c r="N41" s="316">
        <f t="shared" si="19"/>
        <v>49.175174311005101</v>
      </c>
      <c r="O41" s="316">
        <f t="shared" si="19"/>
        <v>73.101952579395956</v>
      </c>
      <c r="P41" s="316">
        <f t="shared" si="19"/>
        <v>80.449581191237002</v>
      </c>
      <c r="Q41" s="316">
        <f t="shared" si="19"/>
        <v>84.274300732177224</v>
      </c>
      <c r="R41" s="316">
        <f t="shared" si="19"/>
        <v>87.896815910434256</v>
      </c>
      <c r="S41" s="316">
        <f t="shared" si="19"/>
        <v>92.155169389428622</v>
      </c>
      <c r="T41" s="316">
        <f t="shared" si="19"/>
        <v>0</v>
      </c>
    </row>
    <row r="42" spans="2:22" ht="23.25">
      <c r="B42" s="337" t="s">
        <v>1049</v>
      </c>
      <c r="C42" s="337"/>
      <c r="D42" s="337"/>
      <c r="E42" s="337"/>
      <c r="F42" s="337"/>
      <c r="G42" s="337"/>
      <c r="H42" s="337"/>
      <c r="I42" s="337"/>
      <c r="J42" s="337"/>
      <c r="K42" s="337"/>
      <c r="L42" s="337" t="s">
        <v>299</v>
      </c>
      <c r="M42" s="337">
        <v>2.1779280664002463</v>
      </c>
      <c r="N42" s="337">
        <v>6.4157812219080963</v>
      </c>
      <c r="O42" s="337">
        <v>12.873620457287497</v>
      </c>
      <c r="P42" s="337">
        <v>18.149176996109549</v>
      </c>
      <c r="Q42" s="337">
        <v>19.199748690588599</v>
      </c>
      <c r="R42" s="337">
        <v>20.134888476333987</v>
      </c>
      <c r="S42" s="337">
        <v>20.74565612614656</v>
      </c>
      <c r="T42" s="337"/>
      <c r="U42" s="337"/>
      <c r="V42" s="337"/>
    </row>
    <row r="43" spans="2:22">
      <c r="J43" s="356"/>
    </row>
    <row r="44" spans="2:22">
      <c r="B44" s="445" t="s">
        <v>623</v>
      </c>
      <c r="I44" s="338">
        <f>SUM(J44:V44)</f>
        <v>11598.732725061249</v>
      </c>
      <c r="J44" s="465">
        <f>SUM('Output_Standalone (IDR)'!J20,'Output_Standalone (IDR)'!J44,'Output_Standalone (IDR)'!J68,'Output_Standalone (IDR)'!J115,'Output_Standalone (IDR)'!J254,'Output_Standalone (IDR)'!J277,'Output_Standalone (IDR)'!J323,'Output_Standalone (IDR)'!J461,'Output_Standalone (IDR)'!J484,'Output_Standalone (IDR)'!J507)</f>
        <v>305.28863657531383</v>
      </c>
      <c r="K44" s="316">
        <f>SUM('Output_Standalone (IDR)'!K20,'Output_Standalone (IDR)'!K44,'Output_Standalone (IDR)'!K68,'Output_Standalone (IDR)'!K115,'Output_Standalone (IDR)'!K254,'Output_Standalone (IDR)'!K277,'Output_Standalone (IDR)'!K323,'Output_Standalone (IDR)'!K461,'Output_Standalone (IDR)'!K484,'Output_Standalone (IDR)'!K507)</f>
        <v>427.60286647031637</v>
      </c>
      <c r="L44" s="316">
        <f>SUM('Output_Standalone (IDR)'!L20,'Output_Standalone (IDR)'!L44,'Output_Standalone (IDR)'!L68,'Output_Standalone (IDR)'!L115,'Output_Standalone (IDR)'!L254,'Output_Standalone (IDR)'!L277,'Output_Standalone (IDR)'!L323,'Output_Standalone (IDR)'!L461,'Output_Standalone (IDR)'!L484,'Output_Standalone (IDR)'!L507)</f>
        <v>622.06488628652892</v>
      </c>
      <c r="M44" s="316">
        <f>SUM('Output_Standalone (IDR)'!M20,'Output_Standalone (IDR)'!M44,'Output_Standalone (IDR)'!M68,'Output_Standalone (IDR)'!M115,'Output_Standalone (IDR)'!M254,'Output_Standalone (IDR)'!M277,'Output_Standalone (IDR)'!M323,'Output_Standalone (IDR)'!M461,'Output_Standalone (IDR)'!M484,'Output_Standalone (IDR)'!M507)</f>
        <v>754.46283287559299</v>
      </c>
      <c r="N44" s="316">
        <f>SUM('Output_Standalone (IDR)'!N20,'Output_Standalone (IDR)'!N44,'Output_Standalone (IDR)'!N68,'Output_Standalone (IDR)'!N115,'Output_Standalone (IDR)'!N254,'Output_Standalone (IDR)'!N277,'Output_Standalone (IDR)'!N323,'Output_Standalone (IDR)'!N461,'Output_Standalone (IDR)'!N484,'Output_Standalone (IDR)'!N507)</f>
        <v>841.30957702557623</v>
      </c>
      <c r="O44" s="316">
        <f>SUM('Output_Standalone (IDR)'!O20,'Output_Standalone (IDR)'!O44,'Output_Standalone (IDR)'!O68,'Output_Standalone (IDR)'!O115,'Output_Standalone (IDR)'!O254,'Output_Standalone (IDR)'!O277,'Output_Standalone (IDR)'!O323,'Output_Standalone (IDR)'!O461,'Output_Standalone (IDR)'!O484,'Output_Standalone (IDR)'!O507)</f>
        <v>917.90703723101194</v>
      </c>
      <c r="P44" s="316">
        <f>SUM('Output_Standalone (IDR)'!P20,'Output_Standalone (IDR)'!P44,'Output_Standalone (IDR)'!P68,'Output_Standalone (IDR)'!P115,'Output_Standalone (IDR)'!P254,'Output_Standalone (IDR)'!P277,'Output_Standalone (IDR)'!P323,'Output_Standalone (IDR)'!P461,'Output_Standalone (IDR)'!P484,'Output_Standalone (IDR)'!P507)</f>
        <v>957.01687917243328</v>
      </c>
      <c r="Q44" s="316">
        <f>SUM('Output_Standalone (IDR)'!Q20,'Output_Standalone (IDR)'!Q44,'Output_Standalone (IDR)'!Q68,'Output_Standalone (IDR)'!Q115,'Output_Standalone (IDR)'!Q254,'Output_Standalone (IDR)'!Q277,'Output_Standalone (IDR)'!Q323,'Output_Standalone (IDR)'!Q461,'Output_Standalone (IDR)'!Q484,'Output_Standalone (IDR)'!Q507)</f>
        <v>1021.4431095703574</v>
      </c>
      <c r="R44" s="316">
        <f>SUM('Output_Standalone (IDR)'!R20,'Output_Standalone (IDR)'!R44,'Output_Standalone (IDR)'!R68,'Output_Standalone (IDR)'!R115,'Output_Standalone (IDR)'!R254,'Output_Standalone (IDR)'!R277,'Output_Standalone (IDR)'!R323,'Output_Standalone (IDR)'!R461,'Output_Standalone (IDR)'!R484,'Output_Standalone (IDR)'!R507)</f>
        <v>1068.3291172001439</v>
      </c>
      <c r="S44" s="316">
        <f>SUM('Output_Standalone (IDR)'!S20,'Output_Standalone (IDR)'!S44,'Output_Standalone (IDR)'!S68,'Output_Standalone (IDR)'!S115,'Output_Standalone (IDR)'!S254,'Output_Standalone (IDR)'!S277,'Output_Standalone (IDR)'!S323,'Output_Standalone (IDR)'!S461,'Output_Standalone (IDR)'!S484,'Output_Standalone (IDR)'!S507)</f>
        <v>1137.2219371080032</v>
      </c>
      <c r="T44" s="316">
        <f>SUM('Output_Standalone (IDR)'!T20,'Output_Standalone (IDR)'!T44,'Output_Standalone (IDR)'!T68,'Output_Standalone (IDR)'!T115,'Output_Standalone (IDR)'!T254,'Output_Standalone (IDR)'!T277,'Output_Standalone (IDR)'!T323,'Output_Standalone (IDR)'!T461,'Output_Standalone (IDR)'!T484,'Output_Standalone (IDR)'!T507)</f>
        <v>1162.5819669451769</v>
      </c>
      <c r="U44" s="316">
        <f>SUM('Output_Standalone (IDR)'!U20,'Output_Standalone (IDR)'!U44,'Output_Standalone (IDR)'!U68,'Output_Standalone (IDR)'!U115,'Output_Standalone (IDR)'!U254,'Output_Standalone (IDR)'!U277,'Output_Standalone (IDR)'!U323,'Output_Standalone (IDR)'!U461,'Output_Standalone (IDR)'!U484,'Output_Standalone (IDR)'!U507)</f>
        <v>1171.2143622958556</v>
      </c>
      <c r="V44" s="316">
        <f>SUM('Output_Standalone (IDR)'!V20,'Output_Standalone (IDR)'!V44,'Output_Standalone (IDR)'!V68,'Output_Standalone (IDR)'!V115,'Output_Standalone (IDR)'!V254,'Output_Standalone (IDR)'!V277,'Output_Standalone (IDR)'!V323,'Output_Standalone (IDR)'!V461,'Output_Standalone (IDR)'!V484,'Output_Standalone (IDR)'!V507)</f>
        <v>1212.2895163049375</v>
      </c>
    </row>
    <row r="45" spans="2:22">
      <c r="B45" s="445" t="s">
        <v>473</v>
      </c>
      <c r="I45" s="338">
        <f>SUM(J45:V45)</f>
        <v>-2137.7468819208552</v>
      </c>
      <c r="J45" s="465">
        <f>SUM('Output_Standalone (IDR)'!J21,'Output_Standalone (IDR)'!J45,'Output_Standalone (IDR)'!J69,'Output_Standalone (IDR)'!J116,'Output_Standalone (IDR)'!J255,'Output_Standalone (IDR)'!J278,'Output_Standalone (IDR)'!J324,'Output_Standalone (IDR)'!J462,'Output_Standalone (IDR)'!J485,'Output_Standalone (IDR)'!J508)</f>
        <v>-122.54305842795947</v>
      </c>
      <c r="K45" s="465">
        <f>SUM('Output_Standalone (IDR)'!K21,'Output_Standalone (IDR)'!K45,'Output_Standalone (IDR)'!K69,'Output_Standalone (IDR)'!K116,'Output_Standalone (IDR)'!K255,'Output_Standalone (IDR)'!K278,'Output_Standalone (IDR)'!K324,'Output_Standalone (IDR)'!K462,'Output_Standalone (IDR)'!K485,'Output_Standalone (IDR)'!K508)</f>
        <v>-114.65876282442215</v>
      </c>
      <c r="L45" s="465">
        <f>SUM('Output_Standalone (IDR)'!L21,'Output_Standalone (IDR)'!L45,'Output_Standalone (IDR)'!L69,'Output_Standalone (IDR)'!L116,'Output_Standalone (IDR)'!L255,'Output_Standalone (IDR)'!L278,'Output_Standalone (IDR)'!L324,'Output_Standalone (IDR)'!L462,'Output_Standalone (IDR)'!L485,'Output_Standalone (IDR)'!L508)</f>
        <v>-112.22496672828652</v>
      </c>
      <c r="M45" s="465">
        <f>SUM('Output_Standalone (IDR)'!M21,'Output_Standalone (IDR)'!M45,'Output_Standalone (IDR)'!M69,'Output_Standalone (IDR)'!M116,'Output_Standalone (IDR)'!M255,'Output_Standalone (IDR)'!M278,'Output_Standalone (IDR)'!M324,'Output_Standalone (IDR)'!M462,'Output_Standalone (IDR)'!M485,'Output_Standalone (IDR)'!M508)</f>
        <v>-124.58113550223143</v>
      </c>
      <c r="N45" s="465">
        <f>SUM('Output_Standalone (IDR)'!N21,'Output_Standalone (IDR)'!N45,'Output_Standalone (IDR)'!N69,'Output_Standalone (IDR)'!N116,'Output_Standalone (IDR)'!N255,'Output_Standalone (IDR)'!N278,'Output_Standalone (IDR)'!N324,'Output_Standalone (IDR)'!N462,'Output_Standalone (IDR)'!N485,'Output_Standalone (IDR)'!N508)</f>
        <v>-146.73492706822378</v>
      </c>
      <c r="O45" s="465">
        <f>SUM('Output_Standalone (IDR)'!O21,'Output_Standalone (IDR)'!O45,'Output_Standalone (IDR)'!O69,'Output_Standalone (IDR)'!O116,'Output_Standalone (IDR)'!O255,'Output_Standalone (IDR)'!O278,'Output_Standalone (IDR)'!O324,'Output_Standalone (IDR)'!O462,'Output_Standalone (IDR)'!O485,'Output_Standalone (IDR)'!O508)</f>
        <v>-157.56435050601607</v>
      </c>
      <c r="P45" s="465">
        <f>SUM('Output_Standalone (IDR)'!P21,'Output_Standalone (IDR)'!P45,'Output_Standalone (IDR)'!P69,'Output_Standalone (IDR)'!P116,'Output_Standalone (IDR)'!P255,'Output_Standalone (IDR)'!P278,'Output_Standalone (IDR)'!P324,'Output_Standalone (IDR)'!P462,'Output_Standalone (IDR)'!P485,'Output_Standalone (IDR)'!P508)</f>
        <v>-167.62312796545598</v>
      </c>
      <c r="Q45" s="465">
        <f>SUM('Output_Standalone (IDR)'!Q21,'Output_Standalone (IDR)'!Q45,'Output_Standalone (IDR)'!Q69,'Output_Standalone (IDR)'!Q116,'Output_Standalone (IDR)'!Q255,'Output_Standalone (IDR)'!Q278,'Output_Standalone (IDR)'!Q324,'Output_Standalone (IDR)'!Q462,'Output_Standalone (IDR)'!Q485,'Output_Standalone (IDR)'!Q508)</f>
        <v>-179.27913237363651</v>
      </c>
      <c r="R45" s="465">
        <f>SUM('Output_Standalone (IDR)'!R21,'Output_Standalone (IDR)'!R45,'Output_Standalone (IDR)'!R69,'Output_Standalone (IDR)'!R116,'Output_Standalone (IDR)'!R255,'Output_Standalone (IDR)'!R278,'Output_Standalone (IDR)'!R324,'Output_Standalone (IDR)'!R462,'Output_Standalone (IDR)'!R485,'Output_Standalone (IDR)'!R508)</f>
        <v>-190.1349958139092</v>
      </c>
      <c r="S45" s="465">
        <f>SUM('Output_Standalone (IDR)'!S21,'Output_Standalone (IDR)'!S45,'Output_Standalone (IDR)'!S69,'Output_Standalone (IDR)'!S116,'Output_Standalone (IDR)'!S255,'Output_Standalone (IDR)'!S278,'Output_Standalone (IDR)'!S324,'Output_Standalone (IDR)'!S462,'Output_Standalone (IDR)'!S485,'Output_Standalone (IDR)'!S508)</f>
        <v>-201.60267788366619</v>
      </c>
      <c r="T45" s="465">
        <f>SUM('Output_Standalone (IDR)'!T21,'Output_Standalone (IDR)'!T45,'Output_Standalone (IDR)'!T69,'Output_Standalone (IDR)'!T116,'Output_Standalone (IDR)'!T255,'Output_Standalone (IDR)'!T278,'Output_Standalone (IDR)'!T324,'Output_Standalone (IDR)'!T462,'Output_Standalone (IDR)'!T485,'Output_Standalone (IDR)'!T508)</f>
        <v>-197.45913659428521</v>
      </c>
      <c r="U45" s="465">
        <f>SUM('Output_Standalone (IDR)'!U21,'Output_Standalone (IDR)'!U45,'Output_Standalone (IDR)'!U69,'Output_Standalone (IDR)'!U116,'Output_Standalone (IDR)'!U255,'Output_Standalone (IDR)'!U278,'Output_Standalone (IDR)'!U324,'Output_Standalone (IDR)'!U462,'Output_Standalone (IDR)'!U485,'Output_Standalone (IDR)'!U508)</f>
        <v>-206.4094677279102</v>
      </c>
      <c r="V45" s="465">
        <f>SUM('Output_Standalone (IDR)'!V21,'Output_Standalone (IDR)'!V45,'Output_Standalone (IDR)'!V69,'Output_Standalone (IDR)'!V116,'Output_Standalone (IDR)'!V255,'Output_Standalone (IDR)'!V278,'Output_Standalone (IDR)'!V324,'Output_Standalone (IDR)'!V462,'Output_Standalone (IDR)'!V485,'Output_Standalone (IDR)'!V508)</f>
        <v>-216.93114250485289</v>
      </c>
    </row>
    <row r="46" spans="2:22">
      <c r="B46" s="340" t="s">
        <v>1017</v>
      </c>
      <c r="C46" s="340"/>
      <c r="D46" s="340"/>
      <c r="E46" s="340"/>
      <c r="F46" s="340"/>
      <c r="G46" s="340"/>
      <c r="H46" s="340"/>
      <c r="I46" s="341">
        <f>SUM(J46:V46)</f>
        <v>9460.9858431403936</v>
      </c>
      <c r="J46" s="342">
        <f>SUM(J44:J45)</f>
        <v>182.74557814735437</v>
      </c>
      <c r="K46" s="342">
        <f t="shared" ref="K46:V46" si="20">SUM(K44:K45)</f>
        <v>312.94410364589419</v>
      </c>
      <c r="L46" s="342">
        <f t="shared" si="20"/>
        <v>509.8399195582424</v>
      </c>
      <c r="M46" s="342">
        <f t="shared" si="20"/>
        <v>629.88169737336159</v>
      </c>
      <c r="N46" s="342">
        <f t="shared" si="20"/>
        <v>694.57464995735245</v>
      </c>
      <c r="O46" s="342">
        <f t="shared" si="20"/>
        <v>760.34268672499593</v>
      </c>
      <c r="P46" s="342">
        <f t="shared" si="20"/>
        <v>789.3937512069773</v>
      </c>
      <c r="Q46" s="342">
        <f t="shared" si="20"/>
        <v>842.16397719672091</v>
      </c>
      <c r="R46" s="342">
        <f t="shared" si="20"/>
        <v>878.19412138623466</v>
      </c>
      <c r="S46" s="342">
        <f t="shared" si="20"/>
        <v>935.61925922433704</v>
      </c>
      <c r="T46" s="342">
        <f t="shared" si="20"/>
        <v>965.12283035089172</v>
      </c>
      <c r="U46" s="342">
        <f t="shared" si="20"/>
        <v>964.80489456794544</v>
      </c>
      <c r="V46" s="342">
        <f t="shared" si="20"/>
        <v>995.35837380008456</v>
      </c>
    </row>
    <row r="47" spans="2:22"/>
    <row r="48" spans="2:22">
      <c r="B48" s="315" t="s">
        <v>852</v>
      </c>
      <c r="I48" s="338">
        <f>SUM(J48:V48)</f>
        <v>-2475.6657803434437</v>
      </c>
      <c r="J48" s="316">
        <f>SUM('Output_Standalone (IDR)'!J24,'Output_Standalone (IDR)'!J48,'Output_Standalone (IDR)'!J72,'Output_Standalone (IDR)'!J119,'Output_Standalone (IDR)'!J258,'Output_Standalone (IDR)'!J281,'Output_Standalone (IDR)'!J327,'Output_Standalone (IDR)'!J465,'Output_Standalone (IDR)'!J488,'Output_Standalone (IDR)'!J511)</f>
        <v>-28.510102744491377</v>
      </c>
      <c r="K48" s="316">
        <f>SUM('Output_Standalone (IDR)'!K24,'Output_Standalone (IDR)'!K48,'Output_Standalone (IDR)'!K72,'Output_Standalone (IDR)'!K119,'Output_Standalone (IDR)'!K258,'Output_Standalone (IDR)'!K281,'Output_Standalone (IDR)'!K327,'Output_Standalone (IDR)'!K465,'Output_Standalone (IDR)'!K488,'Output_Standalone (IDR)'!K511)</f>
        <v>-49.385569867169941</v>
      </c>
      <c r="L48" s="316">
        <f>SUM('Output_Standalone (IDR)'!L24,'Output_Standalone (IDR)'!L48,'Output_Standalone (IDR)'!L72,'Output_Standalone (IDR)'!L119,'Output_Standalone (IDR)'!L258,'Output_Standalone (IDR)'!L281,'Output_Standalone (IDR)'!L327,'Output_Standalone (IDR)'!L465,'Output_Standalone (IDR)'!L488,'Output_Standalone (IDR)'!L511)</f>
        <v>-142.34963152703656</v>
      </c>
      <c r="M48" s="316">
        <f>SUM('Output_Standalone (IDR)'!M24,'Output_Standalone (IDR)'!M48,'Output_Standalone (IDR)'!M72,'Output_Standalone (IDR)'!M119,'Output_Standalone (IDR)'!M258,'Output_Standalone (IDR)'!M281,'Output_Standalone (IDR)'!M327,'Output_Standalone (IDR)'!M465,'Output_Standalone (IDR)'!M488,'Output_Standalone (IDR)'!M511)</f>
        <v>-179.63356404358828</v>
      </c>
      <c r="N48" s="316">
        <f>SUM('Output_Standalone (IDR)'!N24,'Output_Standalone (IDR)'!N48,'Output_Standalone (IDR)'!N72,'Output_Standalone (IDR)'!N119,'Output_Standalone (IDR)'!N258,'Output_Standalone (IDR)'!N281,'Output_Standalone (IDR)'!N327,'Output_Standalone (IDR)'!N465,'Output_Standalone (IDR)'!N488,'Output_Standalone (IDR)'!N511)</f>
        <v>-195.40514447930582</v>
      </c>
      <c r="O48" s="316">
        <f>SUM('Output_Standalone (IDR)'!O24,'Output_Standalone (IDR)'!O48,'Output_Standalone (IDR)'!O72,'Output_Standalone (IDR)'!O119,'Output_Standalone (IDR)'!O258,'Output_Standalone (IDR)'!O281,'Output_Standalone (IDR)'!O327,'Output_Standalone (IDR)'!O465,'Output_Standalone (IDR)'!O488,'Output_Standalone (IDR)'!O511)</f>
        <v>-206.35234657835412</v>
      </c>
      <c r="P48" s="316">
        <f>SUM('Output_Standalone (IDR)'!P24,'Output_Standalone (IDR)'!P48,'Output_Standalone (IDR)'!P72,'Output_Standalone (IDR)'!P119,'Output_Standalone (IDR)'!P258,'Output_Standalone (IDR)'!P281,'Output_Standalone (IDR)'!P327,'Output_Standalone (IDR)'!P465,'Output_Standalone (IDR)'!P488,'Output_Standalone (IDR)'!P511)</f>
        <v>-214.02773557939483</v>
      </c>
      <c r="Q48" s="316">
        <f>SUM('Output_Standalone (IDR)'!Q24,'Output_Standalone (IDR)'!Q48,'Output_Standalone (IDR)'!Q72,'Output_Standalone (IDR)'!Q119,'Output_Standalone (IDR)'!Q258,'Output_Standalone (IDR)'!Q281,'Output_Standalone (IDR)'!Q327,'Output_Standalone (IDR)'!Q465,'Output_Standalone (IDR)'!Q488,'Output_Standalone (IDR)'!Q511)</f>
        <v>-223.79128417303747</v>
      </c>
      <c r="R48" s="316">
        <f>SUM('Output_Standalone (IDR)'!R24,'Output_Standalone (IDR)'!R48,'Output_Standalone (IDR)'!R72,'Output_Standalone (IDR)'!R119,'Output_Standalone (IDR)'!R258,'Output_Standalone (IDR)'!R281,'Output_Standalone (IDR)'!R327,'Output_Standalone (IDR)'!R465,'Output_Standalone (IDR)'!R488,'Output_Standalone (IDR)'!R511)</f>
        <v>-231.12485212079091</v>
      </c>
      <c r="S48" s="316">
        <f>SUM('Output_Standalone (IDR)'!S24,'Output_Standalone (IDR)'!S48,'Output_Standalone (IDR)'!S72,'Output_Standalone (IDR)'!S119,'Output_Standalone (IDR)'!S258,'Output_Standalone (IDR)'!S281,'Output_Standalone (IDR)'!S327,'Output_Standalone (IDR)'!S465,'Output_Standalone (IDR)'!S488,'Output_Standalone (IDR)'!S511)</f>
        <v>-241.32737311622884</v>
      </c>
      <c r="T48" s="316">
        <f>SUM('Output_Standalone (IDR)'!T24,'Output_Standalone (IDR)'!T48,'Output_Standalone (IDR)'!T72,'Output_Standalone (IDR)'!T119,'Output_Standalone (IDR)'!T258,'Output_Standalone (IDR)'!T281,'Output_Standalone (IDR)'!T327,'Output_Standalone (IDR)'!T465,'Output_Standalone (IDR)'!T488,'Output_Standalone (IDR)'!T511)</f>
        <v>-249.21333487689901</v>
      </c>
      <c r="U48" s="316">
        <f>SUM('Output_Standalone (IDR)'!U24,'Output_Standalone (IDR)'!U48,'Output_Standalone (IDR)'!U72,'Output_Standalone (IDR)'!U119,'Output_Standalone (IDR)'!U258,'Output_Standalone (IDR)'!U281,'Output_Standalone (IDR)'!U327,'Output_Standalone (IDR)'!U465,'Output_Standalone (IDR)'!U488,'Output_Standalone (IDR)'!U511)</f>
        <v>-253.45950834919216</v>
      </c>
      <c r="V48" s="316">
        <f>SUM('Output_Standalone (IDR)'!V24,'Output_Standalone (IDR)'!V48,'Output_Standalone (IDR)'!V72,'Output_Standalone (IDR)'!V119,'Output_Standalone (IDR)'!V258,'Output_Standalone (IDR)'!V281,'Output_Standalone (IDR)'!V327,'Output_Standalone (IDR)'!V465,'Output_Standalone (IDR)'!V488,'Output_Standalone (IDR)'!V511)</f>
        <v>-261.08533288795434</v>
      </c>
    </row>
    <row r="49" spans="2:22">
      <c r="B49" s="340" t="s">
        <v>139</v>
      </c>
      <c r="C49" s="340"/>
      <c r="D49" s="340"/>
      <c r="E49" s="340"/>
      <c r="F49" s="340"/>
      <c r="G49" s="340"/>
      <c r="H49" s="340"/>
      <c r="I49" s="341">
        <f>SUM(J49:V49)</f>
        <v>6985.3200627969491</v>
      </c>
      <c r="J49" s="342">
        <f>SUM(J46,J48)</f>
        <v>154.23547540286299</v>
      </c>
      <c r="K49" s="342">
        <f t="shared" ref="K49:V49" si="21">SUM(K46,K48)</f>
        <v>263.55853377872427</v>
      </c>
      <c r="L49" s="342">
        <f t="shared" si="21"/>
        <v>367.49028803120586</v>
      </c>
      <c r="M49" s="342">
        <f t="shared" si="21"/>
        <v>450.24813332977328</v>
      </c>
      <c r="N49" s="342">
        <f t="shared" si="21"/>
        <v>499.16950547804663</v>
      </c>
      <c r="O49" s="342">
        <f t="shared" si="21"/>
        <v>553.99034014664176</v>
      </c>
      <c r="P49" s="342">
        <f t="shared" si="21"/>
        <v>575.36601562758244</v>
      </c>
      <c r="Q49" s="342">
        <f t="shared" si="21"/>
        <v>618.3726930236835</v>
      </c>
      <c r="R49" s="342">
        <f t="shared" si="21"/>
        <v>647.06926926544372</v>
      </c>
      <c r="S49" s="342">
        <f t="shared" si="21"/>
        <v>694.2918861081082</v>
      </c>
      <c r="T49" s="342">
        <f t="shared" si="21"/>
        <v>715.90949547399271</v>
      </c>
      <c r="U49" s="342">
        <f t="shared" si="21"/>
        <v>711.34538621875322</v>
      </c>
      <c r="V49" s="342">
        <f t="shared" si="21"/>
        <v>734.27304091213023</v>
      </c>
    </row>
    <row r="50" spans="2:22">
      <c r="J50" s="343">
        <f>J49/USD_IDR*Thousands</f>
        <v>9.4826606457339686</v>
      </c>
      <c r="K50" s="343">
        <f>K49/USD_IDR*Thousands</f>
        <v>16.204029128725747</v>
      </c>
    </row>
    <row r="51" spans="2:22">
      <c r="B51" s="315" t="s">
        <v>1018</v>
      </c>
      <c r="I51" s="341">
        <f>SUM(J51:V51)</f>
        <v>-1781.3837023435638</v>
      </c>
      <c r="J51" s="316">
        <f>SUM('Output_Standalone (IDR)'!J27,'Output_Standalone (IDR)'!J51,'Output_Standalone (IDR)'!J75,'Output_Standalone (IDR)'!J122,'Output_Standalone (IDR)'!J261,'Output_Standalone (IDR)'!J284,'Output_Standalone (IDR)'!J330,'Output_Standalone (IDR)'!J468,'Output_Standalone (IDR)'!J491,'Output_Standalone (IDR)'!J514)</f>
        <v>-88.373062408935311</v>
      </c>
      <c r="K51" s="316">
        <f>SUM('Output_Standalone (IDR)'!K27,'Output_Standalone (IDR)'!K51,'Output_Standalone (IDR)'!K75,'Output_Standalone (IDR)'!K122,'Output_Standalone (IDR)'!K261,'Output_Standalone (IDR)'!K284,'Output_Standalone (IDR)'!K330,'Output_Standalone (IDR)'!K468,'Output_Standalone (IDR)'!K491,'Output_Standalone (IDR)'!K514)</f>
        <v>-113.59968518200156</v>
      </c>
      <c r="L51" s="316">
        <f>SUM('Output_Standalone (IDR)'!L27,'Output_Standalone (IDR)'!L51,'Output_Standalone (IDR)'!L75,'Output_Standalone (IDR)'!L122,'Output_Standalone (IDR)'!L261,'Output_Standalone (IDR)'!L284,'Output_Standalone (IDR)'!L330,'Output_Standalone (IDR)'!L468,'Output_Standalone (IDR)'!L491,'Output_Standalone (IDR)'!L514)</f>
        <v>-134.96780390311255</v>
      </c>
      <c r="M51" s="316">
        <f>SUM('Output_Standalone (IDR)'!M27,'Output_Standalone (IDR)'!M51,'Output_Standalone (IDR)'!M75,'Output_Standalone (IDR)'!M122,'Output_Standalone (IDR)'!M261,'Output_Standalone (IDR)'!M284,'Output_Standalone (IDR)'!M330,'Output_Standalone (IDR)'!M468,'Output_Standalone (IDR)'!M491,'Output_Standalone (IDR)'!M514)</f>
        <v>-136.94134168720862</v>
      </c>
      <c r="N51" s="316">
        <f>SUM('Output_Standalone (IDR)'!N27,'Output_Standalone (IDR)'!N51,'Output_Standalone (IDR)'!N75,'Output_Standalone (IDR)'!N122,'Output_Standalone (IDR)'!N261,'Output_Standalone (IDR)'!N284,'Output_Standalone (IDR)'!N330,'Output_Standalone (IDR)'!N468,'Output_Standalone (IDR)'!N491,'Output_Standalone (IDR)'!N514)</f>
        <v>-144.19843006333596</v>
      </c>
      <c r="O51" s="316">
        <f>SUM('Output_Standalone (IDR)'!O27,'Output_Standalone (IDR)'!O51,'Output_Standalone (IDR)'!O75,'Output_Standalone (IDR)'!O122,'Output_Standalone (IDR)'!O261,'Output_Standalone (IDR)'!O284,'Output_Standalone (IDR)'!O330,'Output_Standalone (IDR)'!O468,'Output_Standalone (IDR)'!O491,'Output_Standalone (IDR)'!O514)</f>
        <v>-146.20716215698582</v>
      </c>
      <c r="P51" s="316">
        <f>SUM('Output_Standalone (IDR)'!P27,'Output_Standalone (IDR)'!P51,'Output_Standalone (IDR)'!P75,'Output_Standalone (IDR)'!P122,'Output_Standalone (IDR)'!P261,'Output_Standalone (IDR)'!P284,'Output_Standalone (IDR)'!P330,'Output_Standalone (IDR)'!P468,'Output_Standalone (IDR)'!P491,'Output_Standalone (IDR)'!P514)</f>
        <v>-146.2160688925087</v>
      </c>
      <c r="Q51" s="316">
        <f>SUM('Output_Standalone (IDR)'!Q27,'Output_Standalone (IDR)'!Q51,'Output_Standalone (IDR)'!Q75,'Output_Standalone (IDR)'!Q122,'Output_Standalone (IDR)'!Q261,'Output_Standalone (IDR)'!Q284,'Output_Standalone (IDR)'!Q330,'Output_Standalone (IDR)'!Q468,'Output_Standalone (IDR)'!Q491,'Output_Standalone (IDR)'!Q514)</f>
        <v>-146.225153762742</v>
      </c>
      <c r="R51" s="316">
        <f>SUM('Output_Standalone (IDR)'!R27,'Output_Standalone (IDR)'!R51,'Output_Standalone (IDR)'!R75,'Output_Standalone (IDR)'!R122,'Output_Standalone (IDR)'!R261,'Output_Standalone (IDR)'!R284,'Output_Standalone (IDR)'!R330,'Output_Standalone (IDR)'!R468,'Output_Standalone (IDR)'!R491,'Output_Standalone (IDR)'!R514)</f>
        <v>-148.23442033038</v>
      </c>
      <c r="S51" s="316">
        <f>SUM('Output_Standalone (IDR)'!S27,'Output_Standalone (IDR)'!S51,'Output_Standalone (IDR)'!S75,'Output_Standalone (IDR)'!S122,'Output_Standalone (IDR)'!S261,'Output_Standalone (IDR)'!S284,'Output_Standalone (IDR)'!S330,'Output_Standalone (IDR)'!S468,'Output_Standalone (IDR)'!S491,'Output_Standalone (IDR)'!S514)</f>
        <v>-148.24387222937074</v>
      </c>
      <c r="T51" s="316">
        <f>SUM('Output_Standalone (IDR)'!T27,'Output_Standalone (IDR)'!T51,'Output_Standalone (IDR)'!T75,'Output_Standalone (IDR)'!T122,'Output_Standalone (IDR)'!T261,'Output_Standalone (IDR)'!T284,'Output_Standalone (IDR)'!T330,'Output_Standalone (IDR)'!T468,'Output_Standalone (IDR)'!T491,'Output_Standalone (IDR)'!T514)</f>
        <v>-142.71566792824606</v>
      </c>
      <c r="U51" s="316">
        <f>SUM('Output_Standalone (IDR)'!U27,'Output_Standalone (IDR)'!U51,'Output_Standalone (IDR)'!U75,'Output_Standalone (IDR)'!U122,'Output_Standalone (IDR)'!U261,'Output_Standalone (IDR)'!U284,'Output_Standalone (IDR)'!U330,'Output_Standalone (IDR)'!U468,'Output_Standalone (IDR)'!U491,'Output_Standalone (IDR)'!U514)</f>
        <v>-142.72550168395603</v>
      </c>
      <c r="V51" s="316">
        <f>SUM('Output_Standalone (IDR)'!V27,'Output_Standalone (IDR)'!V51,'Output_Standalone (IDR)'!V75,'Output_Standalone (IDR)'!V122,'Output_Standalone (IDR)'!V261,'Output_Standalone (IDR)'!V284,'Output_Standalone (IDR)'!V330,'Output_Standalone (IDR)'!V468,'Output_Standalone (IDR)'!V491,'Output_Standalone (IDR)'!V514)</f>
        <v>-142.7355321147802</v>
      </c>
    </row>
    <row r="52" spans="2:22">
      <c r="B52" s="340" t="s">
        <v>434</v>
      </c>
      <c r="C52" s="340"/>
      <c r="D52" s="340"/>
      <c r="E52" s="340"/>
      <c r="F52" s="340"/>
      <c r="G52" s="340"/>
      <c r="H52" s="340"/>
      <c r="I52" s="341">
        <f>SUM(J52:V52)</f>
        <v>5203.9363604533846</v>
      </c>
      <c r="J52" s="342">
        <f>SUM(J49,J51)</f>
        <v>65.862412993927677</v>
      </c>
      <c r="K52" s="342">
        <f t="shared" ref="K52:V52" si="22">SUM(K49,K51)</f>
        <v>149.9588485967227</v>
      </c>
      <c r="L52" s="342">
        <f t="shared" si="22"/>
        <v>232.52248412809331</v>
      </c>
      <c r="M52" s="342">
        <f t="shared" si="22"/>
        <v>313.30679164256469</v>
      </c>
      <c r="N52" s="342">
        <f t="shared" si="22"/>
        <v>354.97107541471064</v>
      </c>
      <c r="O52" s="342">
        <f t="shared" si="22"/>
        <v>407.78317798965594</v>
      </c>
      <c r="P52" s="342">
        <f t="shared" si="22"/>
        <v>429.14994673507374</v>
      </c>
      <c r="Q52" s="342">
        <f t="shared" si="22"/>
        <v>472.14753926094147</v>
      </c>
      <c r="R52" s="342">
        <f t="shared" si="22"/>
        <v>498.83484893506375</v>
      </c>
      <c r="S52" s="342">
        <f t="shared" si="22"/>
        <v>546.04801387873749</v>
      </c>
      <c r="T52" s="342">
        <f t="shared" si="22"/>
        <v>573.19382754574667</v>
      </c>
      <c r="U52" s="342">
        <f t="shared" si="22"/>
        <v>568.61988453479717</v>
      </c>
      <c r="V52" s="342">
        <f t="shared" si="22"/>
        <v>591.53750879735003</v>
      </c>
    </row>
    <row r="53" spans="2:22">
      <c r="I53" s="339"/>
      <c r="J53" s="339"/>
      <c r="K53" s="339"/>
      <c r="L53" s="339"/>
      <c r="M53" s="339"/>
      <c r="N53" s="339"/>
      <c r="O53" s="339"/>
      <c r="P53" s="339"/>
      <c r="Q53" s="339"/>
      <c r="R53" s="339"/>
      <c r="S53" s="339"/>
      <c r="T53" s="339"/>
      <c r="U53" s="339"/>
      <c r="V53" s="339"/>
    </row>
    <row r="54" spans="2:22">
      <c r="B54" s="315" t="s">
        <v>881</v>
      </c>
      <c r="I54" s="338">
        <f>SUM(J54:V54)</f>
        <v>-20.744355695430656</v>
      </c>
      <c r="J54" s="316">
        <f>SUM('Output_Standalone (IDR)'!J30,'Output_Standalone (IDR)'!J54,'Output_Standalone (IDR)'!J78,'Output_Standalone (IDR)'!J125,'Output_Standalone (IDR)'!J264,'Output_Standalone (IDR)'!J287,'Output_Standalone (IDR)'!J333,'Output_Standalone (IDR)'!J471,'Output_Standalone (IDR)'!J494,'Output_Standalone (IDR)'!J517)</f>
        <v>-5.4709055176610004</v>
      </c>
      <c r="K54" s="316">
        <f>SUM('Output_Standalone (IDR)'!K30,'Output_Standalone (IDR)'!K54,'Output_Standalone (IDR)'!K78,'Output_Standalone (IDR)'!K125,'Output_Standalone (IDR)'!K264,'Output_Standalone (IDR)'!K287,'Output_Standalone (IDR)'!K333,'Output_Standalone (IDR)'!K471,'Output_Standalone (IDR)'!K494,'Output_Standalone (IDR)'!K517)</f>
        <v>-15.273450177769657</v>
      </c>
      <c r="L54" s="316">
        <f>SUM('Output_Standalone (IDR)'!L30,'Output_Standalone (IDR)'!L54,'Output_Standalone (IDR)'!L78,'Output_Standalone (IDR)'!L125,'Output_Standalone (IDR)'!L264,'Output_Standalone (IDR)'!L287,'Output_Standalone (IDR)'!L333,'Output_Standalone (IDR)'!L471,'Output_Standalone (IDR)'!L494,'Output_Standalone (IDR)'!L517)</f>
        <v>0</v>
      </c>
      <c r="M54" s="316">
        <f>SUM('Output_Standalone (IDR)'!M30,'Output_Standalone (IDR)'!M54,'Output_Standalone (IDR)'!M78,'Output_Standalone (IDR)'!M125,'Output_Standalone (IDR)'!M264,'Output_Standalone (IDR)'!M287,'Output_Standalone (IDR)'!M333,'Output_Standalone (IDR)'!M471,'Output_Standalone (IDR)'!M494,'Output_Standalone (IDR)'!M517)</f>
        <v>0</v>
      </c>
      <c r="N54" s="316">
        <f>SUM('Output_Standalone (IDR)'!N30,'Output_Standalone (IDR)'!N54,'Output_Standalone (IDR)'!N78,'Output_Standalone (IDR)'!N125,'Output_Standalone (IDR)'!N264,'Output_Standalone (IDR)'!N287,'Output_Standalone (IDR)'!N333,'Output_Standalone (IDR)'!N471,'Output_Standalone (IDR)'!N494,'Output_Standalone (IDR)'!N517)</f>
        <v>0</v>
      </c>
      <c r="O54" s="316">
        <f>SUM('Output_Standalone (IDR)'!O30,'Output_Standalone (IDR)'!O54,'Output_Standalone (IDR)'!O78,'Output_Standalone (IDR)'!O125,'Output_Standalone (IDR)'!O264,'Output_Standalone (IDR)'!O287,'Output_Standalone (IDR)'!O333,'Output_Standalone (IDR)'!O471,'Output_Standalone (IDR)'!O494,'Output_Standalone (IDR)'!O517)</f>
        <v>0</v>
      </c>
      <c r="P54" s="316">
        <f>SUM('Output_Standalone (IDR)'!P30,'Output_Standalone (IDR)'!P54,'Output_Standalone (IDR)'!P78,'Output_Standalone (IDR)'!P125,'Output_Standalone (IDR)'!P264,'Output_Standalone (IDR)'!P287,'Output_Standalone (IDR)'!P333,'Output_Standalone (IDR)'!P471,'Output_Standalone (IDR)'!P494,'Output_Standalone (IDR)'!P517)</f>
        <v>0</v>
      </c>
      <c r="Q54" s="316">
        <f>SUM('Output_Standalone (IDR)'!Q30,'Output_Standalone (IDR)'!Q54,'Output_Standalone (IDR)'!Q78,'Output_Standalone (IDR)'!Q125,'Output_Standalone (IDR)'!Q264,'Output_Standalone (IDR)'!Q287,'Output_Standalone (IDR)'!Q333,'Output_Standalone (IDR)'!Q471,'Output_Standalone (IDR)'!Q494,'Output_Standalone (IDR)'!Q517)</f>
        <v>0</v>
      </c>
      <c r="R54" s="316">
        <f>SUM('Output_Standalone (IDR)'!R30,'Output_Standalone (IDR)'!R54,'Output_Standalone (IDR)'!R78,'Output_Standalone (IDR)'!R125,'Output_Standalone (IDR)'!R264,'Output_Standalone (IDR)'!R287,'Output_Standalone (IDR)'!R333,'Output_Standalone (IDR)'!R471,'Output_Standalone (IDR)'!R494,'Output_Standalone (IDR)'!R517)</f>
        <v>0</v>
      </c>
      <c r="S54" s="316">
        <f>SUM('Output_Standalone (IDR)'!S30,'Output_Standalone (IDR)'!S54,'Output_Standalone (IDR)'!S78,'Output_Standalone (IDR)'!S125,'Output_Standalone (IDR)'!S264,'Output_Standalone (IDR)'!S287,'Output_Standalone (IDR)'!S333,'Output_Standalone (IDR)'!S471,'Output_Standalone (IDR)'!S494,'Output_Standalone (IDR)'!S517)</f>
        <v>0</v>
      </c>
      <c r="T54" s="316">
        <f>SUM('Output_Standalone (IDR)'!T30,'Output_Standalone (IDR)'!T54,'Output_Standalone (IDR)'!T78,'Output_Standalone (IDR)'!T125,'Output_Standalone (IDR)'!T264,'Output_Standalone (IDR)'!T287,'Output_Standalone (IDR)'!T333,'Output_Standalone (IDR)'!T471,'Output_Standalone (IDR)'!T494,'Output_Standalone (IDR)'!T517)</f>
        <v>0</v>
      </c>
      <c r="U54" s="316">
        <f>SUM('Output_Standalone (IDR)'!U30,'Output_Standalone (IDR)'!U54,'Output_Standalone (IDR)'!U78,'Output_Standalone (IDR)'!U125,'Output_Standalone (IDR)'!U264,'Output_Standalone (IDR)'!U287,'Output_Standalone (IDR)'!U333,'Output_Standalone (IDR)'!U471,'Output_Standalone (IDR)'!U494,'Output_Standalone (IDR)'!U517)</f>
        <v>0</v>
      </c>
      <c r="V54" s="316">
        <f>SUM('Output_Standalone (IDR)'!V30,'Output_Standalone (IDR)'!V54,'Output_Standalone (IDR)'!V78,'Output_Standalone (IDR)'!V125,'Output_Standalone (IDR)'!V264,'Output_Standalone (IDR)'!V287,'Output_Standalone (IDR)'!V333,'Output_Standalone (IDR)'!V471,'Output_Standalone (IDR)'!V494,'Output_Standalone (IDR)'!V517)</f>
        <v>0</v>
      </c>
    </row>
    <row r="55" spans="2:22">
      <c r="B55" s="340" t="s">
        <v>1019</v>
      </c>
      <c r="C55" s="340"/>
      <c r="D55" s="340"/>
      <c r="E55" s="340"/>
      <c r="F55" s="340"/>
      <c r="G55" s="340"/>
      <c r="H55" s="340"/>
      <c r="I55" s="338">
        <f>SUM(J55:V55)</f>
        <v>5183.1920047579542</v>
      </c>
      <c r="J55" s="342">
        <f>SUM(J52,J54)</f>
        <v>60.391507476266675</v>
      </c>
      <c r="K55" s="342">
        <f t="shared" ref="K55:V55" si="23">SUM(K52,K54)</f>
        <v>134.68539841895304</v>
      </c>
      <c r="L55" s="342">
        <f t="shared" si="23"/>
        <v>232.52248412809331</v>
      </c>
      <c r="M55" s="342">
        <f t="shared" si="23"/>
        <v>313.30679164256469</v>
      </c>
      <c r="N55" s="342">
        <f t="shared" si="23"/>
        <v>354.97107541471064</v>
      </c>
      <c r="O55" s="342">
        <f t="shared" si="23"/>
        <v>407.78317798965594</v>
      </c>
      <c r="P55" s="342">
        <f t="shared" si="23"/>
        <v>429.14994673507374</v>
      </c>
      <c r="Q55" s="342">
        <f t="shared" si="23"/>
        <v>472.14753926094147</v>
      </c>
      <c r="R55" s="342">
        <f t="shared" si="23"/>
        <v>498.83484893506375</v>
      </c>
      <c r="S55" s="342">
        <f t="shared" si="23"/>
        <v>546.04801387873749</v>
      </c>
      <c r="T55" s="342">
        <f t="shared" si="23"/>
        <v>573.19382754574667</v>
      </c>
      <c r="U55" s="342">
        <f t="shared" si="23"/>
        <v>568.61988453479717</v>
      </c>
      <c r="V55" s="342">
        <f t="shared" si="23"/>
        <v>591.53750879735003</v>
      </c>
    </row>
    <row r="56" spans="2:22">
      <c r="I56" s="339"/>
      <c r="J56" s="339"/>
      <c r="K56" s="339"/>
      <c r="L56" s="339"/>
      <c r="M56" s="339"/>
      <c r="N56" s="339"/>
      <c r="O56" s="339"/>
      <c r="P56" s="339"/>
      <c r="Q56" s="339"/>
      <c r="R56" s="339"/>
      <c r="S56" s="339"/>
      <c r="T56" s="339"/>
      <c r="U56" s="339"/>
      <c r="V56" s="339"/>
    </row>
    <row r="57" spans="2:22">
      <c r="B57" s="315" t="s">
        <v>759</v>
      </c>
      <c r="I57" s="338">
        <f>SUM(J57:V57)</f>
        <v>-1159.0913802251966</v>
      </c>
      <c r="J57" s="339">
        <f>SUM('Output_Standalone (IDR)'!J33,'Output_Standalone (IDR)'!J57,'Output_Standalone (IDR)'!J81,'Output_Standalone (IDR)'!J128,'Output_Standalone (IDR)'!J267,'Output_Standalone (IDR)'!J290,'Output_Standalone (IDR)'!J336,'Output_Standalone (IDR)'!J474,'Output_Standalone (IDR)'!J497,'Output_Standalone (IDR)'!J520)</f>
        <v>-19.962283512427824</v>
      </c>
      <c r="K57" s="339">
        <f>SUM('Output_Standalone (IDR)'!K33,'Output_Standalone (IDR)'!K57,'Output_Standalone (IDR)'!K81,'Output_Standalone (IDR)'!K128,'Output_Standalone (IDR)'!K267,'Output_Standalone (IDR)'!K290,'Output_Standalone (IDR)'!K336,'Output_Standalone (IDR)'!K474,'Output_Standalone (IDR)'!K497,'Output_Standalone (IDR)'!K520)</f>
        <v>-34.011742338910182</v>
      </c>
      <c r="L57" s="339">
        <f>SUM('Output_Standalone (IDR)'!L33,'Output_Standalone (IDR)'!L57,'Output_Standalone (IDR)'!L81,'Output_Standalone (IDR)'!L128,'Output_Standalone (IDR)'!L267,'Output_Standalone (IDR)'!L290,'Output_Standalone (IDR)'!L336,'Output_Standalone (IDR)'!L474,'Output_Standalone (IDR)'!L497,'Output_Standalone (IDR)'!L520)</f>
        <v>-55.219449591529781</v>
      </c>
      <c r="M57" s="339">
        <f>SUM('Output_Standalone (IDR)'!M33,'Output_Standalone (IDR)'!M57,'Output_Standalone (IDR)'!M81,'Output_Standalone (IDR)'!M128,'Output_Standalone (IDR)'!M267,'Output_Standalone (IDR)'!M290,'Output_Standalone (IDR)'!M336,'Output_Standalone (IDR)'!M474,'Output_Standalone (IDR)'!M497,'Output_Standalone (IDR)'!M520)</f>
        <v>-70.708869592703536</v>
      </c>
      <c r="N57" s="339">
        <f>SUM('Output_Standalone (IDR)'!N33,'Output_Standalone (IDR)'!N57,'Output_Standalone (IDR)'!N81,'Output_Standalone (IDR)'!N128,'Output_Standalone (IDR)'!N267,'Output_Standalone (IDR)'!N290,'Output_Standalone (IDR)'!N336,'Output_Standalone (IDR)'!N474,'Output_Standalone (IDR)'!N497,'Output_Standalone (IDR)'!N520)</f>
        <v>-79.691245471648983</v>
      </c>
      <c r="O57" s="339">
        <f>SUM('Output_Standalone (IDR)'!O33,'Output_Standalone (IDR)'!O57,'Output_Standalone (IDR)'!O81,'Output_Standalone (IDR)'!O128,'Output_Standalone (IDR)'!O267,'Output_Standalone (IDR)'!O290,'Output_Standalone (IDR)'!O336,'Output_Standalone (IDR)'!O474,'Output_Standalone (IDR)'!O497,'Output_Standalone (IDR)'!O520)</f>
        <v>-89.972075216019135</v>
      </c>
      <c r="P57" s="339">
        <f>SUM('Output_Standalone (IDR)'!P33,'Output_Standalone (IDR)'!P57,'Output_Standalone (IDR)'!P81,'Output_Standalone (IDR)'!P128,'Output_Standalone (IDR)'!P267,'Output_Standalone (IDR)'!P290,'Output_Standalone (IDR)'!P336,'Output_Standalone (IDR)'!P474,'Output_Standalone (IDR)'!P497,'Output_Standalone (IDR)'!P520)</f>
        <v>-94.441757452377132</v>
      </c>
      <c r="Q57" s="339">
        <f>SUM('Output_Standalone (IDR)'!Q33,'Output_Standalone (IDR)'!Q57,'Output_Standalone (IDR)'!Q81,'Output_Standalone (IDR)'!Q128,'Output_Standalone (IDR)'!Q267,'Output_Standalone (IDR)'!Q290,'Output_Standalone (IDR)'!Q336,'Output_Standalone (IDR)'!Q474,'Output_Standalone (IDR)'!Q497,'Output_Standalone (IDR)'!Q520)</f>
        <v>-103.87245863740711</v>
      </c>
      <c r="R57" s="339">
        <f>SUM('Output_Standalone (IDR)'!R33,'Output_Standalone (IDR)'!R57,'Output_Standalone (IDR)'!R81,'Output_Standalone (IDR)'!R128,'Output_Standalone (IDR)'!R267,'Output_Standalone (IDR)'!R290,'Output_Standalone (IDR)'!R336,'Output_Standalone (IDR)'!R474,'Output_Standalone (IDR)'!R497,'Output_Standalone (IDR)'!R520)</f>
        <v>-109.743666765714</v>
      </c>
      <c r="S57" s="339">
        <f>SUM('Output_Standalone (IDR)'!S33,'Output_Standalone (IDR)'!S57,'Output_Standalone (IDR)'!S81,'Output_Standalone (IDR)'!S128,'Output_Standalone (IDR)'!S267,'Output_Standalone (IDR)'!S290,'Output_Standalone (IDR)'!S336,'Output_Standalone (IDR)'!S474,'Output_Standalone (IDR)'!S497,'Output_Standalone (IDR)'!S520)</f>
        <v>-120.13056305332225</v>
      </c>
      <c r="T57" s="339">
        <f>SUM('Output_Standalone (IDR)'!T33,'Output_Standalone (IDR)'!T57,'Output_Standalone (IDR)'!T81,'Output_Standalone (IDR)'!T128,'Output_Standalone (IDR)'!T267,'Output_Standalone (IDR)'!T290,'Output_Standalone (IDR)'!T336,'Output_Standalone (IDR)'!T474,'Output_Standalone (IDR)'!T497,'Output_Standalone (IDR)'!T520)</f>
        <v>-126.10264206006424</v>
      </c>
      <c r="U57" s="339">
        <f>SUM('Output_Standalone (IDR)'!U33,'Output_Standalone (IDR)'!U57,'Output_Standalone (IDR)'!U81,'Output_Standalone (IDR)'!U128,'Output_Standalone (IDR)'!U267,'Output_Standalone (IDR)'!U290,'Output_Standalone (IDR)'!U336,'Output_Standalone (IDR)'!U474,'Output_Standalone (IDR)'!U497,'Output_Standalone (IDR)'!U520)</f>
        <v>-125.09637459765538</v>
      </c>
      <c r="V57" s="339">
        <f>SUM('Output_Standalone (IDR)'!V33,'Output_Standalone (IDR)'!V57,'Output_Standalone (IDR)'!V81,'Output_Standalone (IDR)'!V128,'Output_Standalone (IDR)'!V267,'Output_Standalone (IDR)'!V290,'Output_Standalone (IDR)'!V336,'Output_Standalone (IDR)'!V474,'Output_Standalone (IDR)'!V497,'Output_Standalone (IDR)'!V520)</f>
        <v>-130.13825193541706</v>
      </c>
    </row>
    <row r="58" spans="2:22">
      <c r="B58" s="340" t="s">
        <v>1020</v>
      </c>
      <c r="C58" s="340"/>
      <c r="D58" s="340"/>
      <c r="E58" s="340"/>
      <c r="F58" s="340"/>
      <c r="G58" s="340"/>
      <c r="H58" s="340"/>
      <c r="I58" s="338">
        <f>SUM(J58:V58)</f>
        <v>4024.1006245327571</v>
      </c>
      <c r="J58" s="342">
        <f>SUM(J55,J57)</f>
        <v>40.429223963838851</v>
      </c>
      <c r="K58" s="342">
        <f t="shared" ref="K58:V58" si="24">SUM(K55,K57)</f>
        <v>100.67365608004286</v>
      </c>
      <c r="L58" s="342">
        <f t="shared" si="24"/>
        <v>177.30303453656353</v>
      </c>
      <c r="M58" s="342">
        <f t="shared" si="24"/>
        <v>242.59792204986115</v>
      </c>
      <c r="N58" s="342">
        <f t="shared" si="24"/>
        <v>275.27982994306166</v>
      </c>
      <c r="O58" s="342">
        <f t="shared" si="24"/>
        <v>317.81110277363678</v>
      </c>
      <c r="P58" s="342">
        <f t="shared" si="24"/>
        <v>334.70818928269659</v>
      </c>
      <c r="Q58" s="342">
        <f t="shared" si="24"/>
        <v>368.27508062353434</v>
      </c>
      <c r="R58" s="342">
        <f t="shared" si="24"/>
        <v>389.09118216934974</v>
      </c>
      <c r="S58" s="342">
        <f t="shared" si="24"/>
        <v>425.91745082541524</v>
      </c>
      <c r="T58" s="342">
        <f t="shared" si="24"/>
        <v>447.09118548568244</v>
      </c>
      <c r="U58" s="342">
        <f t="shared" si="24"/>
        <v>443.5235099371418</v>
      </c>
      <c r="V58" s="342">
        <f t="shared" si="24"/>
        <v>461.39925686193294</v>
      </c>
    </row>
    <row r="59" spans="2:22"/>
    <row r="60" spans="2:22">
      <c r="B60" s="315" t="s">
        <v>259</v>
      </c>
      <c r="I60" s="315">
        <f>I111</f>
        <v>290.59201234880987</v>
      </c>
      <c r="J60" s="315">
        <f>($I$60+SUM($J$58:J58))*J12</f>
        <v>331.02123631264874</v>
      </c>
      <c r="K60" s="315">
        <f>($I$60+SUM($J$58:K58))*K12</f>
        <v>431.6948923926916</v>
      </c>
      <c r="L60" s="315">
        <f>($I$60+SUM($J$58:L58))*L12</f>
        <v>608.99792692925507</v>
      </c>
      <c r="M60" s="315">
        <f>($I$60+SUM($J$58:M58))*M12</f>
        <v>851.59584897911623</v>
      </c>
      <c r="N60" s="315">
        <f>($I$60+SUM($J$58:N58))*N12</f>
        <v>1126.8756789221779</v>
      </c>
      <c r="O60" s="315">
        <f>($I$60+SUM($J$58:O58))*O12</f>
        <v>1444.6867816958147</v>
      </c>
      <c r="P60" s="315">
        <f>($I$60+SUM($J$58:P58))*P12</f>
        <v>1779.3949709785113</v>
      </c>
      <c r="Q60" s="315">
        <f>($I$60+SUM($J$58:Q58))*Q12</f>
        <v>2147.6700516020455</v>
      </c>
      <c r="R60" s="315">
        <f>($I$60+SUM($J$58:R58))*R12</f>
        <v>2536.7612337713954</v>
      </c>
      <c r="S60" s="315">
        <f>($I$60+SUM($J$58:S58))*S12</f>
        <v>2962.6786845968104</v>
      </c>
      <c r="T60" s="315">
        <f>($I$60+SUM($J$58:T58))*T12</f>
        <v>3409.7698700824926</v>
      </c>
      <c r="U60" s="315">
        <f>($I$60+SUM($J$58:U58))*U12</f>
        <v>3853.2933800196342</v>
      </c>
      <c r="V60" s="315">
        <f>($I$60+SUM($J$58:V58))*V12</f>
        <v>4314.6926368815666</v>
      </c>
    </row>
    <row r="61" spans="2:22"/>
    <row r="62" spans="2:22">
      <c r="B62" s="445" t="s">
        <v>32</v>
      </c>
      <c r="C62" s="445"/>
      <c r="D62" s="445"/>
      <c r="E62" s="445"/>
      <c r="F62" s="445"/>
      <c r="G62" s="445"/>
      <c r="H62" s="445"/>
      <c r="I62" s="445"/>
      <c r="J62" s="9">
        <f>J8</f>
        <v>2024</v>
      </c>
      <c r="K62" s="9">
        <f t="shared" ref="K62:V62" si="25">K8</f>
        <v>2025</v>
      </c>
      <c r="L62" s="9">
        <f t="shared" si="25"/>
        <v>2026</v>
      </c>
      <c r="M62" s="9">
        <f t="shared" si="25"/>
        <v>2027</v>
      </c>
      <c r="N62" s="9">
        <f t="shared" si="25"/>
        <v>2028</v>
      </c>
      <c r="O62" s="9">
        <f t="shared" si="25"/>
        <v>2029</v>
      </c>
      <c r="P62" s="9">
        <f t="shared" si="25"/>
        <v>2030</v>
      </c>
      <c r="Q62" s="9">
        <f t="shared" si="25"/>
        <v>2031</v>
      </c>
      <c r="R62" s="9">
        <f t="shared" si="25"/>
        <v>2032</v>
      </c>
      <c r="S62" s="9">
        <f t="shared" si="25"/>
        <v>2033</v>
      </c>
      <c r="T62" s="9">
        <f t="shared" si="25"/>
        <v>2034</v>
      </c>
      <c r="U62" s="9">
        <f t="shared" si="25"/>
        <v>2035</v>
      </c>
      <c r="V62" s="9">
        <f t="shared" si="25"/>
        <v>2036</v>
      </c>
    </row>
    <row r="63" spans="2:22">
      <c r="B63" s="344" t="s">
        <v>1021</v>
      </c>
      <c r="C63" s="345"/>
      <c r="D63" s="345"/>
      <c r="E63" s="345"/>
      <c r="F63" s="345"/>
      <c r="G63" s="345"/>
      <c r="H63" s="345"/>
      <c r="I63" s="345"/>
      <c r="J63" s="346">
        <f>IFERROR(J46/J44,0)</f>
        <v>0.59859934584322971</v>
      </c>
      <c r="K63" s="346">
        <f t="shared" ref="K63:V63" si="26">IFERROR(K46/K44,0)</f>
        <v>0.7318568891483761</v>
      </c>
      <c r="L63" s="346">
        <f t="shared" si="26"/>
        <v>0.81959282833303237</v>
      </c>
      <c r="M63" s="346">
        <f t="shared" si="26"/>
        <v>0.83487438999824903</v>
      </c>
      <c r="N63" s="346">
        <f t="shared" si="26"/>
        <v>0.8255874756745305</v>
      </c>
      <c r="O63" s="346">
        <f t="shared" si="26"/>
        <v>0.8283438909224079</v>
      </c>
      <c r="P63" s="346">
        <f t="shared" si="26"/>
        <v>0.82484830559059141</v>
      </c>
      <c r="Q63" s="346">
        <f t="shared" si="26"/>
        <v>0.82448446644371076</v>
      </c>
      <c r="R63" s="346">
        <f t="shared" si="26"/>
        <v>0.82202582261147084</v>
      </c>
      <c r="S63" s="346">
        <f t="shared" si="26"/>
        <v>0.82272354119693725</v>
      </c>
      <c r="T63" s="346">
        <f t="shared" si="26"/>
        <v>0.83015465385797038</v>
      </c>
      <c r="U63" s="346">
        <f t="shared" si="26"/>
        <v>0.82376456917476737</v>
      </c>
      <c r="V63" s="346">
        <f t="shared" si="26"/>
        <v>0.8210566538873818</v>
      </c>
    </row>
    <row r="64" spans="2:22">
      <c r="B64" s="344" t="s">
        <v>1022</v>
      </c>
      <c r="C64" s="345"/>
      <c r="D64" s="345"/>
      <c r="E64" s="345"/>
      <c r="F64" s="345"/>
      <c r="G64" s="345"/>
      <c r="H64" s="345"/>
      <c r="I64" s="345"/>
      <c r="J64" s="346">
        <f>IFERROR(J49/J44,0)</f>
        <v>0.50521197622373193</v>
      </c>
      <c r="K64" s="346">
        <f t="shared" ref="K64:V64" si="27">IFERROR(K49/K44,0)</f>
        <v>0.61636287884197372</v>
      </c>
      <c r="L64" s="346">
        <f t="shared" si="27"/>
        <v>0.59075877152457756</v>
      </c>
      <c r="M64" s="346">
        <f t="shared" si="27"/>
        <v>0.5967797401148015</v>
      </c>
      <c r="N64" s="346">
        <f t="shared" si="27"/>
        <v>0.59332440650782181</v>
      </c>
      <c r="O64" s="346">
        <f t="shared" si="27"/>
        <v>0.60353643416639113</v>
      </c>
      <c r="P64" s="346">
        <f t="shared" si="27"/>
        <v>0.60120780327837275</v>
      </c>
      <c r="Q64" s="346">
        <f t="shared" si="27"/>
        <v>0.60539122270234447</v>
      </c>
      <c r="R64" s="346">
        <f t="shared" si="27"/>
        <v>0.60568345357961439</v>
      </c>
      <c r="S64" s="346">
        <f t="shared" si="27"/>
        <v>0.61051573439896678</v>
      </c>
      <c r="T64" s="346">
        <f t="shared" si="27"/>
        <v>0.61579270608775272</v>
      </c>
      <c r="U64" s="346">
        <f t="shared" si="27"/>
        <v>0.60735712361343397</v>
      </c>
      <c r="V64" s="346">
        <f t="shared" si="27"/>
        <v>0.60569115795886519</v>
      </c>
    </row>
    <row r="65" spans="2:22">
      <c r="B65" s="344" t="s">
        <v>990</v>
      </c>
      <c r="C65" s="345"/>
      <c r="D65" s="345"/>
      <c r="E65" s="345"/>
      <c r="F65" s="345"/>
      <c r="G65" s="345"/>
      <c r="H65" s="345"/>
      <c r="I65" s="345"/>
      <c r="J65" s="347">
        <f>IFERROR(J58/J44,0)</f>
        <v>0.13242950807920123</v>
      </c>
      <c r="K65" s="347">
        <f t="shared" ref="K65:V65" si="28">IFERROR(K58/K44,0)</f>
        <v>0.23543728065029587</v>
      </c>
      <c r="L65" s="347">
        <f t="shared" si="28"/>
        <v>0.28502337689399188</v>
      </c>
      <c r="M65" s="347">
        <f t="shared" si="28"/>
        <v>0.32155052771150133</v>
      </c>
      <c r="N65" s="347">
        <f t="shared" si="28"/>
        <v>0.32720396565115173</v>
      </c>
      <c r="O65" s="347">
        <f t="shared" si="28"/>
        <v>0.34623452036314706</v>
      </c>
      <c r="P65" s="347">
        <f t="shared" si="28"/>
        <v>0.34974115563367153</v>
      </c>
      <c r="Q65" s="347">
        <f t="shared" si="28"/>
        <v>0.36054389830720907</v>
      </c>
      <c r="R65" s="347">
        <f t="shared" si="28"/>
        <v>0.36420535198841375</v>
      </c>
      <c r="S65" s="347">
        <f t="shared" si="28"/>
        <v>0.37452447664572741</v>
      </c>
      <c r="T65" s="347">
        <f t="shared" si="28"/>
        <v>0.38456745261623831</v>
      </c>
      <c r="U65" s="347">
        <f t="shared" si="28"/>
        <v>0.37868687766749326</v>
      </c>
      <c r="V65" s="347">
        <f t="shared" si="28"/>
        <v>0.38060154002509189</v>
      </c>
    </row>
    <row r="66" spans="2:22"/>
    <row r="67" spans="2:22" ht="23.25">
      <c r="B67" s="337" t="s">
        <v>1050</v>
      </c>
      <c r="C67" s="337"/>
      <c r="D67" s="337"/>
      <c r="E67" s="337"/>
      <c r="F67" s="337"/>
      <c r="G67" s="337"/>
      <c r="H67" s="337"/>
      <c r="I67" s="337"/>
      <c r="J67" s="337"/>
      <c r="K67" s="337"/>
      <c r="L67" s="337"/>
      <c r="M67" s="337"/>
      <c r="N67" s="337"/>
      <c r="O67" s="337"/>
      <c r="P67" s="337"/>
      <c r="Q67" s="337"/>
      <c r="R67" s="337"/>
      <c r="S67" s="337"/>
      <c r="T67" s="337"/>
      <c r="U67" s="337"/>
      <c r="V67" s="337"/>
    </row>
    <row r="68" spans="2:22"/>
    <row r="69" spans="2:22" ht="15.75">
      <c r="B69" s="333" t="s">
        <v>1051</v>
      </c>
    </row>
    <row r="70" spans="2:22">
      <c r="B70" s="445" t="s">
        <v>334</v>
      </c>
      <c r="J70" s="316">
        <f>J58</f>
        <v>40.429223963838851</v>
      </c>
      <c r="K70" s="316">
        <f t="shared" ref="K70:V70" si="29">K58</f>
        <v>100.67365608004286</v>
      </c>
      <c r="L70" s="316">
        <f t="shared" si="29"/>
        <v>177.30303453656353</v>
      </c>
      <c r="M70" s="316">
        <f t="shared" si="29"/>
        <v>242.59792204986115</v>
      </c>
      <c r="N70" s="316">
        <f t="shared" si="29"/>
        <v>275.27982994306166</v>
      </c>
      <c r="O70" s="316">
        <f t="shared" si="29"/>
        <v>317.81110277363678</v>
      </c>
      <c r="P70" s="316">
        <f t="shared" si="29"/>
        <v>334.70818928269659</v>
      </c>
      <c r="Q70" s="316">
        <f t="shared" si="29"/>
        <v>368.27508062353434</v>
      </c>
      <c r="R70" s="316">
        <f t="shared" si="29"/>
        <v>389.09118216934974</v>
      </c>
      <c r="S70" s="316">
        <f t="shared" si="29"/>
        <v>425.91745082541524</v>
      </c>
      <c r="T70" s="316">
        <f t="shared" si="29"/>
        <v>447.09118548568244</v>
      </c>
      <c r="U70" s="316">
        <f t="shared" si="29"/>
        <v>443.5235099371418</v>
      </c>
      <c r="V70" s="316">
        <f t="shared" si="29"/>
        <v>461.39925686193294</v>
      </c>
    </row>
    <row r="71" spans="2:22">
      <c r="B71" s="445" t="s">
        <v>492</v>
      </c>
      <c r="J71" s="316">
        <f>-J51</f>
        <v>88.373062408935311</v>
      </c>
      <c r="K71" s="316">
        <f t="shared" ref="K71:V71" si="30">-K51</f>
        <v>113.59968518200156</v>
      </c>
      <c r="L71" s="316">
        <f t="shared" si="30"/>
        <v>134.96780390311255</v>
      </c>
      <c r="M71" s="316">
        <f t="shared" si="30"/>
        <v>136.94134168720862</v>
      </c>
      <c r="N71" s="316">
        <f t="shared" si="30"/>
        <v>144.19843006333596</v>
      </c>
      <c r="O71" s="316">
        <f t="shared" si="30"/>
        <v>146.20716215698582</v>
      </c>
      <c r="P71" s="316">
        <f t="shared" si="30"/>
        <v>146.2160688925087</v>
      </c>
      <c r="Q71" s="316">
        <f t="shared" si="30"/>
        <v>146.225153762742</v>
      </c>
      <c r="R71" s="316">
        <f t="shared" si="30"/>
        <v>148.23442033038</v>
      </c>
      <c r="S71" s="316">
        <f t="shared" si="30"/>
        <v>148.24387222937074</v>
      </c>
      <c r="T71" s="316">
        <f t="shared" si="30"/>
        <v>142.71566792824606</v>
      </c>
      <c r="U71" s="316">
        <f t="shared" si="30"/>
        <v>142.72550168395603</v>
      </c>
      <c r="V71" s="316">
        <f t="shared" si="30"/>
        <v>142.7355321147802</v>
      </c>
    </row>
    <row r="72" spans="2:22">
      <c r="B72" s="445" t="s">
        <v>1052</v>
      </c>
      <c r="J72" s="339">
        <f>Calculation_FSL!J1468</f>
        <v>2.837038899471235</v>
      </c>
      <c r="K72" s="339">
        <f>Calculation_FSL!K1468</f>
        <v>-15.803178598626999</v>
      </c>
      <c r="L72" s="339">
        <f>Calculation_FSL!L1468</f>
        <v>-24.174807601681195</v>
      </c>
      <c r="M72" s="339">
        <f>Calculation_FSL!M1468</f>
        <v>-15.307458995313795</v>
      </c>
      <c r="N72" s="339">
        <f>Calculation_FSL!N1468</f>
        <v>-8.6358287416836959</v>
      </c>
      <c r="O72" s="339">
        <f>Calculation_FSL!O1468</f>
        <v>-8.8038774114130547</v>
      </c>
      <c r="P72" s="339">
        <f>Calculation_FSL!P1468</f>
        <v>-3.9950125029610035</v>
      </c>
      <c r="Q72" s="339">
        <f>Calculation_FSL!Q1468</f>
        <v>-6.9849321524963415</v>
      </c>
      <c r="R72" s="339">
        <f>Calculation_FSL!R1468</f>
        <v>-4.5710337951103952</v>
      </c>
      <c r="S72" s="339">
        <f>Calculation_FSL!S1468</f>
        <v>-7.8682562703503436</v>
      </c>
      <c r="T72" s="339">
        <f>Calculation_FSL!T1468</f>
        <v>-2.9473333710221823</v>
      </c>
      <c r="U72" s="339">
        <f>Calculation_FSL!U1468</f>
        <v>-0.32862426512819809</v>
      </c>
      <c r="V72" s="339">
        <f>Calculation_FSL!V1468</f>
        <v>-3.8396190098074072</v>
      </c>
    </row>
    <row r="73" spans="2:22">
      <c r="B73" s="340" t="s">
        <v>1053</v>
      </c>
      <c r="C73" s="340"/>
      <c r="D73" s="340"/>
      <c r="E73" s="340"/>
      <c r="F73" s="340"/>
      <c r="G73" s="340"/>
      <c r="H73" s="340"/>
      <c r="I73" s="340"/>
      <c r="J73" s="342">
        <f>SUM(J70:J72)</f>
        <v>131.6393252722454</v>
      </c>
      <c r="K73" s="342">
        <f t="shared" ref="K73:V73" si="31">SUM(K70:K72)</f>
        <v>198.47016266341743</v>
      </c>
      <c r="L73" s="342">
        <f t="shared" si="31"/>
        <v>288.09603083799487</v>
      </c>
      <c r="M73" s="342">
        <f t="shared" si="31"/>
        <v>364.23180474175592</v>
      </c>
      <c r="N73" s="342">
        <f t="shared" si="31"/>
        <v>410.84243126471392</v>
      </c>
      <c r="O73" s="342">
        <f t="shared" si="31"/>
        <v>455.21438751920954</v>
      </c>
      <c r="P73" s="342">
        <f t="shared" si="31"/>
        <v>476.92924567224429</v>
      </c>
      <c r="Q73" s="342">
        <f t="shared" si="31"/>
        <v>507.51530223378001</v>
      </c>
      <c r="R73" s="342">
        <f t="shared" si="31"/>
        <v>532.75456870461926</v>
      </c>
      <c r="S73" s="342">
        <f t="shared" si="31"/>
        <v>566.29306678443561</v>
      </c>
      <c r="T73" s="342">
        <f t="shared" si="31"/>
        <v>586.8595200429063</v>
      </c>
      <c r="U73" s="342">
        <f t="shared" si="31"/>
        <v>585.92038735596964</v>
      </c>
      <c r="V73" s="342">
        <f t="shared" si="31"/>
        <v>600.29516996690575</v>
      </c>
    </row>
    <row r="74" spans="2:22"/>
    <row r="75" spans="2:22" ht="15.75">
      <c r="B75" s="333" t="s">
        <v>1054</v>
      </c>
    </row>
    <row r="76" spans="2:22">
      <c r="B76" s="445" t="s">
        <v>1055</v>
      </c>
      <c r="J76" s="315">
        <f>Output_Sapphire!J16*$D$2</f>
        <v>0</v>
      </c>
      <c r="K76" s="315">
        <f>Output_Sapphire!K16*$D$2</f>
        <v>0</v>
      </c>
      <c r="L76" s="315">
        <f>Output_Sapphire!L16*$D$2</f>
        <v>0</v>
      </c>
      <c r="M76" s="315">
        <f>Output_Sapphire!M16*$D$2</f>
        <v>0</v>
      </c>
      <c r="N76" s="315">
        <f>Output_Sapphire!N16*$D$2</f>
        <v>0</v>
      </c>
      <c r="O76" s="315">
        <f>Output_Sapphire!O16*$D$2</f>
        <v>0</v>
      </c>
      <c r="P76" s="315">
        <f>Output_Sapphire!P16*$D$2</f>
        <v>0</v>
      </c>
      <c r="Q76" s="315">
        <f>Output_Sapphire!Q16*$D$2</f>
        <v>0</v>
      </c>
      <c r="R76" s="315">
        <f>Output_Sapphire!R16*$D$2</f>
        <v>0</v>
      </c>
      <c r="S76" s="315">
        <f>Output_Sapphire!S16*$D$2</f>
        <v>0</v>
      </c>
      <c r="T76" s="315">
        <f>Output_Sapphire!T16*$D$2</f>
        <v>0</v>
      </c>
      <c r="U76" s="315">
        <f>Output_Sapphire!U16*$D$2</f>
        <v>0</v>
      </c>
      <c r="V76" s="315">
        <f>Output_Sapphire!V16*$D$2</f>
        <v>0</v>
      </c>
    </row>
    <row r="77" spans="2:22">
      <c r="B77" s="315" t="s">
        <v>1056</v>
      </c>
      <c r="I77" s="339">
        <f>-Calculation_FSL!I1484</f>
        <v>-198.43299999999999</v>
      </c>
      <c r="J77" s="482">
        <f>-Calculation_FSL!J1484</f>
        <v>-125.2405</v>
      </c>
      <c r="K77" s="339">
        <f>-Calculation_FSL!K1484</f>
        <v>-14.638500000000001</v>
      </c>
      <c r="L77" s="315">
        <f>-Calculation_FSL!L1484</f>
        <v>-419.77202976190478</v>
      </c>
      <c r="M77" s="339">
        <f>-Calculation_FSL!M1484</f>
        <v>-160.003625</v>
      </c>
      <c r="N77" s="339">
        <f>-Calculation_FSL!N1484</f>
        <v>0</v>
      </c>
      <c r="O77" s="339">
        <f>-Calculation_FSL!O1484</f>
        <v>0</v>
      </c>
      <c r="P77" s="339">
        <f>-Calculation_FSL!P1484</f>
        <v>0</v>
      </c>
      <c r="Q77" s="339">
        <f>-Calculation_FSL!Q1484</f>
        <v>0</v>
      </c>
      <c r="R77" s="339">
        <f>-Calculation_FSL!R1484</f>
        <v>0</v>
      </c>
      <c r="S77" s="339">
        <f>-Calculation_FSL!S1484</f>
        <v>0</v>
      </c>
      <c r="T77" s="339">
        <f>-Calculation_FSL!T1484</f>
        <v>0</v>
      </c>
      <c r="U77" s="339">
        <f>-Calculation_FSL!U1484</f>
        <v>0</v>
      </c>
      <c r="V77" s="339">
        <f>-Calculation_FSL!V1484</f>
        <v>0</v>
      </c>
    </row>
    <row r="78" spans="2:22">
      <c r="B78" s="340" t="s">
        <v>1054</v>
      </c>
      <c r="C78" s="340"/>
      <c r="D78" s="340"/>
      <c r="E78" s="340"/>
      <c r="F78" s="340"/>
      <c r="G78" s="340"/>
      <c r="H78" s="340"/>
      <c r="I78" s="340"/>
      <c r="J78" s="340">
        <f>SUM(J76:J77)</f>
        <v>-125.2405</v>
      </c>
      <c r="K78" s="340">
        <f t="shared" ref="K78:V78" si="32">SUM(K76:K77)</f>
        <v>-14.638500000000001</v>
      </c>
      <c r="L78" s="340">
        <f t="shared" si="32"/>
        <v>-419.77202976190478</v>
      </c>
      <c r="M78" s="340">
        <f t="shared" si="32"/>
        <v>-160.003625</v>
      </c>
      <c r="N78" s="340">
        <f t="shared" si="32"/>
        <v>0</v>
      </c>
      <c r="O78" s="340">
        <f t="shared" si="32"/>
        <v>0</v>
      </c>
      <c r="P78" s="340">
        <f t="shared" si="32"/>
        <v>0</v>
      </c>
      <c r="Q78" s="340">
        <f t="shared" si="32"/>
        <v>0</v>
      </c>
      <c r="R78" s="340">
        <f t="shared" si="32"/>
        <v>0</v>
      </c>
      <c r="S78" s="340">
        <f t="shared" si="32"/>
        <v>0</v>
      </c>
      <c r="T78" s="340">
        <f t="shared" si="32"/>
        <v>0</v>
      </c>
      <c r="U78" s="340">
        <f t="shared" si="32"/>
        <v>0</v>
      </c>
      <c r="V78" s="340">
        <f t="shared" si="32"/>
        <v>0</v>
      </c>
    </row>
    <row r="79" spans="2:22"/>
    <row r="80" spans="2:22" ht="15.75">
      <c r="B80" s="333" t="s">
        <v>1057</v>
      </c>
    </row>
    <row r="81" spans="2:22">
      <c r="B81" s="445" t="s">
        <v>1058</v>
      </c>
      <c r="J81" s="339">
        <f>Calculation_FSL!J1500</f>
        <v>0</v>
      </c>
      <c r="K81" s="339">
        <f>Calculation_FSL!K1500</f>
        <v>0</v>
      </c>
      <c r="L81" s="339">
        <f>Calculation_FSL!L1500</f>
        <v>419.77202976190478</v>
      </c>
      <c r="M81" s="339">
        <f>Calculation_FSL!M1500</f>
        <v>160.003625</v>
      </c>
      <c r="N81" s="339">
        <f>Calculation_FSL!N1500</f>
        <v>0</v>
      </c>
      <c r="O81" s="339">
        <f>Calculation_FSL!O1500</f>
        <v>0</v>
      </c>
      <c r="P81" s="339">
        <f>Calculation_FSL!P1500</f>
        <v>0</v>
      </c>
      <c r="Q81" s="339">
        <f>Calculation_FSL!Q1500</f>
        <v>0</v>
      </c>
      <c r="R81" s="339">
        <f>Calculation_FSL!R1500</f>
        <v>0</v>
      </c>
      <c r="S81" s="339">
        <f>Calculation_FSL!S1500</f>
        <v>0</v>
      </c>
      <c r="T81" s="339">
        <f>Calculation_FSL!T1500</f>
        <v>0</v>
      </c>
      <c r="U81" s="339">
        <f>Calculation_FSL!U1500</f>
        <v>0</v>
      </c>
      <c r="V81" s="339">
        <f>Calculation_FSL!V1500</f>
        <v>0</v>
      </c>
    </row>
    <row r="82" spans="2:22">
      <c r="B82" s="445" t="s">
        <v>1059</v>
      </c>
      <c r="J82" s="339">
        <f>Calculation_FSL!J1516</f>
        <v>-29.338465248760087</v>
      </c>
      <c r="K82" s="339">
        <f>Calculation_FSL!K1516</f>
        <v>-195.18</v>
      </c>
      <c r="L82" s="339">
        <f>Calculation_FSL!L1516</f>
        <v>0</v>
      </c>
      <c r="M82" s="339">
        <f>Calculation_FSL!M1516</f>
        <v>0</v>
      </c>
      <c r="N82" s="339">
        <f>Calculation_FSL!N1516</f>
        <v>0</v>
      </c>
      <c r="O82" s="339">
        <f>Calculation_FSL!O1516</f>
        <v>0</v>
      </c>
      <c r="P82" s="339">
        <f>Calculation_FSL!P1516</f>
        <v>0</v>
      </c>
      <c r="Q82" s="339">
        <f>Calculation_FSL!Q1516</f>
        <v>0</v>
      </c>
      <c r="R82" s="339">
        <f>Calculation_FSL!R1516</f>
        <v>0</v>
      </c>
      <c r="S82" s="339">
        <f>Calculation_FSL!S1516</f>
        <v>0</v>
      </c>
      <c r="T82" s="339">
        <f>Calculation_FSL!T1516</f>
        <v>0</v>
      </c>
      <c r="U82" s="339">
        <f>Calculation_FSL!U1516</f>
        <v>0</v>
      </c>
      <c r="V82" s="339">
        <f>Calculation_FSL!V1516</f>
        <v>0</v>
      </c>
    </row>
    <row r="83" spans="2:22">
      <c r="B83" s="445" t="s">
        <v>1060</v>
      </c>
      <c r="J83" s="339">
        <f>Calculation_FSL!J1556</f>
        <v>-6.3327025288222183</v>
      </c>
      <c r="K83" s="339">
        <f>Calculation_FSL!K1556</f>
        <v>-17.018225208360519</v>
      </c>
      <c r="L83" s="482">
        <f>Calculation_FSL!L1556</f>
        <v>-46.998288241660674</v>
      </c>
      <c r="M83" s="339">
        <f>Calculation_FSL!M1556</f>
        <v>-66.301598708192316</v>
      </c>
      <c r="N83" s="339">
        <f>Calculation_FSL!N1556</f>
        <v>-75.852592345920471</v>
      </c>
      <c r="O83" s="339">
        <f>Calculation_FSL!O1556</f>
        <v>-87.991662902149031</v>
      </c>
      <c r="P83" s="339">
        <f>Calculation_FSL!P1556</f>
        <v>-92.784292246747853</v>
      </c>
      <c r="Q83" s="339">
        <f>Calculation_FSL!Q1556</f>
        <v>-102.5727358355857</v>
      </c>
      <c r="R83" s="339">
        <f>Calculation_FSL!R1556</f>
        <v>-108.11298126246085</v>
      </c>
      <c r="S83" s="339">
        <f>Calculation_FSL!S1556</f>
        <v>-118.85405946126525</v>
      </c>
      <c r="T83" s="339">
        <f>Calculation_FSL!T1556</f>
        <v>-124.89394650521837</v>
      </c>
      <c r="U83" s="339">
        <f>Calculation_FSL!U1556</f>
        <v>-123.50604341940866</v>
      </c>
      <c r="V83" s="339">
        <f>Calculation_FSL!V1556</f>
        <v>-128.54587960915791</v>
      </c>
    </row>
    <row r="84" spans="2:22">
      <c r="B84" s="340" t="s">
        <v>1057</v>
      </c>
      <c r="C84" s="340"/>
      <c r="D84" s="340"/>
      <c r="E84" s="340"/>
      <c r="F84" s="340"/>
      <c r="G84" s="340"/>
      <c r="H84" s="340"/>
      <c r="I84" s="340"/>
      <c r="J84" s="342">
        <f>SUM(J81:J83)</f>
        <v>-35.671167777582305</v>
      </c>
      <c r="K84" s="342">
        <f t="shared" ref="K84:V84" si="33">SUM(K81:K83)</f>
        <v>-212.19822520836053</v>
      </c>
      <c r="L84" s="342">
        <f t="shared" si="33"/>
        <v>372.77374152024413</v>
      </c>
      <c r="M84" s="342">
        <f t="shared" si="33"/>
        <v>93.702026291807684</v>
      </c>
      <c r="N84" s="342">
        <f t="shared" si="33"/>
        <v>-75.852592345920471</v>
      </c>
      <c r="O84" s="342">
        <f t="shared" si="33"/>
        <v>-87.991662902149031</v>
      </c>
      <c r="P84" s="342">
        <f t="shared" si="33"/>
        <v>-92.784292246747853</v>
      </c>
      <c r="Q84" s="342">
        <f t="shared" si="33"/>
        <v>-102.5727358355857</v>
      </c>
      <c r="R84" s="342">
        <f t="shared" si="33"/>
        <v>-108.11298126246085</v>
      </c>
      <c r="S84" s="342">
        <f t="shared" si="33"/>
        <v>-118.85405946126525</v>
      </c>
      <c r="T84" s="342">
        <f t="shared" si="33"/>
        <v>-124.89394650521837</v>
      </c>
      <c r="U84" s="342">
        <f t="shared" si="33"/>
        <v>-123.50604341940866</v>
      </c>
      <c r="V84" s="342">
        <f t="shared" si="33"/>
        <v>-128.54587960915791</v>
      </c>
    </row>
    <row r="85" spans="2:22"/>
    <row r="86" spans="2:22">
      <c r="B86" s="315" t="s">
        <v>1061</v>
      </c>
      <c r="J86" s="339">
        <f t="shared" ref="J86:V86" si="34">SUM(J73,J78,J84)</f>
        <v>-29.272342505336901</v>
      </c>
      <c r="K86" s="339">
        <f t="shared" si="34"/>
        <v>-28.366562544943093</v>
      </c>
      <c r="L86" s="339">
        <f t="shared" si="34"/>
        <v>241.09774259633423</v>
      </c>
      <c r="M86" s="339">
        <f t="shared" si="34"/>
        <v>297.93020603356359</v>
      </c>
      <c r="N86" s="339">
        <f t="shared" si="34"/>
        <v>334.98983891879345</v>
      </c>
      <c r="O86" s="339">
        <f t="shared" si="34"/>
        <v>367.22272461706052</v>
      </c>
      <c r="P86" s="339">
        <f t="shared" si="34"/>
        <v>384.14495342549645</v>
      </c>
      <c r="Q86" s="339">
        <f t="shared" si="34"/>
        <v>404.94256639819429</v>
      </c>
      <c r="R86" s="339">
        <f t="shared" si="34"/>
        <v>424.64158744215842</v>
      </c>
      <c r="S86" s="339">
        <f t="shared" si="34"/>
        <v>447.43900732317036</v>
      </c>
      <c r="T86" s="339">
        <f t="shared" si="34"/>
        <v>461.96557353768793</v>
      </c>
      <c r="U86" s="339">
        <f t="shared" si="34"/>
        <v>462.41434393656095</v>
      </c>
      <c r="V86" s="339">
        <f t="shared" si="34"/>
        <v>471.74929035774784</v>
      </c>
    </row>
    <row r="87" spans="2:22">
      <c r="B87" s="315" t="s">
        <v>57</v>
      </c>
      <c r="J87" s="339">
        <f>I88</f>
        <v>60.638905050279995</v>
      </c>
      <c r="K87" s="339">
        <f t="shared" ref="K87:V87" si="35">J88</f>
        <v>31.366562544943093</v>
      </c>
      <c r="L87" s="339">
        <f t="shared" si="35"/>
        <v>3</v>
      </c>
      <c r="M87" s="339">
        <f t="shared" si="35"/>
        <v>244.09774259633423</v>
      </c>
      <c r="N87" s="339">
        <f t="shared" si="35"/>
        <v>542.02794862989776</v>
      </c>
      <c r="O87" s="339">
        <f t="shared" si="35"/>
        <v>877.01778754869122</v>
      </c>
      <c r="P87" s="339">
        <f t="shared" si="35"/>
        <v>1244.2405121657516</v>
      </c>
      <c r="Q87" s="339">
        <f t="shared" si="35"/>
        <v>1628.385465591248</v>
      </c>
      <c r="R87" s="339">
        <f t="shared" si="35"/>
        <v>2033.3280319894423</v>
      </c>
      <c r="S87" s="339">
        <f t="shared" si="35"/>
        <v>2457.9696194316007</v>
      </c>
      <c r="T87" s="339">
        <f t="shared" si="35"/>
        <v>2905.4086267547709</v>
      </c>
      <c r="U87" s="339">
        <f t="shared" si="35"/>
        <v>3367.3742002924587</v>
      </c>
      <c r="V87" s="339">
        <f t="shared" si="35"/>
        <v>3829.7885442290199</v>
      </c>
    </row>
    <row r="88" spans="2:22">
      <c r="B88" s="340" t="s">
        <v>60</v>
      </c>
      <c r="C88" s="340"/>
      <c r="D88" s="340"/>
      <c r="E88" s="340"/>
      <c r="F88" s="340"/>
      <c r="G88" s="340"/>
      <c r="H88" s="340"/>
      <c r="I88" s="340">
        <f>BS_Historical!V7/Thousands</f>
        <v>60.638905050279995</v>
      </c>
      <c r="J88" s="342">
        <f>SUM(J86:J87)</f>
        <v>31.366562544943093</v>
      </c>
      <c r="K88" s="342">
        <f t="shared" ref="K88:V88" si="36">SUM(K86:K87)</f>
        <v>3</v>
      </c>
      <c r="L88" s="342">
        <f t="shared" si="36"/>
        <v>244.09774259633423</v>
      </c>
      <c r="M88" s="342">
        <f t="shared" si="36"/>
        <v>542.02794862989776</v>
      </c>
      <c r="N88" s="342">
        <f t="shared" si="36"/>
        <v>877.01778754869122</v>
      </c>
      <c r="O88" s="342">
        <f t="shared" si="36"/>
        <v>1244.2405121657516</v>
      </c>
      <c r="P88" s="342">
        <f t="shared" si="36"/>
        <v>1628.385465591248</v>
      </c>
      <c r="Q88" s="342">
        <f t="shared" si="36"/>
        <v>2033.3280319894423</v>
      </c>
      <c r="R88" s="342">
        <f t="shared" si="36"/>
        <v>2457.9696194316007</v>
      </c>
      <c r="S88" s="342">
        <f t="shared" si="36"/>
        <v>2905.4086267547709</v>
      </c>
      <c r="T88" s="342">
        <f t="shared" si="36"/>
        <v>3367.3742002924587</v>
      </c>
      <c r="U88" s="342">
        <f t="shared" si="36"/>
        <v>3829.7885442290199</v>
      </c>
      <c r="V88" s="342">
        <f t="shared" si="36"/>
        <v>4301.5378345867675</v>
      </c>
    </row>
    <row r="89" spans="2:22"/>
    <row r="90" spans="2:22">
      <c r="I90" s="110">
        <f>SUM(J90:V90)</f>
        <v>0</v>
      </c>
      <c r="J90" s="110">
        <f>IF(J88&gt;0,0,1)</f>
        <v>0</v>
      </c>
      <c r="K90" s="110">
        <f t="shared" ref="K90:V90" si="37">IF(K88&gt;0,0,1)</f>
        <v>0</v>
      </c>
      <c r="L90" s="110">
        <f t="shared" si="37"/>
        <v>0</v>
      </c>
      <c r="M90" s="110">
        <f t="shared" si="37"/>
        <v>0</v>
      </c>
      <c r="N90" s="110">
        <f t="shared" si="37"/>
        <v>0</v>
      </c>
      <c r="O90" s="110">
        <f t="shared" si="37"/>
        <v>0</v>
      </c>
      <c r="P90" s="110">
        <f t="shared" si="37"/>
        <v>0</v>
      </c>
      <c r="Q90" s="110">
        <f t="shared" si="37"/>
        <v>0</v>
      </c>
      <c r="R90" s="110">
        <f t="shared" si="37"/>
        <v>0</v>
      </c>
      <c r="S90" s="110">
        <f t="shared" si="37"/>
        <v>0</v>
      </c>
      <c r="T90" s="110">
        <f t="shared" si="37"/>
        <v>0</v>
      </c>
      <c r="U90" s="110">
        <f t="shared" si="37"/>
        <v>0</v>
      </c>
      <c r="V90" s="110">
        <f t="shared" si="37"/>
        <v>0</v>
      </c>
    </row>
    <row r="91" spans="2:22"/>
    <row r="92" spans="2:22" ht="23.25" outlineLevel="1">
      <c r="B92" s="337" t="s">
        <v>1062</v>
      </c>
      <c r="C92" s="337"/>
      <c r="D92" s="337"/>
      <c r="E92" s="337"/>
      <c r="F92" s="337"/>
      <c r="G92" s="337"/>
      <c r="H92" s="337"/>
      <c r="I92" s="337"/>
      <c r="J92" s="337"/>
      <c r="K92" s="337"/>
      <c r="L92" s="337"/>
      <c r="M92" s="337"/>
      <c r="N92" s="337"/>
      <c r="O92" s="337"/>
      <c r="P92" s="337"/>
      <c r="Q92" s="337"/>
      <c r="R92" s="337"/>
      <c r="S92" s="337"/>
      <c r="T92" s="337"/>
      <c r="U92" s="337"/>
      <c r="V92" s="337"/>
    </row>
    <row r="93" spans="2:22" outlineLevel="1"/>
    <row r="94" spans="2:22" ht="15.75" outlineLevel="1">
      <c r="B94" s="333" t="s">
        <v>1063</v>
      </c>
    </row>
    <row r="95" spans="2:22" outlineLevel="1">
      <c r="B95" s="445" t="s">
        <v>1064</v>
      </c>
      <c r="I95" s="315">
        <f>I88</f>
        <v>60.638905050279995</v>
      </c>
      <c r="J95" s="315">
        <f>J88</f>
        <v>31.366562544943093</v>
      </c>
      <c r="K95" s="315">
        <f t="shared" ref="K95:V95" si="38">K88</f>
        <v>3</v>
      </c>
      <c r="L95" s="315">
        <f t="shared" si="38"/>
        <v>244.09774259633423</v>
      </c>
      <c r="M95" s="315">
        <f t="shared" si="38"/>
        <v>542.02794862989776</v>
      </c>
      <c r="N95" s="315">
        <f t="shared" si="38"/>
        <v>877.01778754869122</v>
      </c>
      <c r="O95" s="315">
        <f t="shared" si="38"/>
        <v>1244.2405121657516</v>
      </c>
      <c r="P95" s="315">
        <f t="shared" si="38"/>
        <v>1628.385465591248</v>
      </c>
      <c r="Q95" s="315">
        <f t="shared" si="38"/>
        <v>2033.3280319894423</v>
      </c>
      <c r="R95" s="315">
        <f t="shared" si="38"/>
        <v>2457.9696194316007</v>
      </c>
      <c r="S95" s="315">
        <f t="shared" si="38"/>
        <v>2905.4086267547709</v>
      </c>
      <c r="T95" s="315">
        <f t="shared" si="38"/>
        <v>3367.3742002924587</v>
      </c>
      <c r="U95" s="315">
        <f t="shared" si="38"/>
        <v>3829.7885442290199</v>
      </c>
      <c r="V95" s="315">
        <f t="shared" si="38"/>
        <v>4301.5378345867675</v>
      </c>
    </row>
    <row r="96" spans="2:22" outlineLevel="1">
      <c r="B96" s="445" t="s">
        <v>204</v>
      </c>
      <c r="I96" s="348">
        <f>BS_Historical!V10/Thousands</f>
        <v>0.51981068748259995</v>
      </c>
      <c r="J96" s="349">
        <f>I96*J12</f>
        <v>0.51981068748259995</v>
      </c>
      <c r="K96" s="349">
        <f t="shared" ref="K96:V96" si="39">J96*K12</f>
        <v>0.51981068748259995</v>
      </c>
      <c r="L96" s="349">
        <f t="shared" si="39"/>
        <v>0.51981068748259995</v>
      </c>
      <c r="M96" s="349">
        <f t="shared" si="39"/>
        <v>0.51981068748259995</v>
      </c>
      <c r="N96" s="349">
        <f t="shared" si="39"/>
        <v>0.51981068748259995</v>
      </c>
      <c r="O96" s="349">
        <f t="shared" si="39"/>
        <v>0.51981068748259995</v>
      </c>
      <c r="P96" s="349">
        <f t="shared" si="39"/>
        <v>0.51981068748259995</v>
      </c>
      <c r="Q96" s="349">
        <f t="shared" si="39"/>
        <v>0.51981068748259995</v>
      </c>
      <c r="R96" s="349">
        <f>Q96*R12</f>
        <v>0.51981068748259995</v>
      </c>
      <c r="S96" s="349">
        <f>R96*S12</f>
        <v>0.51981068748259995</v>
      </c>
      <c r="T96" s="349"/>
      <c r="U96" s="349">
        <f t="shared" si="39"/>
        <v>0</v>
      </c>
      <c r="V96" s="349">
        <f t="shared" si="39"/>
        <v>0</v>
      </c>
    </row>
    <row r="97" spans="2:22" outlineLevel="1">
      <c r="B97" s="445" t="s">
        <v>304</v>
      </c>
      <c r="I97" s="348">
        <v>45</v>
      </c>
      <c r="J97" s="315">
        <f>Calculation_FSL!J1455</f>
        <v>37.535488103522198</v>
      </c>
      <c r="K97" s="315">
        <f>Calculation_FSL!K1455</f>
        <v>52.718161619628049</v>
      </c>
      <c r="L97" s="315">
        <f>Calculation_FSL!L1455</f>
        <v>76.692931186010412</v>
      </c>
      <c r="M97" s="315">
        <f>Calculation_FSL!M1455</f>
        <v>93.015965696990918</v>
      </c>
      <c r="N97" s="315">
        <f>Calculation_FSL!N1455</f>
        <v>103.43970209330855</v>
      </c>
      <c r="O97" s="315">
        <f>Calculation_FSL!O1455</f>
        <v>113.16662102848092</v>
      </c>
      <c r="P97" s="315">
        <f>Calculation_FSL!P1455</f>
        <v>117.98838236372465</v>
      </c>
      <c r="Q97" s="315">
        <f>Calculation_FSL!Q1455</f>
        <v>125.93134227579748</v>
      </c>
      <c r="R97" s="315">
        <f>Calculation_FSL!R1455</f>
        <v>131.35194063936194</v>
      </c>
      <c r="S97" s="315">
        <f>Calculation_FSL!S1455</f>
        <v>140.2054443009867</v>
      </c>
      <c r="T97" s="315">
        <f>Calculation_FSL!T1455</f>
        <v>143.3320233220081</v>
      </c>
      <c r="U97" s="315">
        <f>Calculation_FSL!U1455</f>
        <v>144.3962912419548</v>
      </c>
      <c r="V97" s="315">
        <f>Calculation_FSL!V1455</f>
        <v>149.05198970962346</v>
      </c>
    </row>
    <row r="98" spans="2:22" outlineLevel="1">
      <c r="B98" s="445" t="s">
        <v>1065</v>
      </c>
      <c r="I98" s="315">
        <f>BS_Historical!V17/Thousands</f>
        <v>826.02231893299631</v>
      </c>
      <c r="J98" s="315">
        <f>Calculation_FSL!J1489</f>
        <v>862.889756524061</v>
      </c>
      <c r="K98" s="315">
        <f>Calculation_FSL!K1489</f>
        <v>763.92857134205951</v>
      </c>
      <c r="L98" s="315">
        <f>Calculation_FSL!L1489</f>
        <v>1048.7327972008518</v>
      </c>
      <c r="M98" s="315">
        <f>Calculation_FSL!M1489</f>
        <v>1071.7950805136431</v>
      </c>
      <c r="N98" s="315">
        <f>Calculation_FSL!N1489</f>
        <v>927.59665045030715</v>
      </c>
      <c r="O98" s="315">
        <f>Calculation_FSL!O1489</f>
        <v>781.38948829332139</v>
      </c>
      <c r="P98" s="315">
        <f>Calculation_FSL!P1489</f>
        <v>635.17341940081269</v>
      </c>
      <c r="Q98" s="315">
        <f>Calculation_FSL!Q1489</f>
        <v>488.94826563807067</v>
      </c>
      <c r="R98" s="315">
        <f>Calculation_FSL!R1489</f>
        <v>340.71384530769069</v>
      </c>
      <c r="S98" s="315">
        <f>Calculation_FSL!S1489</f>
        <v>192.46997307831995</v>
      </c>
      <c r="T98" s="315">
        <f>Calculation_FSL!T1489</f>
        <v>49.75430515007389</v>
      </c>
      <c r="U98" s="315">
        <f>Calculation_FSL!U1489</f>
        <v>-92.971196533882136</v>
      </c>
      <c r="V98" s="315">
        <f>Calculation_FSL!V1489</f>
        <v>-235.70672864866233</v>
      </c>
    </row>
    <row r="99" spans="2:22" outlineLevel="1">
      <c r="B99" s="445" t="s">
        <v>318</v>
      </c>
      <c r="I99" s="315">
        <f>BS_Historical!$V$23/Thousands</f>
        <v>331.262624869158</v>
      </c>
      <c r="J99" s="315">
        <f>I99</f>
        <v>331.262624869158</v>
      </c>
      <c r="K99" s="315">
        <f t="shared" ref="K99:V99" si="40">J99</f>
        <v>331.262624869158</v>
      </c>
      <c r="L99" s="315">
        <f t="shared" si="40"/>
        <v>331.262624869158</v>
      </c>
      <c r="M99" s="315">
        <f t="shared" si="40"/>
        <v>331.262624869158</v>
      </c>
      <c r="N99" s="315">
        <f t="shared" si="40"/>
        <v>331.262624869158</v>
      </c>
      <c r="O99" s="315">
        <f t="shared" si="40"/>
        <v>331.262624869158</v>
      </c>
      <c r="P99" s="315">
        <f t="shared" si="40"/>
        <v>331.262624869158</v>
      </c>
      <c r="Q99" s="315">
        <f t="shared" si="40"/>
        <v>331.262624869158</v>
      </c>
      <c r="R99" s="315">
        <f t="shared" si="40"/>
        <v>331.262624869158</v>
      </c>
      <c r="S99" s="315">
        <f t="shared" si="40"/>
        <v>331.262624869158</v>
      </c>
      <c r="T99" s="315">
        <f t="shared" si="40"/>
        <v>331.262624869158</v>
      </c>
      <c r="U99" s="315">
        <f t="shared" si="40"/>
        <v>331.262624869158</v>
      </c>
      <c r="V99" s="315">
        <f t="shared" si="40"/>
        <v>331.262624869158</v>
      </c>
    </row>
    <row r="100" spans="2:22" outlineLevel="1">
      <c r="B100" s="340" t="s">
        <v>174</v>
      </c>
      <c r="C100" s="340"/>
      <c r="D100" s="340"/>
      <c r="E100" s="340"/>
      <c r="F100" s="340"/>
      <c r="G100" s="340"/>
      <c r="H100" s="340"/>
      <c r="I100" s="340">
        <f t="shared" ref="I100:V100" si="41">SUM(I95:I99)</f>
        <v>1263.443659539917</v>
      </c>
      <c r="J100" s="340">
        <f t="shared" si="41"/>
        <v>1263.5742427291671</v>
      </c>
      <c r="K100" s="340">
        <f t="shared" si="41"/>
        <v>1151.4291685183282</v>
      </c>
      <c r="L100" s="340">
        <f t="shared" si="41"/>
        <v>1701.305906539837</v>
      </c>
      <c r="M100" s="340">
        <f t="shared" si="41"/>
        <v>2038.6214303971724</v>
      </c>
      <c r="N100" s="340">
        <f t="shared" si="41"/>
        <v>2239.8365756489475</v>
      </c>
      <c r="O100" s="340">
        <f t="shared" si="41"/>
        <v>2470.5790570441945</v>
      </c>
      <c r="P100" s="340">
        <f t="shared" si="41"/>
        <v>2713.329702912426</v>
      </c>
      <c r="Q100" s="340">
        <f t="shared" si="41"/>
        <v>2979.9900754599507</v>
      </c>
      <c r="R100" s="340">
        <f t="shared" si="41"/>
        <v>3261.8178409352945</v>
      </c>
      <c r="S100" s="340">
        <f t="shared" si="41"/>
        <v>3569.8664796907183</v>
      </c>
      <c r="T100" s="340">
        <f t="shared" si="41"/>
        <v>3891.7231536336985</v>
      </c>
      <c r="U100" s="340">
        <f t="shared" si="41"/>
        <v>4212.4762638062502</v>
      </c>
      <c r="V100" s="340">
        <f t="shared" si="41"/>
        <v>4546.1457205168863</v>
      </c>
    </row>
    <row r="101" spans="2:22" outlineLevel="1"/>
    <row r="102" spans="2:22" ht="15.75" outlineLevel="1">
      <c r="B102" s="333" t="s">
        <v>1066</v>
      </c>
      <c r="J102" s="350"/>
      <c r="K102" s="350"/>
      <c r="L102" s="350"/>
      <c r="M102" s="350"/>
      <c r="N102" s="350"/>
      <c r="O102" s="350"/>
      <c r="P102" s="350"/>
      <c r="Q102" s="350"/>
      <c r="R102" s="350"/>
      <c r="S102" s="350"/>
      <c r="T102" s="350"/>
      <c r="U102" s="350"/>
      <c r="V102" s="350"/>
    </row>
    <row r="103" spans="2:22" outlineLevel="1">
      <c r="B103" s="445" t="s">
        <v>240</v>
      </c>
      <c r="I103" s="324">
        <v>14.671985982904882</v>
      </c>
      <c r="J103" s="315">
        <f>Calculation_FSL!J1465</f>
        <v>10.044512985898317</v>
      </c>
      <c r="K103" s="315">
        <f>Calculation_FSL!K1465</f>
        <v>9.4240079033771629</v>
      </c>
      <c r="L103" s="315">
        <f>Calculation_FSL!L1465</f>
        <v>9.2239698680783437</v>
      </c>
      <c r="M103" s="315">
        <f>Calculation_FSL!M1465</f>
        <v>10.23954538374505</v>
      </c>
      <c r="N103" s="315">
        <f>Calculation_FSL!N1465</f>
        <v>12.027453038378997</v>
      </c>
      <c r="O103" s="315">
        <f>Calculation_FSL!O1465</f>
        <v>12.950494562138307</v>
      </c>
      <c r="P103" s="315">
        <f>Calculation_FSL!P1465</f>
        <v>13.77724339442104</v>
      </c>
      <c r="Q103" s="315">
        <f>Calculation_FSL!Q1465</f>
        <v>14.735271153997521</v>
      </c>
      <c r="R103" s="315">
        <f>Calculation_FSL!R1465</f>
        <v>15.584835722451574</v>
      </c>
      <c r="S103" s="315">
        <f>Calculation_FSL!S1465</f>
        <v>16.570083113725989</v>
      </c>
      <c r="T103" s="315">
        <f>Calculation_FSL!T1465</f>
        <v>16.22951807624262</v>
      </c>
      <c r="U103" s="315">
        <f>Calculation_FSL!U1465</f>
        <v>16.965161731061112</v>
      </c>
      <c r="V103" s="315">
        <f>Calculation_FSL!V1465</f>
        <v>17.781241188922369</v>
      </c>
    </row>
    <row r="104" spans="2:22" outlineLevel="1">
      <c r="B104" s="445" t="s">
        <v>1067</v>
      </c>
      <c r="I104" s="324">
        <f>BS_Historical!V27/Thousands</f>
        <v>224.51846524876009</v>
      </c>
      <c r="J104" s="315">
        <f>Calculation_FSL!J1517</f>
        <v>195.18</v>
      </c>
      <c r="K104" s="315">
        <f>Calculation_FSL!K1517</f>
        <v>0</v>
      </c>
      <c r="L104" s="315">
        <f>Calculation_FSL!L1517</f>
        <v>0</v>
      </c>
      <c r="M104" s="315">
        <f>Calculation_FSL!M1517</f>
        <v>0</v>
      </c>
      <c r="N104" s="315">
        <f>Calculation_FSL!N1517</f>
        <v>0</v>
      </c>
      <c r="O104" s="315">
        <f>Calculation_FSL!O1517</f>
        <v>0</v>
      </c>
      <c r="P104" s="315">
        <f>Calculation_FSL!P1517</f>
        <v>0</v>
      </c>
      <c r="Q104" s="315">
        <f>Calculation_FSL!Q1517</f>
        <v>0</v>
      </c>
      <c r="R104" s="315">
        <f>Calculation_FSL!R1517</f>
        <v>0</v>
      </c>
      <c r="S104" s="315">
        <f>Calculation_FSL!S1517</f>
        <v>0</v>
      </c>
      <c r="T104" s="315">
        <f>Calculation_FSL!T1517</f>
        <v>0</v>
      </c>
      <c r="U104" s="315">
        <f>Calculation_FSL!U1517</f>
        <v>0</v>
      </c>
      <c r="V104" s="315">
        <f>Calculation_FSL!V1517</f>
        <v>0</v>
      </c>
    </row>
    <row r="105" spans="2:22" outlineLevel="1">
      <c r="B105" s="445" t="s">
        <v>246</v>
      </c>
      <c r="I105" s="324">
        <f>BS_Historical!V28/Thousands-65.83+15.32</f>
        <v>55.924464057123025</v>
      </c>
      <c r="J105" s="348">
        <f>I105</f>
        <v>55.924464057123025</v>
      </c>
      <c r="K105" s="348">
        <f t="shared" ref="K105:V105" si="42">J105</f>
        <v>55.924464057123025</v>
      </c>
      <c r="L105" s="348">
        <f t="shared" si="42"/>
        <v>55.924464057123025</v>
      </c>
      <c r="M105" s="348">
        <f t="shared" si="42"/>
        <v>55.924464057123025</v>
      </c>
      <c r="N105" s="348">
        <f t="shared" si="42"/>
        <v>55.924464057123025</v>
      </c>
      <c r="O105" s="348">
        <f t="shared" si="42"/>
        <v>55.924464057123025</v>
      </c>
      <c r="P105" s="348">
        <f t="shared" si="42"/>
        <v>55.924464057123025</v>
      </c>
      <c r="Q105" s="348">
        <f t="shared" si="42"/>
        <v>55.924464057123025</v>
      </c>
      <c r="R105" s="348">
        <f t="shared" si="42"/>
        <v>55.924464057123025</v>
      </c>
      <c r="S105" s="348">
        <f t="shared" si="42"/>
        <v>55.924464057123025</v>
      </c>
      <c r="T105" s="348">
        <f t="shared" si="42"/>
        <v>55.924464057123025</v>
      </c>
      <c r="U105" s="348">
        <f t="shared" si="42"/>
        <v>55.924464057123025</v>
      </c>
      <c r="V105" s="348">
        <f t="shared" si="42"/>
        <v>55.924464057123025</v>
      </c>
    </row>
    <row r="106" spans="2:22" outlineLevel="1">
      <c r="B106" s="340" t="s">
        <v>1068</v>
      </c>
      <c r="C106" s="340"/>
      <c r="D106" s="340"/>
      <c r="E106" s="340"/>
      <c r="F106" s="340"/>
      <c r="G106" s="340"/>
      <c r="H106" s="340"/>
      <c r="I106" s="340">
        <f>SUM(I103:I105)</f>
        <v>295.11491528878798</v>
      </c>
      <c r="J106" s="340">
        <f>SUM(J103:J105)</f>
        <v>261.14897704302132</v>
      </c>
      <c r="K106" s="340">
        <f t="shared" ref="K106:V106" si="43">SUM(K103:K105)</f>
        <v>65.348471960500191</v>
      </c>
      <c r="L106" s="340">
        <f t="shared" si="43"/>
        <v>65.148433925201374</v>
      </c>
      <c r="M106" s="340">
        <f t="shared" si="43"/>
        <v>66.164009440868071</v>
      </c>
      <c r="N106" s="340">
        <f t="shared" si="43"/>
        <v>67.951917095502026</v>
      </c>
      <c r="O106" s="340">
        <f t="shared" si="43"/>
        <v>68.874958619261335</v>
      </c>
      <c r="P106" s="340">
        <f t="shared" si="43"/>
        <v>69.701707451544067</v>
      </c>
      <c r="Q106" s="340">
        <f t="shared" si="43"/>
        <v>70.659735211120548</v>
      </c>
      <c r="R106" s="340">
        <f t="shared" si="43"/>
        <v>71.509299779574604</v>
      </c>
      <c r="S106" s="340">
        <f t="shared" si="43"/>
        <v>72.494547170849017</v>
      </c>
      <c r="T106" s="340">
        <f t="shared" si="43"/>
        <v>72.153982133365645</v>
      </c>
      <c r="U106" s="340">
        <f t="shared" si="43"/>
        <v>72.889625788184134</v>
      </c>
      <c r="V106" s="340">
        <f t="shared" si="43"/>
        <v>73.705705246045397</v>
      </c>
    </row>
    <row r="107" spans="2:22" outlineLevel="1">
      <c r="B107" s="445"/>
    </row>
    <row r="108" spans="2:22" ht="15.75" outlineLevel="1">
      <c r="B108" s="333" t="s">
        <v>255</v>
      </c>
    </row>
    <row r="109" spans="2:22" outlineLevel="1">
      <c r="B109" s="445" t="s">
        <v>255</v>
      </c>
      <c r="I109" s="351">
        <f>BS_Historical!V32/Thousands</f>
        <v>677.73059999999998</v>
      </c>
      <c r="J109" s="315">
        <f>Calculation_FSL!J1507</f>
        <v>677.73059999999998</v>
      </c>
      <c r="K109" s="315">
        <f>Calculation_FSL!K1507</f>
        <v>677.73059999999998</v>
      </c>
      <c r="L109" s="315">
        <f>Calculation_FSL!L1507</f>
        <v>1097.5026297619047</v>
      </c>
      <c r="M109" s="315">
        <f>Calculation_FSL!M1507</f>
        <v>1257.5062547619048</v>
      </c>
      <c r="N109" s="315">
        <f>Calculation_FSL!N1507</f>
        <v>1257.5062547619048</v>
      </c>
      <c r="O109" s="315">
        <f>Calculation_FSL!O1507</f>
        <v>1257.5062547619048</v>
      </c>
      <c r="P109" s="315">
        <f>Calculation_FSL!P1507</f>
        <v>1257.5062547619048</v>
      </c>
      <c r="Q109" s="315">
        <f>Calculation_FSL!Q1507</f>
        <v>1257.5062547619048</v>
      </c>
      <c r="R109" s="315">
        <f>Calculation_FSL!R1507</f>
        <v>1257.5062547619048</v>
      </c>
      <c r="S109" s="315">
        <f>Calculation_FSL!S1507</f>
        <v>1257.5062547619048</v>
      </c>
      <c r="T109" s="315">
        <f>Calculation_FSL!T1507</f>
        <v>1257.5062547619048</v>
      </c>
      <c r="U109" s="315">
        <f>Calculation_FSL!U1507</f>
        <v>1257.5062547619048</v>
      </c>
      <c r="V109" s="315">
        <f>Calculation_FSL!V1507</f>
        <v>1257.5062547619048</v>
      </c>
    </row>
    <row r="110" spans="2:22" outlineLevel="1">
      <c r="B110" s="445" t="s">
        <v>1069</v>
      </c>
      <c r="I110" s="352"/>
      <c r="J110" s="352"/>
      <c r="K110" s="352"/>
      <c r="L110" s="352"/>
      <c r="M110" s="352"/>
      <c r="N110" s="352"/>
      <c r="O110" s="352"/>
      <c r="P110" s="352"/>
      <c r="Q110" s="352"/>
      <c r="R110" s="352"/>
      <c r="S110" s="352"/>
      <c r="T110" s="352"/>
      <c r="U110" s="352"/>
      <c r="V110" s="352"/>
    </row>
    <row r="111" spans="2:22" outlineLevel="1">
      <c r="B111" s="445" t="s">
        <v>259</v>
      </c>
      <c r="I111" s="324">
        <f>BS_Historical!V33/Thousands</f>
        <v>290.59201234880987</v>
      </c>
      <c r="J111" s="315">
        <f>Calculation_FSL!J1560</f>
        <v>324.68853378382653</v>
      </c>
      <c r="K111" s="315">
        <f>Calculation_FSL!K1560</f>
        <v>408.34396465550884</v>
      </c>
      <c r="L111" s="315">
        <f>Calculation_FSL!L1560</f>
        <v>538.64871095041167</v>
      </c>
      <c r="M111" s="315">
        <f>Calculation_FSL!M1560</f>
        <v>714.94503429208044</v>
      </c>
      <c r="N111" s="315">
        <f>Calculation_FSL!N1560</f>
        <v>914.37227188922179</v>
      </c>
      <c r="O111" s="315">
        <f>Calculation_FSL!O1560</f>
        <v>1144.1917117607095</v>
      </c>
      <c r="P111" s="315">
        <f>Calculation_FSL!P1560</f>
        <v>1386.1156087966583</v>
      </c>
      <c r="Q111" s="315">
        <f>Calculation_FSL!Q1560</f>
        <v>1651.8179535846068</v>
      </c>
      <c r="R111" s="315">
        <f>Calculation_FSL!R1560</f>
        <v>1932.7961544914956</v>
      </c>
      <c r="S111" s="315">
        <f>Calculation_FSL!S1560</f>
        <v>2239.8595458556456</v>
      </c>
      <c r="T111" s="315">
        <f>Calculation_FSL!T1560</f>
        <v>2562.0567848361093</v>
      </c>
      <c r="U111" s="315">
        <f>Calculation_FSL!U1560</f>
        <v>2882.0742513538421</v>
      </c>
      <c r="V111" s="315">
        <f>Calculation_FSL!V1560</f>
        <v>3214.927628606617</v>
      </c>
    </row>
    <row r="112" spans="2:22" outlineLevel="1">
      <c r="B112" s="340" t="s">
        <v>262</v>
      </c>
      <c r="C112" s="340"/>
      <c r="D112" s="340"/>
      <c r="E112" s="340"/>
      <c r="F112" s="340"/>
      <c r="G112" s="340"/>
      <c r="H112" s="340"/>
      <c r="I112" s="340">
        <f t="shared" ref="I112:V112" si="44">SUM(I109:I111)</f>
        <v>968.3226123488098</v>
      </c>
      <c r="J112" s="340">
        <f t="shared" si="44"/>
        <v>1002.4191337838265</v>
      </c>
      <c r="K112" s="340">
        <f t="shared" si="44"/>
        <v>1086.0745646555088</v>
      </c>
      <c r="L112" s="340">
        <f t="shared" si="44"/>
        <v>1636.1513407123164</v>
      </c>
      <c r="M112" s="340">
        <f t="shared" si="44"/>
        <v>1972.4512890539852</v>
      </c>
      <c r="N112" s="340">
        <f t="shared" si="44"/>
        <v>2171.8785266511268</v>
      </c>
      <c r="O112" s="340">
        <f t="shared" si="44"/>
        <v>2401.6979665226145</v>
      </c>
      <c r="P112" s="340">
        <f t="shared" si="44"/>
        <v>2643.6218635585628</v>
      </c>
      <c r="Q112" s="340">
        <f t="shared" si="44"/>
        <v>2909.3242083465116</v>
      </c>
      <c r="R112" s="340">
        <f t="shared" si="44"/>
        <v>3190.3024092534006</v>
      </c>
      <c r="S112" s="340">
        <f t="shared" si="44"/>
        <v>3497.3658006175501</v>
      </c>
      <c r="T112" s="340">
        <f t="shared" si="44"/>
        <v>3819.5630395980143</v>
      </c>
      <c r="U112" s="340">
        <f t="shared" si="44"/>
        <v>4139.5805061157471</v>
      </c>
      <c r="V112" s="340">
        <f t="shared" si="44"/>
        <v>4472.4338833685215</v>
      </c>
    </row>
    <row r="113" spans="2:22" outlineLevel="1"/>
    <row r="114" spans="2:22" outlineLevel="1">
      <c r="B114" s="315" t="s">
        <v>1070</v>
      </c>
      <c r="I114" s="110">
        <f>ROUNDDOWN(SUM(J114:V114),2)</f>
        <v>0</v>
      </c>
      <c r="J114" s="110">
        <f t="shared" ref="J114:V114" si="45">ROUNDDOWN(SUM(J100,-J106-J112),2)</f>
        <v>0</v>
      </c>
      <c r="K114" s="110">
        <f t="shared" si="45"/>
        <v>0</v>
      </c>
      <c r="L114" s="110">
        <f t="shared" si="45"/>
        <v>0</v>
      </c>
      <c r="M114" s="110">
        <f t="shared" si="45"/>
        <v>0</v>
      </c>
      <c r="N114" s="110">
        <f t="shared" si="45"/>
        <v>0</v>
      </c>
      <c r="O114" s="110">
        <f t="shared" si="45"/>
        <v>0</v>
      </c>
      <c r="P114" s="110">
        <f t="shared" si="45"/>
        <v>0</v>
      </c>
      <c r="Q114" s="110">
        <f t="shared" si="45"/>
        <v>0</v>
      </c>
      <c r="R114" s="110">
        <f t="shared" si="45"/>
        <v>0</v>
      </c>
      <c r="S114" s="110">
        <f t="shared" si="45"/>
        <v>0</v>
      </c>
      <c r="T114" s="110">
        <f t="shared" si="45"/>
        <v>0</v>
      </c>
      <c r="U114" s="110">
        <f t="shared" si="45"/>
        <v>0</v>
      </c>
      <c r="V114" s="110">
        <f t="shared" si="45"/>
        <v>0</v>
      </c>
    </row>
    <row r="115" spans="2:22" outlineLevel="1">
      <c r="B115" s="315" t="s">
        <v>330</v>
      </c>
      <c r="I115" s="110">
        <f>ROUNDDOWN(SUM(J115:V115),2)</f>
        <v>0</v>
      </c>
      <c r="J115" s="110">
        <f t="shared" ref="J115:V115" si="46">ROUNDDOWN(MIN(J95,0),2)</f>
        <v>0</v>
      </c>
      <c r="K115" s="110">
        <f t="shared" si="46"/>
        <v>0</v>
      </c>
      <c r="L115" s="110">
        <f t="shared" si="46"/>
        <v>0</v>
      </c>
      <c r="M115" s="110">
        <f t="shared" si="46"/>
        <v>0</v>
      </c>
      <c r="N115" s="110">
        <f t="shared" si="46"/>
        <v>0</v>
      </c>
      <c r="O115" s="110">
        <f t="shared" si="46"/>
        <v>0</v>
      </c>
      <c r="P115" s="110">
        <f t="shared" si="46"/>
        <v>0</v>
      </c>
      <c r="Q115" s="110">
        <f t="shared" si="46"/>
        <v>0</v>
      </c>
      <c r="R115" s="110">
        <f t="shared" si="46"/>
        <v>0</v>
      </c>
      <c r="S115" s="110">
        <f t="shared" si="46"/>
        <v>0</v>
      </c>
      <c r="T115" s="110">
        <f t="shared" si="46"/>
        <v>0</v>
      </c>
      <c r="U115" s="110">
        <f t="shared" si="46"/>
        <v>0</v>
      </c>
      <c r="V115" s="110">
        <f t="shared" si="46"/>
        <v>0</v>
      </c>
    </row>
    <row r="116" spans="2:22" outlineLevel="1">
      <c r="I116" s="339">
        <f t="shared" ref="I116:V116" si="47">I114-H114</f>
        <v>0</v>
      </c>
      <c r="J116" s="339">
        <f t="shared" si="47"/>
        <v>0</v>
      </c>
      <c r="K116" s="339">
        <f t="shared" si="47"/>
        <v>0</v>
      </c>
      <c r="L116" s="339">
        <f t="shared" si="47"/>
        <v>0</v>
      </c>
      <c r="M116" s="339">
        <f t="shared" si="47"/>
        <v>0</v>
      </c>
      <c r="N116" s="339">
        <f t="shared" si="47"/>
        <v>0</v>
      </c>
      <c r="O116" s="339">
        <f t="shared" si="47"/>
        <v>0</v>
      </c>
      <c r="P116" s="339">
        <f t="shared" si="47"/>
        <v>0</v>
      </c>
      <c r="Q116" s="339">
        <f t="shared" si="47"/>
        <v>0</v>
      </c>
      <c r="R116" s="339">
        <f t="shared" si="47"/>
        <v>0</v>
      </c>
      <c r="S116" s="339">
        <f t="shared" si="47"/>
        <v>0</v>
      </c>
      <c r="T116" s="339">
        <f t="shared" si="47"/>
        <v>0</v>
      </c>
      <c r="U116" s="339">
        <f t="shared" si="47"/>
        <v>0</v>
      </c>
      <c r="V116" s="339">
        <f t="shared" si="47"/>
        <v>0</v>
      </c>
    </row>
    <row r="117" spans="2:22" outlineLevel="1">
      <c r="I117" s="315">
        <f>I114</f>
        <v>0</v>
      </c>
      <c r="J117" s="315">
        <f>J114</f>
        <v>0</v>
      </c>
      <c r="K117" s="315">
        <f t="shared" ref="K117:V117" si="48">K114</f>
        <v>0</v>
      </c>
      <c r="L117" s="315">
        <f t="shared" si="48"/>
        <v>0</v>
      </c>
      <c r="M117" s="315">
        <f t="shared" si="48"/>
        <v>0</v>
      </c>
      <c r="N117" s="315">
        <f t="shared" si="48"/>
        <v>0</v>
      </c>
      <c r="O117" s="315">
        <f t="shared" si="48"/>
        <v>0</v>
      </c>
      <c r="P117" s="315">
        <f t="shared" si="48"/>
        <v>0</v>
      </c>
      <c r="Q117" s="315">
        <f t="shared" si="48"/>
        <v>0</v>
      </c>
      <c r="R117" s="315">
        <f t="shared" si="48"/>
        <v>0</v>
      </c>
      <c r="S117" s="315">
        <f t="shared" si="48"/>
        <v>0</v>
      </c>
      <c r="T117" s="315">
        <f t="shared" si="48"/>
        <v>0</v>
      </c>
      <c r="U117" s="315">
        <f t="shared" si="48"/>
        <v>0</v>
      </c>
      <c r="V117" s="315">
        <f t="shared" si="48"/>
        <v>0</v>
      </c>
    </row>
    <row r="118" spans="2:22" ht="23.25">
      <c r="B118" s="337" t="s">
        <v>183</v>
      </c>
      <c r="C118" s="337"/>
      <c r="D118" s="337"/>
      <c r="E118" s="337"/>
      <c r="F118" s="337"/>
      <c r="G118" s="337"/>
      <c r="H118" s="337"/>
      <c r="I118" s="337"/>
      <c r="J118" s="337"/>
      <c r="K118" s="337"/>
      <c r="L118" s="337"/>
      <c r="M118" s="337"/>
      <c r="N118" s="337"/>
      <c r="O118" s="337"/>
      <c r="P118" s="337"/>
      <c r="Q118" s="337"/>
      <c r="R118" s="337"/>
      <c r="S118" s="337"/>
      <c r="T118" s="337"/>
      <c r="U118" s="337"/>
      <c r="V118" s="337"/>
    </row>
    <row r="119" spans="2:22"/>
    <row r="120" spans="2:22">
      <c r="B120" s="445" t="s">
        <v>434</v>
      </c>
      <c r="I120" s="315">
        <f t="shared" ref="I120:I125" si="49">SUM(J120:V120)</f>
        <v>5203.9363604533846</v>
      </c>
      <c r="J120" s="315">
        <f t="shared" ref="J120:V120" si="50">J52</f>
        <v>65.862412993927677</v>
      </c>
      <c r="K120" s="315">
        <f t="shared" si="50"/>
        <v>149.9588485967227</v>
      </c>
      <c r="L120" s="315">
        <f t="shared" si="50"/>
        <v>232.52248412809331</v>
      </c>
      <c r="M120" s="315">
        <f t="shared" si="50"/>
        <v>313.30679164256469</v>
      </c>
      <c r="N120" s="315">
        <f t="shared" si="50"/>
        <v>354.97107541471064</v>
      </c>
      <c r="O120" s="315">
        <f t="shared" si="50"/>
        <v>407.78317798965594</v>
      </c>
      <c r="P120" s="315">
        <f t="shared" si="50"/>
        <v>429.14994673507374</v>
      </c>
      <c r="Q120" s="315">
        <f t="shared" si="50"/>
        <v>472.14753926094147</v>
      </c>
      <c r="R120" s="315">
        <f t="shared" si="50"/>
        <v>498.83484893506375</v>
      </c>
      <c r="S120" s="315">
        <f t="shared" si="50"/>
        <v>546.04801387873749</v>
      </c>
      <c r="T120" s="315">
        <f t="shared" si="50"/>
        <v>573.19382754574667</v>
      </c>
      <c r="U120" s="315">
        <f t="shared" si="50"/>
        <v>568.61988453479717</v>
      </c>
      <c r="V120" s="315">
        <f t="shared" si="50"/>
        <v>591.53750879735003</v>
      </c>
    </row>
    <row r="121" spans="2:22">
      <c r="B121" s="445" t="s">
        <v>759</v>
      </c>
      <c r="I121" s="315">
        <f t="shared" si="49"/>
        <v>-1144.8659992997448</v>
      </c>
      <c r="J121" s="315">
        <f>-IF(J120&lt;0,0,J120*22%)</f>
        <v>-14.489730858664089</v>
      </c>
      <c r="K121" s="315">
        <f t="shared" ref="K121:V121" si="51">-IF(K120&lt;0,0,K120*22%)</f>
        <v>-32.990946691278992</v>
      </c>
      <c r="L121" s="315">
        <f t="shared" si="51"/>
        <v>-51.154946508180529</v>
      </c>
      <c r="M121" s="315">
        <f t="shared" si="51"/>
        <v>-68.927494161364237</v>
      </c>
      <c r="N121" s="315">
        <f t="shared" si="51"/>
        <v>-78.093636591236347</v>
      </c>
      <c r="O121" s="315">
        <f t="shared" si="51"/>
        <v>-89.712299157724303</v>
      </c>
      <c r="P121" s="315">
        <f t="shared" si="51"/>
        <v>-94.412988281716224</v>
      </c>
      <c r="Q121" s="315">
        <f t="shared" si="51"/>
        <v>-103.87245863740712</v>
      </c>
      <c r="R121" s="315">
        <f t="shared" si="51"/>
        <v>-109.74366676571402</v>
      </c>
      <c r="S121" s="315">
        <f t="shared" si="51"/>
        <v>-120.13056305332225</v>
      </c>
      <c r="T121" s="315">
        <f t="shared" si="51"/>
        <v>-126.10264206006427</v>
      </c>
      <c r="U121" s="315">
        <f t="shared" si="51"/>
        <v>-125.09637459765538</v>
      </c>
      <c r="V121" s="315">
        <f t="shared" si="51"/>
        <v>-130.138251935417</v>
      </c>
    </row>
    <row r="122" spans="2:22">
      <c r="B122" s="449" t="s">
        <v>760</v>
      </c>
      <c r="I122" s="315">
        <f t="shared" si="49"/>
        <v>1781.3837023435638</v>
      </c>
      <c r="J122" s="315">
        <f t="shared" ref="J122:V122" si="52">-J51</f>
        <v>88.373062408935311</v>
      </c>
      <c r="K122" s="315">
        <f t="shared" si="52"/>
        <v>113.59968518200156</v>
      </c>
      <c r="L122" s="315">
        <f t="shared" si="52"/>
        <v>134.96780390311255</v>
      </c>
      <c r="M122" s="315">
        <f t="shared" si="52"/>
        <v>136.94134168720862</v>
      </c>
      <c r="N122" s="315">
        <f t="shared" si="52"/>
        <v>144.19843006333596</v>
      </c>
      <c r="O122" s="315">
        <f t="shared" si="52"/>
        <v>146.20716215698582</v>
      </c>
      <c r="P122" s="315">
        <f t="shared" si="52"/>
        <v>146.2160688925087</v>
      </c>
      <c r="Q122" s="315">
        <f t="shared" si="52"/>
        <v>146.225153762742</v>
      </c>
      <c r="R122" s="315">
        <f t="shared" si="52"/>
        <v>148.23442033038</v>
      </c>
      <c r="S122" s="315">
        <f t="shared" si="52"/>
        <v>148.24387222937074</v>
      </c>
      <c r="T122" s="315">
        <f t="shared" si="52"/>
        <v>142.71566792824606</v>
      </c>
      <c r="U122" s="315">
        <f t="shared" si="52"/>
        <v>142.72550168395603</v>
      </c>
      <c r="V122" s="315">
        <f t="shared" si="52"/>
        <v>142.7355321147802</v>
      </c>
    </row>
    <row r="123" spans="2:22">
      <c r="B123" s="445" t="s">
        <v>219</v>
      </c>
      <c r="I123" s="315">
        <f t="shared" si="49"/>
        <v>-918.08765476190479</v>
      </c>
      <c r="J123" s="353">
        <f>Output_FSL!J77+I77</f>
        <v>-323.67349999999999</v>
      </c>
      <c r="K123" s="315">
        <f>Output_FSL!K77</f>
        <v>-14.638500000000001</v>
      </c>
      <c r="L123" s="315">
        <f>Output_FSL!L77</f>
        <v>-419.77202976190478</v>
      </c>
      <c r="M123" s="315">
        <f>Output_FSL!M77</f>
        <v>-160.003625</v>
      </c>
      <c r="N123" s="315">
        <f>Output_FSL!N77</f>
        <v>0</v>
      </c>
      <c r="O123" s="315">
        <f>Output_FSL!O77</f>
        <v>0</v>
      </c>
      <c r="P123" s="315">
        <f>Output_FSL!P77</f>
        <v>0</v>
      </c>
      <c r="Q123" s="315">
        <f>Output_FSL!Q77</f>
        <v>0</v>
      </c>
      <c r="R123" s="315">
        <f>Output_FSL!R77</f>
        <v>0</v>
      </c>
      <c r="S123" s="315">
        <f>Output_FSL!S77</f>
        <v>0</v>
      </c>
      <c r="T123" s="315">
        <f>Output_FSL!T77</f>
        <v>0</v>
      </c>
      <c r="U123" s="315">
        <f>Output_FSL!U77</f>
        <v>0</v>
      </c>
      <c r="V123" s="315">
        <f>Output_FSL!V77</f>
        <v>0</v>
      </c>
    </row>
    <row r="124" spans="2:22">
      <c r="B124" s="445" t="s">
        <v>311</v>
      </c>
      <c r="I124" s="315">
        <f t="shared" si="49"/>
        <v>-100.42292381612337</v>
      </c>
      <c r="J124" s="315">
        <f t="shared" ref="J124:V124" si="53">J72</f>
        <v>2.837038899471235</v>
      </c>
      <c r="K124" s="315">
        <f t="shared" si="53"/>
        <v>-15.803178598626999</v>
      </c>
      <c r="L124" s="315">
        <f t="shared" si="53"/>
        <v>-24.174807601681195</v>
      </c>
      <c r="M124" s="315">
        <f t="shared" si="53"/>
        <v>-15.307458995313795</v>
      </c>
      <c r="N124" s="315">
        <f t="shared" si="53"/>
        <v>-8.6358287416836959</v>
      </c>
      <c r="O124" s="315">
        <f t="shared" si="53"/>
        <v>-8.8038774114130547</v>
      </c>
      <c r="P124" s="315">
        <f t="shared" si="53"/>
        <v>-3.9950125029610035</v>
      </c>
      <c r="Q124" s="315">
        <f t="shared" si="53"/>
        <v>-6.9849321524963415</v>
      </c>
      <c r="R124" s="315">
        <f t="shared" si="53"/>
        <v>-4.5710337951103952</v>
      </c>
      <c r="S124" s="315">
        <f t="shared" si="53"/>
        <v>-7.8682562703503436</v>
      </c>
      <c r="T124" s="315">
        <f t="shared" si="53"/>
        <v>-2.9473333710221823</v>
      </c>
      <c r="U124" s="315">
        <f t="shared" si="53"/>
        <v>-0.32862426512819809</v>
      </c>
      <c r="V124" s="315">
        <f t="shared" si="53"/>
        <v>-3.8396190098074072</v>
      </c>
    </row>
    <row r="125" spans="2:22">
      <c r="B125" s="340" t="s">
        <v>761</v>
      </c>
      <c r="C125" s="340"/>
      <c r="D125" s="340"/>
      <c r="E125" s="340"/>
      <c r="F125" s="340"/>
      <c r="G125" s="340"/>
      <c r="H125" s="340"/>
      <c r="I125" s="340">
        <f t="shared" si="49"/>
        <v>4821.9434849191757</v>
      </c>
      <c r="J125" s="342">
        <f>SUM(J120:J124)</f>
        <v>-181.09071655632988</v>
      </c>
      <c r="K125" s="342">
        <f t="shared" ref="K125:V125" si="54">SUM(K120:K124)</f>
        <v>200.12590848881828</v>
      </c>
      <c r="L125" s="342">
        <f t="shared" si="54"/>
        <v>-127.61149584056061</v>
      </c>
      <c r="M125" s="342">
        <f t="shared" si="54"/>
        <v>206.00955517309532</v>
      </c>
      <c r="N125" s="342">
        <f t="shared" si="54"/>
        <v>412.44004014512655</v>
      </c>
      <c r="O125" s="342">
        <f t="shared" si="54"/>
        <v>455.47416357750438</v>
      </c>
      <c r="P125" s="342">
        <f t="shared" si="54"/>
        <v>476.95801484290519</v>
      </c>
      <c r="Q125" s="342">
        <f t="shared" si="54"/>
        <v>507.51530223378001</v>
      </c>
      <c r="R125" s="342">
        <f t="shared" si="54"/>
        <v>532.75456870461926</v>
      </c>
      <c r="S125" s="342">
        <f t="shared" si="54"/>
        <v>566.29306678443561</v>
      </c>
      <c r="T125" s="342">
        <f t="shared" si="54"/>
        <v>586.8595200429063</v>
      </c>
      <c r="U125" s="342">
        <f t="shared" si="54"/>
        <v>585.92038735596964</v>
      </c>
      <c r="V125" s="342">
        <f t="shared" si="54"/>
        <v>600.29516996690586</v>
      </c>
    </row>
    <row r="126" spans="2:22"/>
    <row r="127" spans="2:22">
      <c r="B127" s="315" t="s">
        <v>52</v>
      </c>
      <c r="F127" s="353"/>
    </row>
    <row r="128" spans="2:22">
      <c r="B128" s="340" t="s">
        <v>762</v>
      </c>
      <c r="C128" s="340"/>
      <c r="D128" s="340"/>
      <c r="E128" s="340"/>
      <c r="F128" s="340"/>
      <c r="G128" s="340"/>
      <c r="H128" s="340"/>
      <c r="I128" s="340"/>
      <c r="J128" s="342">
        <f>SUM(J125,J127)</f>
        <v>-181.09071655632988</v>
      </c>
      <c r="K128" s="342">
        <f t="shared" ref="K128:V128" si="55">SUM(K125,K127)</f>
        <v>200.12590848881828</v>
      </c>
      <c r="L128" s="342">
        <f t="shared" si="55"/>
        <v>-127.61149584056061</v>
      </c>
      <c r="M128" s="342">
        <f t="shared" si="55"/>
        <v>206.00955517309532</v>
      </c>
      <c r="N128" s="342">
        <f t="shared" si="55"/>
        <v>412.44004014512655</v>
      </c>
      <c r="O128" s="342">
        <f t="shared" si="55"/>
        <v>455.47416357750438</v>
      </c>
      <c r="P128" s="342">
        <f t="shared" si="55"/>
        <v>476.95801484290519</v>
      </c>
      <c r="Q128" s="342">
        <f t="shared" si="55"/>
        <v>507.51530223378001</v>
      </c>
      <c r="R128" s="342">
        <f t="shared" si="55"/>
        <v>532.75456870461926</v>
      </c>
      <c r="S128" s="342">
        <f t="shared" si="55"/>
        <v>566.29306678443561</v>
      </c>
      <c r="T128" s="342">
        <f t="shared" si="55"/>
        <v>586.8595200429063</v>
      </c>
      <c r="U128" s="342">
        <f t="shared" si="55"/>
        <v>585.92038735596964</v>
      </c>
      <c r="V128" s="342">
        <f t="shared" si="55"/>
        <v>600.29516996690586</v>
      </c>
    </row>
    <row r="129" spans="2:22"/>
    <row r="130" spans="2:22">
      <c r="B130" s="315" t="s">
        <v>763</v>
      </c>
      <c r="J130" s="315">
        <f>SUM($J$128:J128)</f>
        <v>-181.09071655632988</v>
      </c>
      <c r="K130" s="315">
        <f>SUM($J$128:K128)</f>
        <v>19.035191932488402</v>
      </c>
      <c r="L130" s="315">
        <f>SUM($J$128:L128)</f>
        <v>-108.57630390807221</v>
      </c>
      <c r="M130" s="315">
        <f>SUM($J$128:M128)</f>
        <v>97.433251265023117</v>
      </c>
      <c r="N130" s="315">
        <f>SUM($J$128:N128)</f>
        <v>509.87329141014965</v>
      </c>
      <c r="O130" s="315">
        <f>SUM($J$128:O128)</f>
        <v>965.34745498765403</v>
      </c>
      <c r="P130" s="315">
        <f>SUM($J$128:P128)</f>
        <v>1442.3054698305591</v>
      </c>
      <c r="Q130" s="315">
        <f>SUM($J$128:Q128)</f>
        <v>1949.8207720643391</v>
      </c>
      <c r="R130" s="315">
        <f>SUM($J$128:R128)</f>
        <v>2482.5753407689581</v>
      </c>
      <c r="S130" s="315">
        <f>SUM($J$128:S128)</f>
        <v>3048.8684075533938</v>
      </c>
      <c r="T130" s="315">
        <f>SUM($J$128:T128)</f>
        <v>3635.7279275963001</v>
      </c>
      <c r="U130" s="315">
        <f>SUM($J$128:U128)</f>
        <v>4221.6483149522701</v>
      </c>
      <c r="V130" s="315">
        <f>SUM($J$128:V128)</f>
        <v>4821.9434849191757</v>
      </c>
    </row>
    <row r="131" spans="2:22">
      <c r="B131" s="315" t="s">
        <v>764</v>
      </c>
      <c r="I131" s="315">
        <f>SUM(J131:V131)</f>
        <v>2</v>
      </c>
      <c r="J131" s="328">
        <f>IF(J130&lt;0,1,0)</f>
        <v>1</v>
      </c>
      <c r="K131" s="328">
        <f t="shared" ref="K131:V131" si="56">IF(K130&lt;0,1,0)</f>
        <v>0</v>
      </c>
      <c r="L131" s="328">
        <f t="shared" si="56"/>
        <v>1</v>
      </c>
      <c r="M131" s="328">
        <f t="shared" si="56"/>
        <v>0</v>
      </c>
      <c r="N131" s="328">
        <f t="shared" si="56"/>
        <v>0</v>
      </c>
      <c r="O131" s="328">
        <f t="shared" si="56"/>
        <v>0</v>
      </c>
      <c r="P131" s="328">
        <f t="shared" si="56"/>
        <v>0</v>
      </c>
      <c r="Q131" s="328">
        <f t="shared" si="56"/>
        <v>0</v>
      </c>
      <c r="R131" s="328">
        <f t="shared" si="56"/>
        <v>0</v>
      </c>
      <c r="S131" s="328">
        <f t="shared" si="56"/>
        <v>0</v>
      </c>
      <c r="T131" s="328">
        <f t="shared" si="56"/>
        <v>0</v>
      </c>
      <c r="U131" s="328">
        <f t="shared" si="56"/>
        <v>0</v>
      </c>
      <c r="V131" s="328">
        <f t="shared" si="56"/>
        <v>0</v>
      </c>
    </row>
    <row r="132" spans="2:22">
      <c r="B132" s="315" t="s">
        <v>765</v>
      </c>
      <c r="J132" s="328">
        <f>IF(AND(I131=1,J131=0),IF(MAX(J130,0),1),0)</f>
        <v>0</v>
      </c>
      <c r="K132" s="328">
        <f t="shared" ref="K132:V132" si="57">IF(AND(J131=1,K131=0),IF(MAX(K130,0),1),0)</f>
        <v>1</v>
      </c>
      <c r="L132" s="328">
        <f t="shared" si="57"/>
        <v>0</v>
      </c>
      <c r="M132" s="328">
        <f t="shared" si="57"/>
        <v>1</v>
      </c>
      <c r="N132" s="328">
        <f t="shared" si="57"/>
        <v>0</v>
      </c>
      <c r="O132" s="328">
        <f t="shared" si="57"/>
        <v>0</v>
      </c>
      <c r="P132" s="328">
        <f t="shared" si="57"/>
        <v>0</v>
      </c>
      <c r="Q132" s="328">
        <f t="shared" si="57"/>
        <v>0</v>
      </c>
      <c r="R132" s="328">
        <f t="shared" si="57"/>
        <v>0</v>
      </c>
      <c r="S132" s="328">
        <f t="shared" si="57"/>
        <v>0</v>
      </c>
      <c r="T132" s="328">
        <f t="shared" si="57"/>
        <v>0</v>
      </c>
      <c r="U132" s="328">
        <f t="shared" si="57"/>
        <v>0</v>
      </c>
      <c r="V132" s="328">
        <f t="shared" si="57"/>
        <v>0</v>
      </c>
    </row>
    <row r="133" spans="2:22">
      <c r="B133" s="315" t="s">
        <v>766</v>
      </c>
      <c r="I133" s="343">
        <f>SUM(J133:V133)</f>
        <v>1.4319289097624335</v>
      </c>
      <c r="J133" s="343">
        <f>IF(J132=1,-I130/J128,0)</f>
        <v>0</v>
      </c>
      <c r="K133" s="343">
        <f>IF(K132=1,-J130/K128,0)</f>
        <v>0.90488391994706696</v>
      </c>
      <c r="L133" s="343">
        <f>IF(L132=1,-K130/L128,0)</f>
        <v>0</v>
      </c>
      <c r="M133" s="343">
        <f>IF(M132=1,-L130/M128,0)</f>
        <v>0.52704498981536652</v>
      </c>
      <c r="N133" s="343">
        <f>IF(N132=1,-M130/N128,0)</f>
        <v>0</v>
      </c>
      <c r="O133" s="343">
        <f t="shared" ref="O133:V133" si="58">IF(O132=1,-N130/O128,0)</f>
        <v>0</v>
      </c>
      <c r="P133" s="343">
        <f t="shared" si="58"/>
        <v>0</v>
      </c>
      <c r="Q133" s="343">
        <f t="shared" si="58"/>
        <v>0</v>
      </c>
      <c r="R133" s="343">
        <f t="shared" si="58"/>
        <v>0</v>
      </c>
      <c r="S133" s="343">
        <f t="shared" si="58"/>
        <v>0</v>
      </c>
      <c r="T133" s="343">
        <f t="shared" si="58"/>
        <v>0</v>
      </c>
      <c r="U133" s="343">
        <f t="shared" si="58"/>
        <v>0</v>
      </c>
      <c r="V133" s="343">
        <f t="shared" si="58"/>
        <v>0</v>
      </c>
    </row>
    <row r="134" spans="2:22"/>
    <row r="135" spans="2:22"/>
    <row r="136" spans="2:22" ht="15.75">
      <c r="B136" s="333" t="s">
        <v>767</v>
      </c>
    </row>
    <row r="137" spans="2:22">
      <c r="B137" s="190" t="s">
        <v>54</v>
      </c>
      <c r="F137" s="354"/>
      <c r="J137" s="405">
        <f>XIRR(L128:V128,L7:V7)</f>
        <v>2.1644236803054815</v>
      </c>
    </row>
    <row r="138" spans="2:22">
      <c r="B138" s="190" t="s">
        <v>768</v>
      </c>
      <c r="F138" s="343"/>
      <c r="J138" s="355">
        <f>SUM(I131,I133)</f>
        <v>3.4319289097624335</v>
      </c>
    </row>
    <row r="139" spans="2:22">
      <c r="B139" s="445"/>
    </row>
  </sheetData>
  <conditionalFormatting sqref="J11:V11">
    <cfRule type="cellIs" dxfId="21" priority="4" operator="equal">
      <formula>1</formula>
    </cfRule>
  </conditionalFormatting>
  <conditionalFormatting sqref="K12:V12">
    <cfRule type="cellIs" dxfId="20" priority="3" operator="equal">
      <formula>1</formula>
    </cfRule>
  </conditionalFormatting>
  <conditionalFormatting sqref="J12">
    <cfRule type="cellIs" dxfId="19" priority="2" operator="equal">
      <formula>1</formula>
    </cfRule>
  </conditionalFormatting>
  <conditionalFormatting sqref="J131:V132">
    <cfRule type="cellIs" dxfId="18" priority="1" operator="equal">
      <formula>1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03C87-4381-4300-9CC1-ED4DFE559907}">
  <sheetPr codeName="Sheet29"/>
  <dimension ref="A2:W86"/>
  <sheetViews>
    <sheetView showGridLines="0" workbookViewId="0">
      <selection activeCell="H4" sqref="H4"/>
    </sheetView>
  </sheetViews>
  <sheetFormatPr defaultRowHeight="15"/>
  <cols>
    <col min="2" max="2" width="16.5703125" bestFit="1" customWidth="1"/>
    <col min="3" max="3" width="22.5703125" bestFit="1" customWidth="1"/>
    <col min="7" max="8" width="10.140625" bestFit="1" customWidth="1"/>
    <col min="10" max="11" width="10.140625" bestFit="1" customWidth="1"/>
  </cols>
  <sheetData>
    <row r="2" spans="2:23">
      <c r="D2" s="407" t="s">
        <v>775</v>
      </c>
      <c r="E2" s="407" t="s">
        <v>776</v>
      </c>
      <c r="F2" s="407" t="s">
        <v>777</v>
      </c>
      <c r="G2" s="407" t="s">
        <v>778</v>
      </c>
      <c r="H2" s="407" t="s">
        <v>779</v>
      </c>
    </row>
    <row r="3" spans="2:23">
      <c r="B3" s="407" t="s">
        <v>780</v>
      </c>
      <c r="C3" s="407"/>
      <c r="D3">
        <f>'Calculation FKS PoV'!D81</f>
        <v>9.4826606457339686</v>
      </c>
      <c r="E3">
        <f>'Calculation FKS PoV'!E81</f>
        <v>10.067681117049387</v>
      </c>
      <c r="F3">
        <f>'Calculation FKS PoV'!F81</f>
        <v>11.121141099872</v>
      </c>
      <c r="G3">
        <f>'Calculation FKS PoV'!G81</f>
        <v>12.578741691747387</v>
      </c>
      <c r="H3">
        <f>'Calculation FKS PoV'!H81</f>
        <v>13.178311848817772</v>
      </c>
      <c r="I3">
        <f>H3-D3</f>
        <v>3.6956512030838038</v>
      </c>
      <c r="P3">
        <f>'Output_Standalone (IDR)'!L115/Calculation_FSL!L1425*Billion</f>
        <v>12947.178022236454</v>
      </c>
      <c r="T3">
        <f>SUM(M12,S12)</f>
        <v>124634.07047113436</v>
      </c>
    </row>
    <row r="4" spans="2:23">
      <c r="B4" s="407" t="s">
        <v>425</v>
      </c>
      <c r="C4" s="407"/>
      <c r="D4">
        <f>'Calculation FKS PoV'!D101</f>
        <v>0</v>
      </c>
      <c r="E4">
        <f>'Calculation FKS PoV'!E101</f>
        <v>6.1363480116763611</v>
      </c>
      <c r="F4">
        <f>'Calculation FKS PoV'!F101</f>
        <v>11.472789919568871</v>
      </c>
      <c r="G4">
        <f>'Calculation FKS PoV'!G101</f>
        <v>15.103283105656445</v>
      </c>
      <c r="H4">
        <f>'Calculation FKS PoV'!H101</f>
        <v>17.511482524256099</v>
      </c>
      <c r="I4">
        <f>H4-D4</f>
        <v>17.511482524256099</v>
      </c>
      <c r="Q4">
        <f>'Output_Standalone (IDR)'!J20/SUM(Calculation_FSL!J1264)*Billion</f>
        <v>42670.183209592826</v>
      </c>
      <c r="R4">
        <f>'Output_Standalone (IDR)'!K20/SUM(Calculation_FSL!K1264)*Billion</f>
        <v>42670.183209592826</v>
      </c>
      <c r="S4">
        <f>'Output_Standalone (IDR)'!L20/SUM(Calculation_FSL!L1264)*Billion</f>
        <v>42670.183209592818</v>
      </c>
    </row>
    <row r="6" spans="2:23">
      <c r="D6" s="407" t="s">
        <v>421</v>
      </c>
      <c r="G6" s="407" t="s">
        <v>781</v>
      </c>
      <c r="J6" s="407" t="s">
        <v>782</v>
      </c>
      <c r="M6" t="s">
        <v>430</v>
      </c>
      <c r="P6" s="407" t="s">
        <v>783</v>
      </c>
      <c r="S6" s="407" t="s">
        <v>784</v>
      </c>
    </row>
    <row r="7" spans="2:23">
      <c r="D7" s="407" t="s">
        <v>394</v>
      </c>
      <c r="E7" s="407" t="s">
        <v>456</v>
      </c>
      <c r="G7" s="407" t="s">
        <v>394</v>
      </c>
      <c r="H7" s="407" t="s">
        <v>456</v>
      </c>
      <c r="J7" s="407" t="s">
        <v>394</v>
      </c>
      <c r="K7" s="407" t="s">
        <v>456</v>
      </c>
      <c r="M7" s="407" t="s">
        <v>394</v>
      </c>
      <c r="N7" s="407" t="s">
        <v>456</v>
      </c>
      <c r="P7" s="407" t="s">
        <v>394</v>
      </c>
      <c r="Q7" s="407" t="s">
        <v>456</v>
      </c>
      <c r="S7" s="407" t="s">
        <v>394</v>
      </c>
      <c r="T7" s="407" t="s">
        <v>456</v>
      </c>
    </row>
    <row r="8" spans="2:23">
      <c r="B8" t="s">
        <v>407</v>
      </c>
      <c r="D8" s="407"/>
      <c r="E8" s="407"/>
      <c r="G8" s="407">
        <f>Calculation_FSL!J1166</f>
        <v>1602574.2089999998</v>
      </c>
      <c r="H8" s="407">
        <f>G8</f>
        <v>1602574.2089999998</v>
      </c>
      <c r="J8" s="407">
        <f>Calculation_FSL!J1188</f>
        <v>2063651.067</v>
      </c>
      <c r="K8" s="407">
        <f>J8</f>
        <v>2063651.067</v>
      </c>
      <c r="M8" s="407"/>
      <c r="N8" s="407"/>
      <c r="P8" s="407"/>
      <c r="Q8" s="407"/>
      <c r="S8" s="407"/>
      <c r="T8" s="407"/>
    </row>
    <row r="9" spans="2:23">
      <c r="B9" s="407" t="s">
        <v>9</v>
      </c>
      <c r="C9" s="407" t="s">
        <v>396</v>
      </c>
      <c r="D9">
        <f>Calculation_FSL!F1281</f>
        <v>10464</v>
      </c>
      <c r="E9">
        <f>Calculation_FSL!F1305</f>
        <v>10464</v>
      </c>
      <c r="G9">
        <f>SUM(Calculation_FSL!F1169,Calculation_FSL!F1170,Calculation_FSL!F1174)</f>
        <v>39126</v>
      </c>
      <c r="H9">
        <f>SUM(Calculation_FSL!F1218,Calculation_FSL!F1219,Calculation_FSL!F1223)</f>
        <v>39126</v>
      </c>
      <c r="J9">
        <f>SUM(Calculation_FSL!F1191:F1192,Calculation_FSL!F1196)</f>
        <v>46584</v>
      </c>
      <c r="K9">
        <f>SUM(Calculation_FSL!F1242:F1243,Calculation_FSL!F1247)</f>
        <v>46584</v>
      </c>
      <c r="M9">
        <f>(G9*G$8+J9*J$8)/SUM(G$8,J$8)</f>
        <v>43323.97161904844</v>
      </c>
      <c r="N9">
        <f>(H9*H$8+K9*K$8)/SUM(H$8,K$8)</f>
        <v>43323.97161904844</v>
      </c>
      <c r="P9">
        <v>0</v>
      </c>
      <c r="Q9">
        <v>0</v>
      </c>
      <c r="S9">
        <v>0</v>
      </c>
      <c r="T9">
        <v>0</v>
      </c>
      <c r="V9">
        <f>SUM(P9,S9)</f>
        <v>0</v>
      </c>
      <c r="W9">
        <f>SUM(Q9,T9)</f>
        <v>0</v>
      </c>
    </row>
    <row r="10" spans="2:23">
      <c r="C10" s="407" t="s">
        <v>399</v>
      </c>
      <c r="D10">
        <f>Calculation_FSL!F1283</f>
        <v>24416</v>
      </c>
      <c r="E10">
        <f>Calculation_FSL!F1307</f>
        <v>9125.814219633221</v>
      </c>
      <c r="G10">
        <f>SUM(Calculation_FSL!F1171:F1173)</f>
        <v>39133</v>
      </c>
      <c r="H10">
        <f>SUM(Calculation_FSL!F1220:F1222)</f>
        <v>21913.534576140453</v>
      </c>
      <c r="J10">
        <f>SUM(Calculation_FSL!F1193:F1195)</f>
        <v>38257</v>
      </c>
      <c r="K10">
        <f>SUM(Calculation_FSL!F1244:F1246)</f>
        <v>25016.451372150055</v>
      </c>
      <c r="M10">
        <f>(G10*G$8+J10*J$8)/SUM(G$8,J$8)</f>
        <v>38639.915642493106</v>
      </c>
      <c r="N10">
        <f>(H10*H$8+K10*K$8)/SUM(H$8,K$8)</f>
        <v>23660.109615818252</v>
      </c>
      <c r="P10">
        <v>0</v>
      </c>
      <c r="Q10">
        <f>Calculation_FSL!F1426</f>
        <v>15290.185780366781</v>
      </c>
      <c r="S10">
        <v>0</v>
      </c>
      <c r="T10">
        <f>T3-N12-T11</f>
        <v>14979.806026674843</v>
      </c>
      <c r="V10">
        <f t="shared" ref="V10:V19" si="0">SUM(P10,S10)</f>
        <v>0</v>
      </c>
      <c r="W10">
        <f t="shared" ref="W10:W19" si="1">SUM(Q10,T10)</f>
        <v>30269.991807041624</v>
      </c>
    </row>
    <row r="11" spans="2:23">
      <c r="C11" s="407" t="s">
        <v>785</v>
      </c>
      <c r="D11">
        <v>0</v>
      </c>
      <c r="G11">
        <v>0</v>
      </c>
      <c r="H11">
        <v>0</v>
      </c>
      <c r="J11">
        <v>0</v>
      </c>
      <c r="K11">
        <v>0</v>
      </c>
      <c r="P11">
        <f>Calculation_FSL!$G$1280</f>
        <v>34120</v>
      </c>
      <c r="Q11">
        <f>P11</f>
        <v>34120</v>
      </c>
      <c r="S11">
        <f>'Output_Standalone (IDR)'!L20/SUM(Calculation_FSL!L1264)*Billion</f>
        <v>42670.183209592818</v>
      </c>
      <c r="T11">
        <f>S11</f>
        <v>42670.183209592818</v>
      </c>
      <c r="V11">
        <f t="shared" si="0"/>
        <v>76790.183209592826</v>
      </c>
      <c r="W11">
        <f t="shared" si="1"/>
        <v>76790.183209592826</v>
      </c>
    </row>
    <row r="12" spans="2:23">
      <c r="B12" s="407" t="s">
        <v>454</v>
      </c>
      <c r="C12" s="407"/>
      <c r="D12">
        <f>SUM(D9:D11)</f>
        <v>34880</v>
      </c>
      <c r="E12">
        <f>SUM(E9:E11)</f>
        <v>19589.814219633219</v>
      </c>
      <c r="G12">
        <f>SUM(G9:G11)</f>
        <v>78259</v>
      </c>
      <c r="H12">
        <f>SUM(H9:H11)</f>
        <v>61039.534576140453</v>
      </c>
      <c r="J12">
        <f>SUM(J9:J11)</f>
        <v>84841</v>
      </c>
      <c r="K12">
        <f>SUM(K9:K11)</f>
        <v>71600.451372150055</v>
      </c>
      <c r="M12">
        <f>SUM(M9:M10)</f>
        <v>81963.887261541546</v>
      </c>
      <c r="N12">
        <f>SUM(N9:N10)</f>
        <v>66984.081234866695</v>
      </c>
      <c r="P12">
        <f>SUM(P9:P11)</f>
        <v>34120</v>
      </c>
      <c r="Q12">
        <f>SUM(Q9:Q11)</f>
        <v>49410.185780366781</v>
      </c>
      <c r="S12">
        <f>SUM(S9:S11)</f>
        <v>42670.183209592818</v>
      </c>
      <c r="T12">
        <f>SUM(T9:T11)</f>
        <v>57649.989236267662</v>
      </c>
      <c r="V12">
        <f t="shared" si="0"/>
        <v>76790.183209592826</v>
      </c>
      <c r="W12">
        <f t="shared" si="1"/>
        <v>107060.17501663444</v>
      </c>
    </row>
    <row r="13" spans="2:23">
      <c r="V13">
        <f t="shared" si="0"/>
        <v>0</v>
      </c>
      <c r="W13">
        <f t="shared" si="1"/>
        <v>0</v>
      </c>
    </row>
    <row r="14" spans="2:23">
      <c r="B14" s="407" t="s">
        <v>642</v>
      </c>
      <c r="C14" s="407" t="s">
        <v>492</v>
      </c>
      <c r="D14">
        <f>Calculation_FSL!F1290</f>
        <v>-2377</v>
      </c>
      <c r="E14">
        <f>Calculation_FSL!F1314</f>
        <v>-2377</v>
      </c>
      <c r="G14">
        <f>Calculation_FSL!F1178</f>
        <v>-6748.59024058253</v>
      </c>
      <c r="H14">
        <f>Calculation_FSL!F1227</f>
        <v>-6748.59024058253</v>
      </c>
      <c r="J14">
        <f>Calculation_FSL!F1200</f>
        <v>-9220.5995016695306</v>
      </c>
      <c r="K14">
        <f>Calculation_FSL!F1251</f>
        <v>-9220.5995016695306</v>
      </c>
      <c r="M14">
        <f t="shared" ref="M14:N17" si="2">(G14*G$8+J14*J$8)/SUM(G$8,J$8)</f>
        <v>-8140.0389828818224</v>
      </c>
      <c r="N14">
        <f t="shared" si="2"/>
        <v>-8140.0389828818224</v>
      </c>
      <c r="P14">
        <f>'Output_Standalone (IDR)'!L122/Calculation_FSL!L1425*Billion</f>
        <v>-11370.910757566411</v>
      </c>
      <c r="Q14">
        <f>P14</f>
        <v>-11370.910757566411</v>
      </c>
      <c r="S14">
        <f>'Output_Standalone (IDR)'!L27/SUM(Calculation_FSL!L1408,Calculation_FSL!L1413)*Billion</f>
        <v>-10991.607547599848</v>
      </c>
      <c r="T14">
        <f>S14</f>
        <v>-10991.607547599848</v>
      </c>
      <c r="V14">
        <f t="shared" si="0"/>
        <v>-22362.518305166261</v>
      </c>
      <c r="W14">
        <f t="shared" si="1"/>
        <v>-22362.518305166261</v>
      </c>
    </row>
    <row r="15" spans="2:23">
      <c r="C15" t="s">
        <v>637</v>
      </c>
      <c r="D15">
        <f>Calculation_FSL!F1291</f>
        <v>-3174.08</v>
      </c>
      <c r="E15">
        <f>Calculation_FSL!F1315</f>
        <v>-3174.08</v>
      </c>
      <c r="G15">
        <f>Calculation_FSL!F1179</f>
        <v>-4185.74</v>
      </c>
      <c r="H15">
        <f>Calculation_FSL!F1228</f>
        <v>-4185.74</v>
      </c>
      <c r="J15">
        <f>Calculation_FSL!F1201</f>
        <v>-4092.01</v>
      </c>
      <c r="K15">
        <f>Calculation_FSL!F1252</f>
        <v>-4092.01</v>
      </c>
      <c r="M15">
        <f t="shared" si="2"/>
        <v>-4132.9810995101361</v>
      </c>
      <c r="N15">
        <f t="shared" si="2"/>
        <v>-4132.9810995101361</v>
      </c>
      <c r="P15">
        <f>SUM('Output_Standalone (IDR)'!L119,'Output_Standalone (IDR)'!L116)/Calculation_FSL!L1425*Billion</f>
        <v>-6582.4015263018227</v>
      </c>
      <c r="Q15">
        <f>P15</f>
        <v>-6582.4015263018227</v>
      </c>
      <c r="S15">
        <f>SUM('Output_Standalone (IDR)'!L21,'Output_Standalone (IDR)'!L24)/SUM(Calculation_FSL!L1408,Calculation_FSL!L1413)*Billion</f>
        <v>-12238.538926163004</v>
      </c>
      <c r="T15">
        <f>S15</f>
        <v>-12238.538926163004</v>
      </c>
      <c r="V15">
        <f t="shared" si="0"/>
        <v>-18820.940452464827</v>
      </c>
      <c r="W15">
        <f t="shared" si="1"/>
        <v>-18820.940452464827</v>
      </c>
    </row>
    <row r="16" spans="2:23">
      <c r="C16" s="407" t="s">
        <v>786</v>
      </c>
      <c r="D16">
        <f>Calculation_FSL!F1292</f>
        <v>-12272.1430163898</v>
      </c>
      <c r="E16">
        <f>Calculation_FSL!F1316</f>
        <v>0</v>
      </c>
      <c r="G16">
        <f>Calculation_FSL!F1180</f>
        <v>-12570.209759417499</v>
      </c>
      <c r="H16">
        <f>Calculation_FSL!F1229</f>
        <v>0</v>
      </c>
      <c r="J16">
        <f>Calculation_FSL!F1202</f>
        <v>-9665.6004983304592</v>
      </c>
      <c r="K16">
        <f>Calculation_FSL!F1253</f>
        <v>0</v>
      </c>
      <c r="M16">
        <f t="shared" si="2"/>
        <v>-10935.258399472659</v>
      </c>
      <c r="N16">
        <f t="shared" si="2"/>
        <v>0</v>
      </c>
      <c r="Q16">
        <f>-(Calculation_FSL!J1427-Calculation_FSL!J1431)/Calculation_FSL!J1425*Billion</f>
        <v>-8715.405894809066</v>
      </c>
      <c r="T16">
        <f>-(Calculation_FSL!L1417-Calculation_FSL!L1420)/Calculation_FSL!L1406*Billion</f>
        <v>-7639.7010736041784</v>
      </c>
      <c r="V16">
        <f t="shared" si="0"/>
        <v>0</v>
      </c>
      <c r="W16">
        <f t="shared" si="1"/>
        <v>-16355.106968413245</v>
      </c>
    </row>
    <row r="17" spans="1:23">
      <c r="C17" t="s">
        <v>639</v>
      </c>
      <c r="D17">
        <f>Calculation_FSL!F1293</f>
        <v>-7639.176983610203</v>
      </c>
      <c r="E17">
        <f>Calculation_FSL!F1317</f>
        <v>-4290.425971898565</v>
      </c>
      <c r="F17" s="31">
        <f>G17/G12</f>
        <v>-0.42965703625142115</v>
      </c>
      <c r="G17">
        <f>Calculation_FSL!F1181</f>
        <v>-33624.52999999997</v>
      </c>
      <c r="H17">
        <f>Calculation_FSL!F1230</f>
        <v>-26226.065520150652</v>
      </c>
      <c r="J17">
        <f>Calculation_FSL!F1203</f>
        <v>-38955.720000000008</v>
      </c>
      <c r="K17">
        <f>Calculation_FSL!F1254</f>
        <v>-32323.405418633076</v>
      </c>
      <c r="M17">
        <f t="shared" si="2"/>
        <v>-36625.359219060709</v>
      </c>
      <c r="N17">
        <f t="shared" si="2"/>
        <v>-29658.146486297192</v>
      </c>
      <c r="Q17">
        <f>P17</f>
        <v>0</v>
      </c>
      <c r="T17">
        <f>S17</f>
        <v>0</v>
      </c>
      <c r="V17">
        <f t="shared" si="0"/>
        <v>0</v>
      </c>
      <c r="W17">
        <f t="shared" si="1"/>
        <v>0</v>
      </c>
    </row>
    <row r="18" spans="1:23">
      <c r="B18" s="407" t="s">
        <v>640</v>
      </c>
      <c r="D18">
        <f>SUM(D14:D17)</f>
        <v>-25462.400000000001</v>
      </c>
      <c r="E18">
        <f>SUM(E14:E17)</f>
        <v>-9841.5059718985649</v>
      </c>
      <c r="G18">
        <f>SUM(G14:G17)</f>
        <v>-57129.07</v>
      </c>
      <c r="H18">
        <f>SUM(H14:H17)</f>
        <v>-37160.395760733183</v>
      </c>
      <c r="J18">
        <f>SUM(J14:J17)</f>
        <v>-61933.93</v>
      </c>
      <c r="K18">
        <f>SUM(K14:K17)</f>
        <v>-45636.014920302609</v>
      </c>
      <c r="M18">
        <f>SUM(M14:M17)</f>
        <v>-59833.637700925326</v>
      </c>
      <c r="N18">
        <f>SUM(N14:N17)</f>
        <v>-41931.16656868915</v>
      </c>
      <c r="P18">
        <f>SUM(P14:P17)</f>
        <v>-17953.312283868232</v>
      </c>
      <c r="Q18">
        <f>SUM(Q14:Q17)</f>
        <v>-26668.7181786773</v>
      </c>
      <c r="S18">
        <f>SUM(S14:S17)</f>
        <v>-23230.146473762852</v>
      </c>
      <c r="T18">
        <f>SUM(T14:T17)</f>
        <v>-30869.84754736703</v>
      </c>
      <c r="V18">
        <f t="shared" si="0"/>
        <v>-41183.458757631088</v>
      </c>
      <c r="W18">
        <f t="shared" si="1"/>
        <v>-57538.565726044326</v>
      </c>
    </row>
    <row r="19" spans="1:23">
      <c r="B19" s="407" t="s">
        <v>787</v>
      </c>
      <c r="D19">
        <f>SUM(D12,D18)</f>
        <v>9417.5999999999985</v>
      </c>
      <c r="E19">
        <f>SUM(E12,E18)</f>
        <v>9748.3082477346543</v>
      </c>
      <c r="G19">
        <f>SUM(G12,G18)</f>
        <v>21129.93</v>
      </c>
      <c r="H19">
        <f>SUM(H12,H18)</f>
        <v>23879.13881540727</v>
      </c>
      <c r="J19">
        <f>SUM(J12,J18)</f>
        <v>22907.07</v>
      </c>
      <c r="K19">
        <f>SUM(K12,K18)</f>
        <v>25964.436451847447</v>
      </c>
      <c r="M19">
        <f>SUM(M12,M18)</f>
        <v>22130.249560616219</v>
      </c>
      <c r="N19">
        <f>SUM(N12,N18)</f>
        <v>25052.914666177545</v>
      </c>
      <c r="P19">
        <f>SUM(P12,P18)</f>
        <v>16166.687716131768</v>
      </c>
      <c r="Q19">
        <f>SUM(Q12,Q18)</f>
        <v>22741.467601689481</v>
      </c>
      <c r="S19">
        <f>SUM(S12,S18)</f>
        <v>19440.036735829966</v>
      </c>
      <c r="T19">
        <f>SUM(T12,T18)</f>
        <v>26780.141688900632</v>
      </c>
      <c r="V19">
        <f t="shared" si="0"/>
        <v>35606.724451961738</v>
      </c>
      <c r="W19">
        <f t="shared" si="1"/>
        <v>49521.609290590117</v>
      </c>
    </row>
    <row r="21" spans="1:23">
      <c r="B21" s="407" t="s">
        <v>788</v>
      </c>
      <c r="D21" s="123">
        <f>D19/D12</f>
        <v>0.26999999999999996</v>
      </c>
      <c r="E21" s="31">
        <f>E19/E12</f>
        <v>0.49762127085231606</v>
      </c>
      <c r="G21" s="31">
        <f>G19/G12</f>
        <v>0.27</v>
      </c>
      <c r="H21" s="31">
        <f>H19/H12</f>
        <v>0.39120774726125301</v>
      </c>
      <c r="J21" s="31">
        <f>J19/J12</f>
        <v>0.27</v>
      </c>
      <c r="K21" s="31">
        <f>K19/K12</f>
        <v>0.36262950797467541</v>
      </c>
      <c r="M21" s="31">
        <f>M19/M12</f>
        <v>0.27</v>
      </c>
      <c r="N21" s="31">
        <f>N19/N12</f>
        <v>0.37401296254753957</v>
      </c>
      <c r="P21" s="123">
        <f>P19/P12</f>
        <v>0.47381851454079038</v>
      </c>
      <c r="Q21" s="31">
        <f>Q19/Q12</f>
        <v>0.46025869448816847</v>
      </c>
      <c r="S21" s="123">
        <f>S19/S12</f>
        <v>0.45558831187440485</v>
      </c>
      <c r="T21" s="31">
        <f>T19/T12</f>
        <v>0.46452986450955347</v>
      </c>
      <c r="V21" s="123">
        <f>V19/V12</f>
        <v>0.46368849459280437</v>
      </c>
      <c r="W21" s="31">
        <f>W19/W12</f>
        <v>0.46255864314527517</v>
      </c>
    </row>
    <row r="22" spans="1:23">
      <c r="E22" s="31"/>
      <c r="N22" s="31"/>
      <c r="Q22" s="31">
        <f>Q19/P19-1</f>
        <v>0.40668688608348225</v>
      </c>
    </row>
    <row r="24" spans="1:23">
      <c r="K24" s="31">
        <f>E10/D10</f>
        <v>0.37376368854985342</v>
      </c>
      <c r="L24" s="31">
        <f>Q10/D10</f>
        <v>0.62623631145014669</v>
      </c>
    </row>
    <row r="25" spans="1:23">
      <c r="K25" s="31">
        <f>N10/M10</f>
        <v>0.61232301423036095</v>
      </c>
      <c r="L25" s="31">
        <f>T10/M10</f>
        <v>0.38767698576963877</v>
      </c>
    </row>
    <row r="30" spans="1:23">
      <c r="G30" s="31" t="e">
        <f>G24/F24-1</f>
        <v>#DIV/0!</v>
      </c>
    </row>
    <row r="31" spans="1:23">
      <c r="B31" t="s">
        <v>430</v>
      </c>
      <c r="D31">
        <v>2024</v>
      </c>
      <c r="E31">
        <f>D31+1</f>
        <v>2025</v>
      </c>
      <c r="F31">
        <f>E31+1</f>
        <v>2026</v>
      </c>
      <c r="G31">
        <f>F31+1</f>
        <v>2027</v>
      </c>
      <c r="H31">
        <f>G31+1</f>
        <v>2028</v>
      </c>
      <c r="I31">
        <f>H31+1</f>
        <v>2029</v>
      </c>
      <c r="J31">
        <f>I31+5</f>
        <v>2034</v>
      </c>
    </row>
    <row r="32" spans="1:23">
      <c r="A32" t="s">
        <v>9</v>
      </c>
      <c r="B32" t="s">
        <v>394</v>
      </c>
      <c r="D32">
        <f>Calculation_FSL!J1269</f>
        <v>300.49807519747799</v>
      </c>
      <c r="E32">
        <f>Calculation_FSL!K1269</f>
        <v>309.51301745340231</v>
      </c>
      <c r="F32">
        <f>Calculation_FSL!L1269</f>
        <v>318.79840797700439</v>
      </c>
      <c r="G32">
        <f>Calculation_FSL!M1269</f>
        <v>328.36236021631453</v>
      </c>
      <c r="H32">
        <f>Calculation_FSL!N1269</f>
        <v>338.21323102280405</v>
      </c>
      <c r="I32">
        <f>Calculation_FSL!O1269</f>
        <v>348.35962795348814</v>
      </c>
      <c r="J32">
        <f>Calculation_FSL!T1269</f>
        <v>403.84428521927236</v>
      </c>
    </row>
    <row r="33" spans="1:13">
      <c r="B33" t="s">
        <v>424</v>
      </c>
      <c r="D33">
        <f>Calculation_FSL!J1265</f>
        <v>245.57873171290549</v>
      </c>
      <c r="E33">
        <f>Calculation_FSL!K1265</f>
        <v>252.94609366429268</v>
      </c>
      <c r="F33">
        <f>Calculation_FSL!L1265</f>
        <v>260.53447647422149</v>
      </c>
      <c r="G33">
        <f>Calculation_FSL!M1265</f>
        <v>268.35051076844809</v>
      </c>
      <c r="H33">
        <f>Calculation_FSL!N1265</f>
        <v>276.40102609150159</v>
      </c>
      <c r="I33">
        <f>Calculation_FSL!O1265</f>
        <v>284.69305687424662</v>
      </c>
      <c r="J33">
        <f>Calculation_FSL!T1265</f>
        <v>330.03727996752946</v>
      </c>
    </row>
    <row r="35" spans="1:13">
      <c r="A35" t="s">
        <v>434</v>
      </c>
      <c r="B35" t="s">
        <v>394</v>
      </c>
      <c r="D35">
        <f>Calculation_FSL!J1270</f>
        <v>81.134480303319066</v>
      </c>
      <c r="E35">
        <f>Calculation_FSL!K1270</f>
        <v>83.568514712418647</v>
      </c>
      <c r="F35">
        <f>Calculation_FSL!L1270</f>
        <v>86.07557015379119</v>
      </c>
      <c r="G35">
        <f>Calculation_FSL!M1270</f>
        <v>88.657837258404925</v>
      </c>
      <c r="H35">
        <f>Calculation_FSL!N1270</f>
        <v>91.317572376157102</v>
      </c>
      <c r="I35">
        <f>Calculation_FSL!O1270</f>
        <v>94.057099547441794</v>
      </c>
      <c r="J35">
        <f>Calculation_FSL!T1270</f>
        <v>109.03795700920355</v>
      </c>
    </row>
    <row r="36" spans="1:13">
      <c r="B36" t="s">
        <v>424</v>
      </c>
      <c r="D36">
        <f>Calculation_FSL!J1266</f>
        <v>91.849628986611179</v>
      </c>
      <c r="E36">
        <f>Calculation_FSL!K1266</f>
        <v>94.605117856209532</v>
      </c>
      <c r="F36">
        <f>Calculation_FSL!L1266</f>
        <v>97.443271391895848</v>
      </c>
      <c r="G36">
        <f>Calculation_FSL!M1266</f>
        <v>100.36656953365268</v>
      </c>
      <c r="H36">
        <f>Calculation_FSL!N1266</f>
        <v>103.37756661966228</v>
      </c>
      <c r="I36">
        <f>Calculation_FSL!O1266</f>
        <v>106.47889361825216</v>
      </c>
      <c r="J36">
        <f>Calculation_FSL!T1266</f>
        <v>123.4382208317874</v>
      </c>
      <c r="K36" s="31">
        <f>J36/J35-1</f>
        <v>0.13206652268226526</v>
      </c>
    </row>
    <row r="37" spans="1:13">
      <c r="D37" s="99">
        <f t="shared" ref="D37:J37" si="3">D36/D35</f>
        <v>1.1320665226822655</v>
      </c>
      <c r="E37" s="292">
        <f t="shared" si="3"/>
        <v>1.1320665226822657</v>
      </c>
      <c r="F37" s="292">
        <f t="shared" si="3"/>
        <v>1.1320665226822662</v>
      </c>
      <c r="G37" s="292">
        <f t="shared" si="3"/>
        <v>1.1320665226822657</v>
      </c>
      <c r="H37" s="292">
        <f t="shared" si="3"/>
        <v>1.1320665226822655</v>
      </c>
      <c r="I37" s="292">
        <f t="shared" si="3"/>
        <v>1.1320665226822659</v>
      </c>
      <c r="J37" s="123">
        <f t="shared" si="3"/>
        <v>1.1320665226822653</v>
      </c>
      <c r="K37" s="99"/>
      <c r="L37" s="99"/>
      <c r="M37" s="99"/>
    </row>
    <row r="38" spans="1:13">
      <c r="B38" t="s">
        <v>421</v>
      </c>
      <c r="E38" s="31">
        <f t="shared" ref="E38:J38" si="4">E36/E35-1</f>
        <v>0.13206652268226571</v>
      </c>
      <c r="F38" s="31">
        <f t="shared" si="4"/>
        <v>0.13206652268226615</v>
      </c>
      <c r="G38" s="31">
        <f t="shared" si="4"/>
        <v>0.13206652268226571</v>
      </c>
      <c r="H38" s="31">
        <f t="shared" si="4"/>
        <v>0.13206652268226549</v>
      </c>
      <c r="I38" s="31">
        <f t="shared" si="4"/>
        <v>0.13206652268226593</v>
      </c>
      <c r="J38" s="31">
        <f t="shared" si="4"/>
        <v>0.13206652268226526</v>
      </c>
    </row>
    <row r="39" spans="1:13">
      <c r="A39" t="s">
        <v>9</v>
      </c>
      <c r="B39" t="s">
        <v>394</v>
      </c>
      <c r="D39">
        <f>Calculation_FSL!J1337</f>
        <v>38.368000000000002</v>
      </c>
      <c r="E39">
        <f>Calculation_FSL!K1337</f>
        <v>124.97453661183999</v>
      </c>
      <c r="F39">
        <f>Calculation_FSL!L1337</f>
        <v>128.72377271019519</v>
      </c>
      <c r="G39">
        <f>Calculation_FSL!M1337</f>
        <v>132.58548589150107</v>
      </c>
      <c r="H39">
        <f>Calculation_FSL!N1337</f>
        <v>136.5630504682461</v>
      </c>
      <c r="I39">
        <f>Calculation_FSL!O1337</f>
        <v>140.65994198229347</v>
      </c>
      <c r="J39">
        <f>Calculation_FSL!T1337</f>
        <v>163.06342403261499</v>
      </c>
    </row>
    <row r="40" spans="1:13">
      <c r="B40" t="s">
        <v>424</v>
      </c>
      <c r="D40">
        <f>Calculation_FSL!J1328</f>
        <v>21.548795641596541</v>
      </c>
      <c r="E40">
        <f>Calculation_FSL!K1328</f>
        <v>70.190021628747019</v>
      </c>
      <c r="F40">
        <f>Calculation_FSL!L1328</f>
        <v>72.295722277609428</v>
      </c>
      <c r="G40">
        <f>Calculation_FSL!M1328</f>
        <v>74.464593945937708</v>
      </c>
      <c r="H40">
        <f>Calculation_FSL!N1328</f>
        <v>76.698531764315845</v>
      </c>
      <c r="I40">
        <f>Calculation_FSL!O1328</f>
        <v>78.999487717245316</v>
      </c>
      <c r="J40">
        <f>Calculation_FSL!T1328</f>
        <v>91.582057993583803</v>
      </c>
    </row>
    <row r="42" spans="1:13">
      <c r="A42" t="s">
        <v>434</v>
      </c>
      <c r="B42" t="s">
        <v>394</v>
      </c>
      <c r="D42">
        <f>Calculation_FSL!J1338</f>
        <v>10.359360000000001</v>
      </c>
      <c r="E42">
        <f>Calculation_FSL!K1338</f>
        <v>33.743124885196799</v>
      </c>
      <c r="F42">
        <f>Calculation_FSL!L1338</f>
        <v>34.755418631752704</v>
      </c>
      <c r="G42">
        <f>Calculation_FSL!M1338</f>
        <v>35.79808119070529</v>
      </c>
      <c r="H42">
        <f>Calculation_FSL!N1338</f>
        <v>36.872023626426447</v>
      </c>
      <c r="I42">
        <f>Calculation_FSL!O1338</f>
        <v>37.97818433521924</v>
      </c>
      <c r="J42">
        <f>Calculation_FSL!T1338</f>
        <v>44.027124488806052</v>
      </c>
    </row>
    <row r="43" spans="1:13">
      <c r="B43" t="s">
        <v>424</v>
      </c>
      <c r="D43">
        <f>Calculation_FSL!J1329</f>
        <v>10.72313907250812</v>
      </c>
      <c r="E43">
        <f>Calculation_FSL!K1329</f>
        <v>34.928047764048642</v>
      </c>
      <c r="F43">
        <f>Calculation_FSL!L1329</f>
        <v>35.975889196970108</v>
      </c>
      <c r="G43">
        <f>Calculation_FSL!M1329</f>
        <v>37.055165872879201</v>
      </c>
      <c r="H43">
        <f>Calculation_FSL!N1329</f>
        <v>38.16682084906558</v>
      </c>
      <c r="I43">
        <f>Calculation_FSL!O1329</f>
        <v>39.311825474537549</v>
      </c>
      <c r="J43">
        <f>Calculation_FSL!T1329</f>
        <v>45.573180086037681</v>
      </c>
      <c r="K43" s="31">
        <f>J43/J42-1</f>
        <v>3.511597941457012E-2</v>
      </c>
    </row>
    <row r="44" spans="1:13">
      <c r="D44" s="99">
        <f t="shared" ref="D44:J44" si="5">D43/D42</f>
        <v>1.0351159794145699</v>
      </c>
      <c r="E44" s="292">
        <f t="shared" si="5"/>
        <v>1.0351159794145701</v>
      </c>
      <c r="F44" s="292">
        <f t="shared" si="5"/>
        <v>1.0351159794145703</v>
      </c>
      <c r="G44" s="292">
        <f t="shared" si="5"/>
        <v>1.0351159794145699</v>
      </c>
      <c r="H44" s="292">
        <f t="shared" si="5"/>
        <v>1.0351159794145701</v>
      </c>
      <c r="I44" s="292">
        <f t="shared" si="5"/>
        <v>1.0351159794145701</v>
      </c>
      <c r="J44" s="31">
        <f t="shared" si="5"/>
        <v>1.0351159794145701</v>
      </c>
      <c r="K44" s="99"/>
      <c r="L44" s="99"/>
      <c r="M44" s="99"/>
    </row>
    <row r="45" spans="1:13">
      <c r="E45" s="31">
        <f t="shared" ref="E45:J45" si="6">E43/E42-1</f>
        <v>3.511597941457012E-2</v>
      </c>
      <c r="F45" s="31">
        <f t="shared" si="6"/>
        <v>3.5115979414570342E-2</v>
      </c>
      <c r="G45" s="31">
        <f t="shared" si="6"/>
        <v>3.5115979414569898E-2</v>
      </c>
      <c r="H45" s="31">
        <f t="shared" si="6"/>
        <v>3.511597941457012E-2</v>
      </c>
      <c r="I45" s="31">
        <f t="shared" si="6"/>
        <v>3.511597941457012E-2</v>
      </c>
      <c r="J45" s="31">
        <f t="shared" si="6"/>
        <v>3.511597941457012E-2</v>
      </c>
    </row>
    <row r="49" spans="2:10">
      <c r="B49" t="s">
        <v>393</v>
      </c>
      <c r="F49">
        <f>Calculation_FSL!L1417</f>
        <v>58.263931502782953</v>
      </c>
      <c r="G49">
        <f>Calculation_FSL!M1417</f>
        <v>60.011849447866439</v>
      </c>
      <c r="H49">
        <f>Calculation_FSL!N1417</f>
        <v>61.812204931302446</v>
      </c>
      <c r="I49">
        <f>Calculation_FSL!O1417</f>
        <v>63.666571079241507</v>
      </c>
      <c r="J49">
        <f>Calculation_FSL!T1417</f>
        <v>73.807005251742865</v>
      </c>
    </row>
    <row r="50" spans="2:10">
      <c r="F50">
        <f>Calculation_FSL!L1427</f>
        <v>56.428050432585785</v>
      </c>
      <c r="G50">
        <f>Calculation_FSL!M1427</f>
        <v>58.120891945563365</v>
      </c>
      <c r="H50">
        <f>Calculation_FSL!N1427</f>
        <v>59.864518703930258</v>
      </c>
      <c r="I50">
        <f>Calculation_FSL!O1427</f>
        <v>61.660454265048173</v>
      </c>
      <c r="J50">
        <f>Calculation_FSL!T1427</f>
        <v>71.481366039031215</v>
      </c>
    </row>
    <row r="51" spans="2:10">
      <c r="F51">
        <f>SUM(F49:F50)</f>
        <v>114.69198193536874</v>
      </c>
      <c r="G51">
        <f>SUM(G49:G50)</f>
        <v>118.1327413934298</v>
      </c>
      <c r="H51">
        <f>SUM(H49:H50)</f>
        <v>121.6767236352327</v>
      </c>
      <c r="I51">
        <f>SUM(I49:I50)</f>
        <v>125.32702534428968</v>
      </c>
      <c r="J51">
        <f>SUM(J49:J50)</f>
        <v>145.28837129077408</v>
      </c>
    </row>
    <row r="53" spans="2:10">
      <c r="F53">
        <f>Calculation_FSL!L1420</f>
        <v>28.549326436363646</v>
      </c>
      <c r="G53">
        <f>Calculation_FSL!M1420</f>
        <v>29.405806229454555</v>
      </c>
      <c r="H53">
        <f>Calculation_FSL!N1420</f>
        <v>30.287980416338197</v>
      </c>
      <c r="I53">
        <f>Calculation_FSL!O1420</f>
        <v>31.196619828828339</v>
      </c>
      <c r="J53">
        <f>Calculation_FSL!T1420</f>
        <v>36.165432573354003</v>
      </c>
    </row>
    <row r="54" spans="2:10">
      <c r="F54">
        <f>Calculation_FSL!L1431</f>
        <v>24.264061686011885</v>
      </c>
      <c r="G54">
        <f>Calculation_FSL!M1431</f>
        <v>24.991983536592247</v>
      </c>
      <c r="H54">
        <f>Calculation_FSL!N1431</f>
        <v>25.741743042690011</v>
      </c>
      <c r="I54">
        <f>Calculation_FSL!O1431</f>
        <v>26.513995333970716</v>
      </c>
      <c r="J54">
        <f>Calculation_FSL!T1431</f>
        <v>30.736987396783423</v>
      </c>
    </row>
    <row r="55" spans="2:10">
      <c r="F55">
        <f>SUM(F53:F54)</f>
        <v>52.813388122375528</v>
      </c>
      <c r="G55">
        <f>SUM(G53:G54)</f>
        <v>54.397789766046799</v>
      </c>
      <c r="H55">
        <f>SUM(H53:H54)</f>
        <v>56.029723459028205</v>
      </c>
      <c r="I55">
        <f>SUM(I53:I54)</f>
        <v>57.710615162799058</v>
      </c>
      <c r="J55">
        <f>SUM(J53:J54)</f>
        <v>66.90241997013743</v>
      </c>
    </row>
    <row r="56" spans="2:10">
      <c r="F56" s="31">
        <f>F55/F51</f>
        <v>0.4604802117042231</v>
      </c>
      <c r="G56" s="31">
        <f>G55/G51</f>
        <v>0.46048021170422315</v>
      </c>
      <c r="H56" s="31">
        <f>H55/H51</f>
        <v>0.4604802117042231</v>
      </c>
      <c r="I56" s="31">
        <f>I55/I51</f>
        <v>0.46048021170422321</v>
      </c>
      <c r="J56" s="31">
        <f>J55/J51</f>
        <v>0.46048021170422321</v>
      </c>
    </row>
    <row r="60" spans="2:10">
      <c r="B60" s="2" t="s">
        <v>190</v>
      </c>
      <c r="D60">
        <v>2024</v>
      </c>
      <c r="E60">
        <f>D60+1</f>
        <v>2025</v>
      </c>
      <c r="F60">
        <f>E60+1</f>
        <v>2026</v>
      </c>
      <c r="G60">
        <f>F60+1</f>
        <v>2027</v>
      </c>
      <c r="H60">
        <f>G60+1</f>
        <v>2028</v>
      </c>
      <c r="I60">
        <f>H60+1</f>
        <v>2029</v>
      </c>
      <c r="J60">
        <f>I60+5</f>
        <v>2034</v>
      </c>
    </row>
    <row r="61" spans="2:10">
      <c r="B61" t="s">
        <v>408</v>
      </c>
    </row>
    <row r="62" spans="2:10">
      <c r="B62" s="2" t="s">
        <v>9</v>
      </c>
    </row>
    <row r="63" spans="2:10">
      <c r="B63" t="s">
        <v>389</v>
      </c>
      <c r="D63">
        <f>Calculation_SOEs!J1170</f>
        <v>137.31170154</v>
      </c>
      <c r="E63">
        <f>Calculation_SOEs!K1170</f>
        <v>141.43105258620002</v>
      </c>
      <c r="F63">
        <f>Calculation_SOEs!L1170</f>
        <v>145.67398416378597</v>
      </c>
      <c r="G63">
        <f>Calculation_SOEs!M1170</f>
        <v>150.04420368869958</v>
      </c>
      <c r="H63">
        <f>Calculation_SOEs!N1170</f>
        <v>154.54552979936059</v>
      </c>
      <c r="I63">
        <f>Calculation_SOEs!O1170</f>
        <v>159.1818956933414</v>
      </c>
      <c r="J63">
        <f>Calculation_SOEs!T1170</f>
        <v>184.53544477521757</v>
      </c>
    </row>
    <row r="64" spans="2:10">
      <c r="B64" t="s">
        <v>186</v>
      </c>
      <c r="D64">
        <f>Calculation_SOEs!J1103</f>
        <v>456.93611833517997</v>
      </c>
      <c r="E64">
        <f>Calculation_SOEs!K1103</f>
        <v>470.64420188523536</v>
      </c>
      <c r="F64">
        <f>Calculation_SOEs!L1103</f>
        <v>484.7635279417924</v>
      </c>
      <c r="G64">
        <f>Calculation_SOEs!M1103</f>
        <v>499.30643378004623</v>
      </c>
      <c r="H64">
        <f>Calculation_SOEs!N1103</f>
        <v>514.2856267934477</v>
      </c>
      <c r="I64">
        <f>Calculation_SOEs!O1103</f>
        <v>529.71419559725109</v>
      </c>
      <c r="J64">
        <f>Calculation_SOEs!T1103</f>
        <v>614.08393374457239</v>
      </c>
    </row>
    <row r="65" spans="2:10">
      <c r="B65" t="s">
        <v>390</v>
      </c>
    </row>
    <row r="68" spans="2:10">
      <c r="B68" s="2" t="s">
        <v>139</v>
      </c>
    </row>
    <row r="69" spans="2:10">
      <c r="B69" t="s">
        <v>389</v>
      </c>
      <c r="D69">
        <f>Calculation_SOEs!J1171</f>
        <v>18.741256238015993</v>
      </c>
      <c r="E69">
        <f>Calculation_SOEs!K1171</f>
        <v>19.303493925156488</v>
      </c>
      <c r="F69">
        <f>Calculation_SOEs!L1171</f>
        <v>19.882598742911171</v>
      </c>
      <c r="G69">
        <f>Calculation_SOEs!M1171</f>
        <v>20.479076705198509</v>
      </c>
      <c r="H69">
        <f>Calculation_SOEs!N1171</f>
        <v>21.093449006354462</v>
      </c>
      <c r="I69">
        <f>Calculation_SOEs!O1171</f>
        <v>21.726252476545113</v>
      </c>
      <c r="J69">
        <f>Calculation_SOEs!T1171</f>
        <v>25.186681227754946</v>
      </c>
    </row>
    <row r="70" spans="2:10">
      <c r="B70" t="s">
        <v>186</v>
      </c>
      <c r="D70">
        <f>Calculation_SOEs!J1104</f>
        <v>81.134480303319037</v>
      </c>
      <c r="E70">
        <f>Calculation_SOEs!K1104</f>
        <v>83.568514712418676</v>
      </c>
      <c r="F70">
        <f>Calculation_SOEs!L1104</f>
        <v>86.075570153791176</v>
      </c>
      <c r="G70">
        <f>Calculation_SOEs!M1104</f>
        <v>88.657837258404925</v>
      </c>
      <c r="H70">
        <f>Calculation_SOEs!N1104</f>
        <v>91.317572376157131</v>
      </c>
      <c r="I70">
        <f>Calculation_SOEs!O1104</f>
        <v>94.057099547441766</v>
      </c>
      <c r="J70">
        <f>Calculation_SOEs!T1104</f>
        <v>109.03795700920352</v>
      </c>
    </row>
    <row r="71" spans="2:10">
      <c r="B71" t="s">
        <v>390</v>
      </c>
    </row>
    <row r="74" spans="2:10">
      <c r="B74" t="s">
        <v>789</v>
      </c>
    </row>
    <row r="75" spans="2:10">
      <c r="B75" s="2" t="s">
        <v>9</v>
      </c>
    </row>
    <row r="76" spans="2:10">
      <c r="B76" t="s">
        <v>389</v>
      </c>
      <c r="D76">
        <f>Calculation_SOEs!J1166</f>
        <v>137.31170154</v>
      </c>
      <c r="E76">
        <f>Calculation_SOEs!K1166</f>
        <v>141.4310525862</v>
      </c>
      <c r="F76">
        <f>Calculation_SOEs!L1166</f>
        <v>145.67398416378597</v>
      </c>
      <c r="G76">
        <f>Calculation_SOEs!M1166</f>
        <v>252.85590522869958</v>
      </c>
      <c r="H76">
        <f>Calculation_SOEs!N1166</f>
        <v>281.14158238556058</v>
      </c>
      <c r="I76">
        <f>Calculation_SOEs!O1166</f>
        <v>292.25180319513737</v>
      </c>
      <c r="J76">
        <f>Calculation_SOEs!T1166</f>
        <v>361.22520271275141</v>
      </c>
    </row>
    <row r="77" spans="2:10">
      <c r="B77" t="s">
        <v>186</v>
      </c>
      <c r="D77">
        <f>Calculation_SOEs!J1099</f>
        <v>456.93611833517997</v>
      </c>
      <c r="E77">
        <f>Calculation_SOEs!K1099</f>
        <v>470.64420188523536</v>
      </c>
      <c r="F77">
        <f>Calculation_SOEs!L1099</f>
        <v>484.76352794179246</v>
      </c>
      <c r="G77">
        <f>Calculation_SOEs!M1099</f>
        <v>499.30643378004623</v>
      </c>
      <c r="H77">
        <f>Calculation_SOEs!N1099</f>
        <v>514.28562679344759</v>
      </c>
      <c r="I77">
        <f>Calculation_SOEs!O1099</f>
        <v>653.90419559725115</v>
      </c>
      <c r="J77">
        <f>Calculation_SOEs!T1099</f>
        <v>986.65393374457244</v>
      </c>
    </row>
    <row r="78" spans="2:10">
      <c r="B78" t="s">
        <v>390</v>
      </c>
    </row>
    <row r="80" spans="2:10">
      <c r="B80" s="2" t="s">
        <v>139</v>
      </c>
    </row>
    <row r="81" spans="2:10">
      <c r="B81" t="s">
        <v>389</v>
      </c>
      <c r="D81">
        <f>Calculation_SOEs!J1167</f>
        <v>19.399373806273331</v>
      </c>
      <c r="E81">
        <f>Calculation_SOEs!K1167</f>
        <v>19.981355020461535</v>
      </c>
      <c r="F81">
        <f>Calculation_SOEs!L1167</f>
        <v>20.580795671075379</v>
      </c>
      <c r="G81">
        <f>Calculation_SOEs!M1167</f>
        <v>35.723439223613696</v>
      </c>
      <c r="H81">
        <f>Calculation_SOEs!N1167</f>
        <v>39.719634874642509</v>
      </c>
      <c r="I81">
        <f>Calculation_SOEs!O1167</f>
        <v>41.289284978296848</v>
      </c>
      <c r="J81">
        <f>Calculation_SOEs!T1167</f>
        <v>51.033835114410692</v>
      </c>
    </row>
    <row r="82" spans="2:10">
      <c r="B82" t="s">
        <v>186</v>
      </c>
      <c r="D82">
        <f>Calculation_SOEs!J1100</f>
        <v>91.849628986611151</v>
      </c>
      <c r="E82">
        <f>Calculation_SOEs!K1100</f>
        <v>94.605117856209517</v>
      </c>
      <c r="F82">
        <f>Calculation_SOEs!L1100</f>
        <v>97.44327139189582</v>
      </c>
      <c r="G82">
        <f>Calculation_SOEs!M1100</f>
        <v>100.36656953365267</v>
      </c>
      <c r="H82">
        <f>Calculation_SOEs!N1100</f>
        <v>103.37756661966225</v>
      </c>
      <c r="I82">
        <f>Calculation_SOEs!O1100</f>
        <v>179.79111184417582</v>
      </c>
      <c r="J82">
        <f>Calculation_SOEs!T1100</f>
        <v>343.37487550955859</v>
      </c>
    </row>
    <row r="83" spans="2:10">
      <c r="B83" t="s">
        <v>390</v>
      </c>
    </row>
    <row r="85" spans="2:10">
      <c r="B85" s="407" t="s">
        <v>389</v>
      </c>
      <c r="D85" s="31">
        <f>D81/D69-1</f>
        <v>3.5115979414569232E-2</v>
      </c>
      <c r="E85" s="31">
        <f t="shared" ref="E85:J86" si="7">E81/E69-1</f>
        <v>3.5115979414568788E-2</v>
      </c>
      <c r="F85" s="31">
        <f t="shared" si="7"/>
        <v>3.5115979414569232E-2</v>
      </c>
      <c r="G85" s="31">
        <f t="shared" si="7"/>
        <v>0.74438719761938699</v>
      </c>
      <c r="H85" s="31">
        <f t="shared" si="7"/>
        <v>0.88303178217449663</v>
      </c>
      <c r="I85" s="31">
        <f t="shared" si="7"/>
        <v>0.90043289899495038</v>
      </c>
      <c r="J85" s="31">
        <f t="shared" si="7"/>
        <v>1.0262230919956608</v>
      </c>
    </row>
    <row r="86" spans="2:10">
      <c r="D86" s="31">
        <f>D82/D70-1</f>
        <v>0.13206652268226549</v>
      </c>
      <c r="E86" s="31">
        <f t="shared" si="7"/>
        <v>0.13206652268226504</v>
      </c>
      <c r="F86" s="31">
        <f t="shared" si="7"/>
        <v>0.13206652268226593</v>
      </c>
      <c r="G86" s="31">
        <f t="shared" si="7"/>
        <v>0.13206652268226549</v>
      </c>
      <c r="H86" s="31">
        <f t="shared" si="7"/>
        <v>0.13206652268226482</v>
      </c>
      <c r="I86" s="31">
        <f t="shared" si="7"/>
        <v>0.91151027098693804</v>
      </c>
      <c r="J86" s="31">
        <f t="shared" si="7"/>
        <v>2.1491315953450547</v>
      </c>
    </row>
  </sheetData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030AA-A9D4-4C38-AB5A-965BF00C152F}">
  <sheetPr codeName="Sheet27"/>
  <dimension ref="A2:P181"/>
  <sheetViews>
    <sheetView showGridLines="0" zoomScale="90" workbookViewId="0">
      <pane xSplit="3" ySplit="2" topLeftCell="D11" activePane="bottomRight" state="frozen"/>
      <selection pane="topRight" activeCell="E12" sqref="E12"/>
      <selection pane="bottomLeft" activeCell="E12" sqref="E12"/>
      <selection pane="bottomRight" activeCell="E136" sqref="E136"/>
    </sheetView>
  </sheetViews>
  <sheetFormatPr defaultColWidth="0" defaultRowHeight="15"/>
  <cols>
    <col min="1" max="2" width="4.28515625" customWidth="1"/>
    <col min="3" max="3" width="43.42578125" bestFit="1" customWidth="1"/>
    <col min="4" max="4" width="11.5703125" bestFit="1" customWidth="1"/>
    <col min="5" max="5" width="8.7109375" customWidth="1"/>
    <col min="6" max="6" width="10.42578125" customWidth="1"/>
    <col min="7" max="7" width="8.7109375" customWidth="1"/>
    <col min="8" max="8" width="8.42578125" customWidth="1"/>
    <col min="9" max="15" width="8.7109375" customWidth="1"/>
    <col min="16" max="16" width="0" hidden="1" customWidth="1"/>
    <col min="17" max="16384" width="8.7109375" hidden="1"/>
  </cols>
  <sheetData>
    <row r="2" spans="1:15">
      <c r="D2" s="9">
        <v>2024</v>
      </c>
      <c r="E2" s="9">
        <f>D2+1</f>
        <v>2025</v>
      </c>
      <c r="F2" s="9">
        <f t="shared" ref="F2:N2" si="0">E2+1</f>
        <v>2026</v>
      </c>
      <c r="G2" s="9">
        <f t="shared" si="0"/>
        <v>2027</v>
      </c>
      <c r="H2" s="9">
        <f t="shared" si="0"/>
        <v>2028</v>
      </c>
      <c r="I2" s="9">
        <f t="shared" si="0"/>
        <v>2029</v>
      </c>
      <c r="J2" s="9">
        <f t="shared" si="0"/>
        <v>2030</v>
      </c>
      <c r="K2" s="9">
        <f t="shared" si="0"/>
        <v>2031</v>
      </c>
      <c r="L2" s="9">
        <f t="shared" si="0"/>
        <v>2032</v>
      </c>
      <c r="M2" s="9">
        <f t="shared" si="0"/>
        <v>2033</v>
      </c>
      <c r="N2" s="9">
        <f t="shared" si="0"/>
        <v>2034</v>
      </c>
    </row>
    <row r="3" spans="1:15" ht="23.25">
      <c r="B3" s="14" t="s">
        <v>940</v>
      </c>
      <c r="C3" s="237"/>
      <c r="D3" s="237"/>
      <c r="E3" s="237"/>
      <c r="F3" s="237"/>
      <c r="G3" s="237"/>
      <c r="H3" s="237"/>
      <c r="I3" s="237"/>
      <c r="J3" s="237"/>
      <c r="K3" s="237"/>
      <c r="L3" s="237"/>
      <c r="M3" s="237"/>
      <c r="N3" s="237"/>
    </row>
    <row r="4" spans="1:15">
      <c r="B4" s="411" t="s">
        <v>941</v>
      </c>
      <c r="C4" s="412"/>
      <c r="E4" s="99"/>
      <c r="F4" s="99"/>
      <c r="O4" s="314">
        <f>(N5+N6)/N10</f>
        <v>0.63692969355684037</v>
      </c>
    </row>
    <row r="5" spans="1:15">
      <c r="A5" s="2"/>
      <c r="B5" s="2"/>
      <c r="C5" s="294" t="s">
        <v>942</v>
      </c>
      <c r="D5" s="264">
        <f>D12</f>
        <v>3.6662252759999996</v>
      </c>
      <c r="E5" s="264">
        <f t="shared" ref="E5:N5" si="1">E12</f>
        <v>3.7762120342799994</v>
      </c>
      <c r="F5" s="264">
        <f t="shared" si="1"/>
        <v>3.8894983953083999</v>
      </c>
      <c r="G5" s="264">
        <f t="shared" si="1"/>
        <v>4.006183347167652</v>
      </c>
      <c r="H5" s="264">
        <f t="shared" si="1"/>
        <v>4.1263688475826825</v>
      </c>
      <c r="I5" s="264">
        <f t="shared" si="1"/>
        <v>4.2501599130101617</v>
      </c>
      <c r="J5" s="264">
        <f t="shared" si="1"/>
        <v>4.3776647104004676</v>
      </c>
      <c r="K5" s="264">
        <f t="shared" si="1"/>
        <v>4.5089946517124817</v>
      </c>
      <c r="L5" s="264">
        <f t="shared" si="1"/>
        <v>4.644264491263856</v>
      </c>
      <c r="M5" s="264">
        <f t="shared" si="1"/>
        <v>4.7835924260017713</v>
      </c>
      <c r="N5" s="264">
        <f t="shared" si="1"/>
        <v>4.9271001987818241</v>
      </c>
      <c r="O5" s="1">
        <f t="shared" ref="O5:O10" si="2">N5-E5</f>
        <v>1.1508881645018247</v>
      </c>
    </row>
    <row r="6" spans="1:15">
      <c r="C6" s="294" t="s">
        <v>680</v>
      </c>
      <c r="D6" s="264">
        <f>D22</f>
        <v>1.1000000000000001</v>
      </c>
      <c r="E6" s="264">
        <f>E22</f>
        <v>3.5829855679999998</v>
      </c>
      <c r="F6" s="264">
        <f t="shared" ref="F6:N6" si="3">F22</f>
        <v>3.6904751350399998</v>
      </c>
      <c r="G6" s="264">
        <f t="shared" si="3"/>
        <v>3.8011893890912001</v>
      </c>
      <c r="H6" s="264">
        <f t="shared" si="3"/>
        <v>3.9152250707639364</v>
      </c>
      <c r="I6" s="264">
        <f t="shared" si="3"/>
        <v>4.0326818228868548</v>
      </c>
      <c r="J6" s="264">
        <f t="shared" si="3"/>
        <v>4.15366227757346</v>
      </c>
      <c r="K6" s="264">
        <f t="shared" si="3"/>
        <v>4.2782721459006634</v>
      </c>
      <c r="L6" s="264">
        <f t="shared" si="3"/>
        <v>4.4066203102776837</v>
      </c>
      <c r="M6" s="264">
        <f t="shared" si="3"/>
        <v>4.5388189195860145</v>
      </c>
      <c r="N6" s="264">
        <f t="shared" si="3"/>
        <v>4.6749834871735949</v>
      </c>
      <c r="O6" s="1">
        <f t="shared" si="2"/>
        <v>1.0919979191735951</v>
      </c>
    </row>
    <row r="7" spans="1:15">
      <c r="C7" s="294" t="s">
        <v>683</v>
      </c>
      <c r="D7" s="264">
        <f>D30</f>
        <v>0</v>
      </c>
      <c r="E7" s="264">
        <f t="shared" ref="E7:N7" si="4">E30</f>
        <v>0</v>
      </c>
      <c r="F7" s="264">
        <f t="shared" si="4"/>
        <v>0</v>
      </c>
      <c r="G7" s="264">
        <f t="shared" si="4"/>
        <v>0</v>
      </c>
      <c r="H7" s="264">
        <f t="shared" si="4"/>
        <v>1.6</v>
      </c>
      <c r="I7" s="264">
        <f t="shared" si="4"/>
        <v>1.7600000000000002</v>
      </c>
      <c r="J7" s="264">
        <f t="shared" si="4"/>
        <v>1.9360000000000002</v>
      </c>
      <c r="K7" s="264">
        <f t="shared" si="4"/>
        <v>2.1296000000000004</v>
      </c>
      <c r="L7" s="264">
        <f t="shared" si="4"/>
        <v>2.2573760000000007</v>
      </c>
      <c r="M7" s="264">
        <f t="shared" si="4"/>
        <v>2.3928185600000011</v>
      </c>
      <c r="N7" s="264">
        <f t="shared" si="4"/>
        <v>2.5363876736000011</v>
      </c>
      <c r="O7" s="1">
        <f t="shared" si="2"/>
        <v>2.5363876736000011</v>
      </c>
    </row>
    <row r="8" spans="1:15">
      <c r="C8" s="294" t="s">
        <v>391</v>
      </c>
      <c r="D8" s="264"/>
      <c r="E8" s="264">
        <f>Calculation_FSL!K174/Million</f>
        <v>0</v>
      </c>
      <c r="F8" s="264">
        <f>Calculation_FSL!L174/Million</f>
        <v>1.3</v>
      </c>
      <c r="G8" s="264">
        <f>Calculation_FSL!M174/Million</f>
        <v>1.3</v>
      </c>
      <c r="H8" s="264">
        <f>Calculation_FSL!N174/Million</f>
        <v>1.3</v>
      </c>
      <c r="I8" s="264">
        <f>Calculation_FSL!O174/Million</f>
        <v>1.339</v>
      </c>
      <c r="J8" s="264">
        <f>Calculation_FSL!P174/Million</f>
        <v>1.339</v>
      </c>
      <c r="K8" s="264">
        <f>Calculation_FSL!Q174/Million</f>
        <v>1.339</v>
      </c>
      <c r="L8" s="264">
        <f>Calculation_FSL!R174/Million</f>
        <v>1.339</v>
      </c>
      <c r="M8" s="264">
        <f>Calculation_FSL!S174/Million</f>
        <v>1.37917</v>
      </c>
      <c r="N8" s="264">
        <f>Calculation_FSL!T174/Million</f>
        <v>1.37917</v>
      </c>
      <c r="O8" s="1">
        <f t="shared" si="2"/>
        <v>1.37917</v>
      </c>
    </row>
    <row r="9" spans="1:15">
      <c r="C9" s="294" t="s">
        <v>682</v>
      </c>
      <c r="D9" s="264">
        <f>D29</f>
        <v>0.75</v>
      </c>
      <c r="E9" s="264">
        <f t="shared" ref="E9:N9" si="5">E29</f>
        <v>0.77249999999999996</v>
      </c>
      <c r="F9" s="264">
        <f t="shared" si="5"/>
        <v>0.79567500000000002</v>
      </c>
      <c r="G9" s="264">
        <f t="shared" si="5"/>
        <v>1.01954525</v>
      </c>
      <c r="H9" s="264">
        <f t="shared" si="5"/>
        <v>1.0941316075</v>
      </c>
      <c r="I9" s="264">
        <f t="shared" si="5"/>
        <v>1.1694555557250002</v>
      </c>
      <c r="J9" s="264">
        <f t="shared" si="5"/>
        <v>1.2455392223967501</v>
      </c>
      <c r="K9" s="264">
        <f t="shared" si="5"/>
        <v>1.3224053990686526</v>
      </c>
      <c r="L9" s="264">
        <f t="shared" si="5"/>
        <v>1.4000775610407123</v>
      </c>
      <c r="M9" s="264">
        <f t="shared" si="5"/>
        <v>1.4785798878719336</v>
      </c>
      <c r="N9" s="264">
        <f t="shared" si="5"/>
        <v>1.5579372845080917</v>
      </c>
      <c r="O9" s="1">
        <f t="shared" si="2"/>
        <v>0.78543728450809169</v>
      </c>
    </row>
    <row r="10" spans="1:15">
      <c r="A10" s="2"/>
      <c r="B10" s="2"/>
      <c r="C10" s="2"/>
      <c r="D10" s="413">
        <f>SUM(D5:D9)</f>
        <v>5.5162252760000001</v>
      </c>
      <c r="E10" s="413">
        <f t="shared" ref="E10:M10" si="6">SUM(E5:E9)</f>
        <v>8.1316976022799992</v>
      </c>
      <c r="F10" s="413">
        <f t="shared" si="6"/>
        <v>9.6756485303483988</v>
      </c>
      <c r="G10" s="413">
        <f t="shared" si="6"/>
        <v>10.126917986258853</v>
      </c>
      <c r="H10" s="413">
        <f t="shared" si="6"/>
        <v>12.035725525846619</v>
      </c>
      <c r="I10" s="413">
        <f t="shared" si="6"/>
        <v>12.551297291622015</v>
      </c>
      <c r="J10" s="413">
        <f t="shared" si="6"/>
        <v>13.051866210370678</v>
      </c>
      <c r="K10" s="413">
        <f t="shared" si="6"/>
        <v>13.578272196681798</v>
      </c>
      <c r="L10" s="413">
        <f t="shared" si="6"/>
        <v>14.047338362582252</v>
      </c>
      <c r="M10" s="413">
        <f t="shared" si="6"/>
        <v>14.572979793459721</v>
      </c>
      <c r="N10" s="413">
        <f>SUM(N5:N9)</f>
        <v>15.075578644063512</v>
      </c>
      <c r="O10" s="1">
        <f t="shared" si="2"/>
        <v>6.9438810417835128</v>
      </c>
    </row>
    <row r="11" spans="1:15">
      <c r="B11" s="2" t="s">
        <v>943</v>
      </c>
      <c r="E11" s="99">
        <f>0.3</f>
        <v>0.3</v>
      </c>
      <c r="F11" s="99">
        <f>4.3/12</f>
        <v>0.35833333333333334</v>
      </c>
      <c r="N11" s="22">
        <f>SUM(N15,N18:N19,N30)</f>
        <v>2.5363876736000011</v>
      </c>
      <c r="O11" s="23">
        <f>N10/E10</f>
        <v>1.8539276029935692</v>
      </c>
    </row>
    <row r="12" spans="1:15" s="2" customFormat="1">
      <c r="C12" s="294" t="s">
        <v>942</v>
      </c>
      <c r="D12" s="308">
        <f>SUM(D13:D15)</f>
        <v>3.6662252759999996</v>
      </c>
      <c r="E12" s="308">
        <f t="shared" ref="E12:N12" si="7">SUM(E13:E15)</f>
        <v>3.7762120342799994</v>
      </c>
      <c r="F12" s="308">
        <f t="shared" si="7"/>
        <v>3.8894983953083999</v>
      </c>
      <c r="G12" s="308">
        <f t="shared" si="7"/>
        <v>4.006183347167652</v>
      </c>
      <c r="H12" s="308">
        <f t="shared" si="7"/>
        <v>4.1263688475826825</v>
      </c>
      <c r="I12" s="308">
        <f t="shared" si="7"/>
        <v>4.2501599130101617</v>
      </c>
      <c r="J12" s="308">
        <f t="shared" si="7"/>
        <v>4.3776647104004676</v>
      </c>
      <c r="K12" s="308">
        <f t="shared" si="7"/>
        <v>4.5089946517124817</v>
      </c>
      <c r="L12" s="308">
        <f t="shared" si="7"/>
        <v>4.644264491263856</v>
      </c>
      <c r="M12" s="308">
        <f t="shared" si="7"/>
        <v>4.7835924260017713</v>
      </c>
      <c r="N12" s="308">
        <f t="shared" si="7"/>
        <v>4.9271001987818241</v>
      </c>
      <c r="O12" s="312">
        <f>N12-D12</f>
        <v>1.2608749227818246</v>
      </c>
    </row>
    <row r="13" spans="1:15">
      <c r="C13" s="262" t="s">
        <v>628</v>
      </c>
      <c r="D13" s="264">
        <f>Calculation_FSL!J27/Million</f>
        <v>1.6025742089999997</v>
      </c>
      <c r="E13" s="263">
        <f>Calculation_FSL!K27/Million</f>
        <v>1.6506514352699997</v>
      </c>
      <c r="F13" s="263">
        <f>Calculation_FSL!L27/Million</f>
        <v>1.7001709783280996</v>
      </c>
      <c r="G13" s="263">
        <f>Calculation_FSL!M27/Million</f>
        <v>1.7511761076779429</v>
      </c>
      <c r="H13" s="263">
        <f>Calculation_FSL!N27/Million</f>
        <v>1.8037113909082814</v>
      </c>
      <c r="I13" s="263">
        <f>Calculation_FSL!O27/Million</f>
        <v>1.8578227326355297</v>
      </c>
      <c r="J13" s="263">
        <f>Calculation_FSL!P27/Million</f>
        <v>1.9135574146145957</v>
      </c>
      <c r="K13" s="263">
        <f>Calculation_FSL!Q27/Million</f>
        <v>1.9709641370530335</v>
      </c>
      <c r="L13" s="263">
        <f>Calculation_FSL!R27/Million</f>
        <v>2.0300930611646248</v>
      </c>
      <c r="M13" s="263">
        <f>Calculation_FSL!S27/Million</f>
        <v>2.0909958529995634</v>
      </c>
      <c r="N13" s="263">
        <f>Calculation_FSL!T27/Million</f>
        <v>2.1537257285895501</v>
      </c>
      <c r="O13" s="312">
        <f>N12+N20+N22+N29+N30+SUM(N32:N35)</f>
        <v>70.663230929566893</v>
      </c>
    </row>
    <row r="14" spans="1:15">
      <c r="C14" s="262" t="s">
        <v>641</v>
      </c>
      <c r="D14" s="264">
        <f>Calculation_FSL!J22/Million</f>
        <v>2.0636510669999999</v>
      </c>
      <c r="E14" s="263">
        <f>Calculation_FSL!K22/Million</f>
        <v>2.1255605990099999</v>
      </c>
      <c r="F14" s="263">
        <f>Calculation_FSL!L22/Million</f>
        <v>2.1893274169803001</v>
      </c>
      <c r="G14" s="263">
        <f>Calculation_FSL!M22/Million</f>
        <v>2.2550072394897089</v>
      </c>
      <c r="H14" s="263">
        <f>Calculation_FSL!N22/Million</f>
        <v>2.3226574566744009</v>
      </c>
      <c r="I14" s="263">
        <f>Calculation_FSL!O22/Million</f>
        <v>2.3923371803746325</v>
      </c>
      <c r="J14" s="263">
        <f>Calculation_FSL!P22/Million</f>
        <v>2.4641072957858716</v>
      </c>
      <c r="K14" s="263">
        <f>Calculation_FSL!Q22/Million</f>
        <v>2.538030514659448</v>
      </c>
      <c r="L14" s="263">
        <f>Calculation_FSL!R22/Million</f>
        <v>2.6141714300992311</v>
      </c>
      <c r="M14" s="263">
        <f>Calculation_FSL!S22/Million</f>
        <v>2.6925965730022083</v>
      </c>
      <c r="N14" s="263">
        <f>Calculation_FSL!T22/Million</f>
        <v>2.7733744701922745</v>
      </c>
      <c r="O14" s="313">
        <f>D12+D16+D20+D29</f>
        <v>7.75014650435</v>
      </c>
    </row>
    <row r="15" spans="1:15">
      <c r="C15" s="262" t="s">
        <v>819</v>
      </c>
      <c r="D15" s="264">
        <f>Calculation_FSL!J32/Million</f>
        <v>0</v>
      </c>
      <c r="E15" s="263">
        <f>Calculation_FSL!K32/Million</f>
        <v>0</v>
      </c>
      <c r="F15" s="263">
        <f>Calculation_FSL!L32/Million</f>
        <v>0</v>
      </c>
      <c r="G15" s="263">
        <f>Calculation_FSL!M32/Million</f>
        <v>0</v>
      </c>
      <c r="H15" s="263">
        <f>Calculation_FSL!N32/Million</f>
        <v>0</v>
      </c>
      <c r="I15" s="263">
        <f>Calculation_FSL!O32/Million</f>
        <v>0</v>
      </c>
      <c r="J15" s="263">
        <f>Calculation_FSL!P32/Million</f>
        <v>0</v>
      </c>
      <c r="K15" s="263">
        <f>Calculation_FSL!Q32/Million</f>
        <v>0</v>
      </c>
      <c r="L15" s="263">
        <f>Calculation_FSL!R32/Million</f>
        <v>0</v>
      </c>
      <c r="M15" s="263">
        <f>Calculation_FSL!S32/Million</f>
        <v>0</v>
      </c>
      <c r="N15" s="263">
        <f>Calculation_FSL!T32/Million</f>
        <v>0</v>
      </c>
      <c r="O15" s="1"/>
    </row>
    <row r="16" spans="1:15" s="2" customFormat="1">
      <c r="C16" s="295" t="s">
        <v>944</v>
      </c>
      <c r="D16" s="308">
        <f>SUM(D17:D19)</f>
        <v>1.1000000000000001</v>
      </c>
      <c r="E16" s="309">
        <f t="shared" ref="E16:N16" si="8">SUM(E17:E19)</f>
        <v>1.133</v>
      </c>
      <c r="F16" s="308">
        <f t="shared" si="8"/>
        <v>1.16699</v>
      </c>
      <c r="G16" s="308">
        <f t="shared" si="8"/>
        <v>1.2019997</v>
      </c>
      <c r="H16" s="308">
        <f t="shared" si="8"/>
        <v>1.2380596909999999</v>
      </c>
      <c r="I16" s="308">
        <f t="shared" si="8"/>
        <v>1.2752014817300001</v>
      </c>
      <c r="J16" s="308">
        <f t="shared" si="8"/>
        <v>1.3134575261819001</v>
      </c>
      <c r="K16" s="308">
        <f t="shared" si="8"/>
        <v>1.3528612519673571</v>
      </c>
      <c r="L16" s="308">
        <f t="shared" si="8"/>
        <v>1.3934470895263777</v>
      </c>
      <c r="M16" s="308">
        <f t="shared" si="8"/>
        <v>1.4352505022121693</v>
      </c>
      <c r="N16" s="308">
        <f t="shared" si="8"/>
        <v>1.4783080172785343</v>
      </c>
      <c r="O16" s="308">
        <f>N16-D16</f>
        <v>0.37830801727853425</v>
      </c>
    </row>
    <row r="17" spans="2:15">
      <c r="C17" s="262" t="s">
        <v>945</v>
      </c>
      <c r="D17" s="268">
        <f>Calculation_FSL!J256/Million</f>
        <v>1.1000000000000001</v>
      </c>
      <c r="E17" s="268">
        <f>Calculation_FSL!K256/Million</f>
        <v>1.133</v>
      </c>
      <c r="F17" s="268">
        <f>Calculation_FSL!L256/Million</f>
        <v>1.16699</v>
      </c>
      <c r="G17" s="268">
        <f>Calculation_FSL!M256/Million</f>
        <v>1.2019997</v>
      </c>
      <c r="H17" s="268">
        <f>Calculation_FSL!N256/Million</f>
        <v>1.2380596909999999</v>
      </c>
      <c r="I17" s="268">
        <f>Calculation_FSL!O256/Million</f>
        <v>1.2752014817300001</v>
      </c>
      <c r="J17" s="268">
        <f>Calculation_FSL!P256/Million</f>
        <v>1.3134575261819001</v>
      </c>
      <c r="K17" s="268">
        <f>Calculation_FSL!Q256/Million</f>
        <v>1.3528612519673571</v>
      </c>
      <c r="L17" s="268">
        <f>Calculation_FSL!R256/Million</f>
        <v>1.3934470895263777</v>
      </c>
      <c r="M17" s="268">
        <f>Calculation_FSL!S256/Million</f>
        <v>1.4352505022121693</v>
      </c>
      <c r="N17" s="268">
        <f>Calculation_FSL!T256/Million</f>
        <v>1.4783080172785343</v>
      </c>
    </row>
    <row r="18" spans="2:15">
      <c r="C18" s="262" t="s">
        <v>525</v>
      </c>
      <c r="D18" s="263">
        <f>Calculation_FSL!J257/Million</f>
        <v>0</v>
      </c>
      <c r="E18" s="263">
        <f>Calculation_FSL!K257/Million</f>
        <v>0</v>
      </c>
      <c r="F18" s="263">
        <f>Calculation_FSL!L257/Million</f>
        <v>0</v>
      </c>
      <c r="G18" s="263">
        <f>Calculation_FSL!M257/Million</f>
        <v>0</v>
      </c>
      <c r="H18" s="263">
        <f>Calculation_FSL!N257/Million</f>
        <v>0</v>
      </c>
      <c r="I18" s="263">
        <f>Calculation_FSL!O257/Million</f>
        <v>0</v>
      </c>
      <c r="J18" s="263">
        <f>Calculation_FSL!P257/Million</f>
        <v>0</v>
      </c>
      <c r="K18" s="263">
        <f>Calculation_FSL!Q257/Million</f>
        <v>0</v>
      </c>
      <c r="L18" s="263">
        <f>Calculation_FSL!R257/Million</f>
        <v>0</v>
      </c>
      <c r="M18" s="263">
        <f>Calculation_FSL!S257/Million</f>
        <v>0</v>
      </c>
      <c r="N18" s="263">
        <f>Calculation_FSL!T257/Million</f>
        <v>0</v>
      </c>
      <c r="O18" s="22">
        <f>N15+N18</f>
        <v>0</v>
      </c>
    </row>
    <row r="19" spans="2:15">
      <c r="C19" s="262" t="s">
        <v>819</v>
      </c>
      <c r="D19" s="263">
        <f>Calculation_FSL!J258/Million</f>
        <v>0</v>
      </c>
      <c r="E19" s="263">
        <f>Calculation_FSL!K258/Million</f>
        <v>0</v>
      </c>
      <c r="F19" s="263">
        <f>Calculation_FSL!L258/Million</f>
        <v>0</v>
      </c>
      <c r="G19" s="263">
        <f>Calculation_FSL!M258/Million</f>
        <v>0</v>
      </c>
      <c r="H19" s="263">
        <f>Calculation_FSL!N258/Million</f>
        <v>0</v>
      </c>
      <c r="I19" s="263">
        <f>Calculation_FSL!O258/Million</f>
        <v>0</v>
      </c>
      <c r="J19" s="263">
        <f>Calculation_FSL!P258/Million</f>
        <v>0</v>
      </c>
      <c r="K19" s="263">
        <f>Calculation_FSL!Q258/Million</f>
        <v>0</v>
      </c>
      <c r="L19" s="263">
        <f>Calculation_FSL!R258/Million</f>
        <v>0</v>
      </c>
      <c r="M19" s="263">
        <f>Calculation_FSL!S258/Million</f>
        <v>0</v>
      </c>
      <c r="N19" s="263">
        <f>Calculation_FSL!T258/Million</f>
        <v>0</v>
      </c>
      <c r="O19" s="21">
        <f>O18/12.1</f>
        <v>0</v>
      </c>
    </row>
    <row r="20" spans="2:15" s="2" customFormat="1">
      <c r="C20" s="294" t="s">
        <v>298</v>
      </c>
      <c r="D20" s="310">
        <f>Calculation_FSL!J760/Million</f>
        <v>2.2339212283499998</v>
      </c>
      <c r="E20" s="310">
        <f>Calculation_FSL!K760/Million</f>
        <v>2.3456172897675005</v>
      </c>
      <c r="F20" s="310">
        <f>Calculation_FSL!L760/Million</f>
        <v>2.4628981542558752</v>
      </c>
      <c r="G20" s="310">
        <f>Calculation_FSL!M760/Million</f>
        <v>2.5860430619686698</v>
      </c>
      <c r="H20" s="310">
        <f>Calculation_FSL!N760/Million</f>
        <v>2.7153452150671029</v>
      </c>
      <c r="I20" s="310">
        <f>Calculation_FSL!O760/Million</f>
        <v>2.8511124758204587</v>
      </c>
      <c r="J20" s="310">
        <f>Calculation_FSL!P760/Million</f>
        <v>2.9936680996114817</v>
      </c>
      <c r="K20" s="310">
        <f>Calculation_FSL!Q760/Million</f>
        <v>3.1433515045920553</v>
      </c>
      <c r="L20" s="310">
        <f>Calculation_FSL!R760/Million</f>
        <v>3.3005190798216582</v>
      </c>
      <c r="M20" s="310">
        <f>Calculation_FSL!S760/Million</f>
        <v>3.4655450338127411</v>
      </c>
      <c r="N20" s="310">
        <f>Calculation_FSL!T760/Million</f>
        <v>3.6388222855033785</v>
      </c>
      <c r="O20" s="308"/>
    </row>
    <row r="21" spans="2:15">
      <c r="C21" s="300" t="s">
        <v>389</v>
      </c>
      <c r="D21" s="1">
        <f>SUM(D17,D25)</f>
        <v>1.1000000000000001</v>
      </c>
      <c r="E21" s="1">
        <f t="shared" ref="E21:N21" si="9">SUM(E17,E25)</f>
        <v>3.5829855679999998</v>
      </c>
      <c r="F21" s="1">
        <f t="shared" si="9"/>
        <v>3.6904751350399998</v>
      </c>
      <c r="G21" s="1">
        <f t="shared" si="9"/>
        <v>3.8011893890912001</v>
      </c>
      <c r="H21" s="1">
        <f>SUM(H17,H25)</f>
        <v>3.9152250707639364</v>
      </c>
      <c r="I21" s="1">
        <f t="shared" si="9"/>
        <v>4.0326818228868548</v>
      </c>
      <c r="J21" s="1">
        <f t="shared" si="9"/>
        <v>4.15366227757346</v>
      </c>
      <c r="K21" s="1">
        <f t="shared" si="9"/>
        <v>4.2782721459006634</v>
      </c>
      <c r="L21" s="1">
        <f t="shared" si="9"/>
        <v>4.4066203102776837</v>
      </c>
      <c r="M21" s="1">
        <f t="shared" si="9"/>
        <v>4.5388189195860145</v>
      </c>
      <c r="N21" s="1">
        <f t="shared" si="9"/>
        <v>4.6749834871735949</v>
      </c>
    </row>
    <row r="22" spans="2:15">
      <c r="B22" s="2" t="s">
        <v>425</v>
      </c>
      <c r="D22" s="1">
        <f>SUM(D16,D25)</f>
        <v>1.1000000000000001</v>
      </c>
      <c r="E22" s="1">
        <f>SUM(E16,E25)</f>
        <v>3.5829855679999998</v>
      </c>
      <c r="F22" s="1">
        <f t="shared" ref="F22:N22" si="10">SUM(F16,F25)</f>
        <v>3.6904751350399998</v>
      </c>
      <c r="G22" s="1">
        <f t="shared" si="10"/>
        <v>3.8011893890912001</v>
      </c>
      <c r="H22" s="1">
        <f t="shared" si="10"/>
        <v>3.9152250707639364</v>
      </c>
      <c r="I22" s="1">
        <f t="shared" si="10"/>
        <v>4.0326818228868548</v>
      </c>
      <c r="J22" s="1">
        <f t="shared" si="10"/>
        <v>4.15366227757346</v>
      </c>
      <c r="K22" s="1">
        <f t="shared" si="10"/>
        <v>4.2782721459006634</v>
      </c>
      <c r="L22" s="1">
        <f t="shared" si="10"/>
        <v>4.4066203102776837</v>
      </c>
      <c r="M22" s="1">
        <f t="shared" si="10"/>
        <v>4.5388189195860145</v>
      </c>
      <c r="N22" s="1">
        <f t="shared" si="10"/>
        <v>4.6749834871735949</v>
      </c>
      <c r="O22" s="1">
        <f>N22-D22</f>
        <v>3.5749834871735948</v>
      </c>
    </row>
    <row r="23" spans="2:15">
      <c r="C23" s="246" t="s">
        <v>669</v>
      </c>
      <c r="D23" s="263">
        <f>Calculation_FSL!J174/Million*0</f>
        <v>0</v>
      </c>
      <c r="E23" s="263">
        <f>Calculation_FSL!K174/Million*0</f>
        <v>0</v>
      </c>
      <c r="F23" s="263">
        <f>Calculation_FSL!L174/Million*0</f>
        <v>0</v>
      </c>
      <c r="G23" s="263">
        <f>Calculation_FSL!M174/Million*0</f>
        <v>0</v>
      </c>
      <c r="H23" s="263">
        <f>Calculation_FSL!N174/Million*0</f>
        <v>0</v>
      </c>
      <c r="I23" s="263">
        <f>Calculation_FSL!O174/Million*0</f>
        <v>0</v>
      </c>
      <c r="J23" s="263">
        <f>Calculation_FSL!P174/Million*0</f>
        <v>0</v>
      </c>
      <c r="K23" s="263">
        <f>Calculation_FSL!Q174/Million*0</f>
        <v>0</v>
      </c>
      <c r="L23" s="263">
        <f>Calculation_FSL!R174/Million*0</f>
        <v>0</v>
      </c>
      <c r="M23" s="263">
        <f>Calculation_FSL!S174/Million*0</f>
        <v>0</v>
      </c>
      <c r="N23" s="263">
        <f>Calculation_FSL!T174/Million*0</f>
        <v>0</v>
      </c>
    </row>
    <row r="24" spans="2:15">
      <c r="C24" s="246" t="s">
        <v>946</v>
      </c>
      <c r="D24" s="263">
        <f>Calculation_FSL!J182/Million*0</f>
        <v>0</v>
      </c>
      <c r="E24" s="263">
        <f>Calculation_FSL!K182/Million*0</f>
        <v>0</v>
      </c>
      <c r="F24" s="263">
        <f>Calculation_FSL!L182/Million*0</f>
        <v>0</v>
      </c>
      <c r="G24" s="263">
        <f>Calculation_FSL!M182/Million*0</f>
        <v>0</v>
      </c>
      <c r="H24" s="263">
        <f>Calculation_FSL!N182/Million*0</f>
        <v>0</v>
      </c>
      <c r="I24" s="263">
        <f>Calculation_FSL!O182/Million*0</f>
        <v>0</v>
      </c>
      <c r="J24" s="263">
        <f>Calculation_FSL!P182/Million*0</f>
        <v>0</v>
      </c>
      <c r="K24" s="263">
        <f>Calculation_FSL!Q182/Million*0</f>
        <v>0</v>
      </c>
      <c r="L24" s="263">
        <f>Calculation_FSL!R182/Million*0</f>
        <v>0</v>
      </c>
      <c r="M24" s="263">
        <f>Calculation_FSL!S182/Million*0</f>
        <v>0</v>
      </c>
      <c r="N24" s="263">
        <f>Calculation_FSL!T182/Million*0</f>
        <v>0</v>
      </c>
    </row>
    <row r="25" spans="2:15">
      <c r="C25" s="54" t="s">
        <v>294</v>
      </c>
      <c r="D25" s="263">
        <f>Calculation_FSL!J361/Million</f>
        <v>0</v>
      </c>
      <c r="E25" s="263">
        <f>Calculation_FSL!K361/Million</f>
        <v>2.4499855679999998</v>
      </c>
      <c r="F25" s="263">
        <f>Calculation_FSL!L361/Million</f>
        <v>2.52348513504</v>
      </c>
      <c r="G25" s="263">
        <f>Calculation_FSL!M361/Million</f>
        <v>2.5991896890912001</v>
      </c>
      <c r="H25" s="263">
        <f>Calculation_FSL!N361/Million</f>
        <v>2.6771653797639363</v>
      </c>
      <c r="I25" s="263">
        <f>Calculation_FSL!O361/Million</f>
        <v>2.7574803411568545</v>
      </c>
      <c r="J25" s="263">
        <f>Calculation_FSL!P361/Million</f>
        <v>2.84020475139156</v>
      </c>
      <c r="K25" s="263">
        <f>Calculation_FSL!Q361/Million</f>
        <v>2.9254108939333068</v>
      </c>
      <c r="L25" s="263">
        <f>Calculation_FSL!R361/Million</f>
        <v>3.0131732207513062</v>
      </c>
      <c r="M25" s="263">
        <f>Calculation_FSL!S361/Million</f>
        <v>3.1035684173738454</v>
      </c>
      <c r="N25" s="263">
        <f>Calculation_FSL!T361/Million</f>
        <v>3.196675469895061</v>
      </c>
    </row>
    <row r="26" spans="2:15">
      <c r="C26" s="54" t="s">
        <v>295</v>
      </c>
      <c r="D26" s="263">
        <f>Calculation_FSL!J404/Million</f>
        <v>0</v>
      </c>
      <c r="E26" s="263">
        <f>Calculation_FSL!K404/Million</f>
        <v>2.1</v>
      </c>
      <c r="F26" s="263">
        <f>Calculation_FSL!L404/Million</f>
        <v>2.1629999999999998</v>
      </c>
      <c r="G26" s="263">
        <f>Calculation_FSL!M404/Million</f>
        <v>2.2278899999999999</v>
      </c>
      <c r="H26" s="263">
        <f>Calculation_FSL!N404/Million</f>
        <v>2.2947267</v>
      </c>
      <c r="I26" s="263">
        <f>Calculation_FSL!O404/Million</f>
        <v>2.363568501</v>
      </c>
      <c r="J26" s="263">
        <f>Calculation_FSL!P404/Million</f>
        <v>2.4344755560300002</v>
      </c>
      <c r="K26" s="263">
        <f>Calculation_FSL!Q404/Million</f>
        <v>2.5075098227109001</v>
      </c>
      <c r="L26" s="263">
        <f>Calculation_FSL!R404/Million</f>
        <v>2.5827351173922275</v>
      </c>
      <c r="M26" s="263">
        <f>Calculation_FSL!S404/Million</f>
        <v>2.6602171709139943</v>
      </c>
      <c r="N26" s="263">
        <f>Calculation_FSL!T404/Million</f>
        <v>2.7400236860414142</v>
      </c>
    </row>
    <row r="27" spans="2:15">
      <c r="C27" s="54" t="s">
        <v>541</v>
      </c>
      <c r="D27" s="263">
        <f>Calculation_FSL!J445/Million*0</f>
        <v>0</v>
      </c>
      <c r="E27" s="263">
        <f>Calculation_FSL!K445/Million*0</f>
        <v>0</v>
      </c>
      <c r="F27" s="263">
        <f>Calculation_FSL!L445/Million*0</f>
        <v>0</v>
      </c>
      <c r="G27" s="263">
        <f>Calculation_FSL!M445/Million*0</f>
        <v>0</v>
      </c>
      <c r="H27" s="263">
        <f>Calculation_FSL!N445/Million*0</f>
        <v>0</v>
      </c>
      <c r="I27" s="263">
        <f>Calculation_FSL!O445/Million*0</f>
        <v>0</v>
      </c>
      <c r="J27" s="263">
        <f>Calculation_FSL!P445/Million*0</f>
        <v>0</v>
      </c>
      <c r="K27" s="263">
        <f>Calculation_FSL!Q445/Million*0</f>
        <v>0</v>
      </c>
      <c r="L27" s="263">
        <f>Calculation_FSL!R445/Million*0</f>
        <v>0</v>
      </c>
      <c r="M27" s="263">
        <f>Calculation_FSL!S445/Million*0</f>
        <v>0</v>
      </c>
      <c r="N27" s="263">
        <f>Calculation_FSL!T445/Million*0</f>
        <v>0</v>
      </c>
    </row>
    <row r="28" spans="2:15">
      <c r="C28" s="54" t="s">
        <v>412</v>
      </c>
      <c r="D28" s="263"/>
      <c r="E28" s="263"/>
      <c r="F28" s="263"/>
      <c r="G28" s="263"/>
      <c r="H28" s="263"/>
      <c r="I28" s="263"/>
      <c r="J28" s="263"/>
      <c r="K28" s="263"/>
      <c r="L28" s="263"/>
      <c r="M28" s="263"/>
      <c r="N28" s="263"/>
    </row>
    <row r="29" spans="2:15">
      <c r="C29" s="54" t="s">
        <v>296</v>
      </c>
      <c r="D29" s="263">
        <f>SUM(Calculation_FSL!J586:'Calculation_FSL'!J587)/Million</f>
        <v>0.75</v>
      </c>
      <c r="E29" s="263">
        <f>SUM(Calculation_FSL!K586:'Calculation_FSL'!K587)/Million</f>
        <v>0.77249999999999996</v>
      </c>
      <c r="F29" s="263">
        <f>SUM(Calculation_FSL!L586:'Calculation_FSL'!L587)/Million</f>
        <v>0.79567500000000002</v>
      </c>
      <c r="G29" s="263">
        <f>SUM(Calculation_FSL!M586:'Calculation_FSL'!M587)/Million</f>
        <v>1.01954525</v>
      </c>
      <c r="H29" s="263">
        <f>SUM(Calculation_FSL!N586:'Calculation_FSL'!N587)/Million</f>
        <v>1.0941316075</v>
      </c>
      <c r="I29" s="263">
        <f>SUM(Calculation_FSL!O586:'Calculation_FSL'!O587)/Million</f>
        <v>1.1694555557250002</v>
      </c>
      <c r="J29" s="263">
        <f>SUM(Calculation_FSL!P586:'Calculation_FSL'!P587)/Million</f>
        <v>1.2455392223967501</v>
      </c>
      <c r="K29" s="263">
        <f>SUM(Calculation_FSL!Q586:'Calculation_FSL'!Q587)/Million</f>
        <v>1.3224053990686526</v>
      </c>
      <c r="L29" s="263">
        <f>SUM(Calculation_FSL!R586:'Calculation_FSL'!R587)/Million</f>
        <v>1.4000775610407123</v>
      </c>
      <c r="M29" s="263">
        <f>SUM(Calculation_FSL!S586:'Calculation_FSL'!S587)/Million</f>
        <v>1.4785798878719336</v>
      </c>
      <c r="N29" s="263">
        <f>SUM(Calculation_FSL!T586:'Calculation_FSL'!T587)/Million</f>
        <v>1.5579372845080917</v>
      </c>
    </row>
    <row r="30" spans="2:15">
      <c r="C30" s="54" t="s">
        <v>297</v>
      </c>
      <c r="D30" s="263">
        <f>Calculation_FSL!J514/Million</f>
        <v>0</v>
      </c>
      <c r="E30" s="263">
        <f>Calculation_FSL!K514/Million</f>
        <v>0</v>
      </c>
      <c r="F30" s="263">
        <f>Calculation_FSL!L514/Million</f>
        <v>0</v>
      </c>
      <c r="G30" s="263">
        <f>Calculation_FSL!M514/Million</f>
        <v>0</v>
      </c>
      <c r="H30" s="263">
        <f>Calculation_FSL!N514/Million</f>
        <v>1.6</v>
      </c>
      <c r="I30" s="263">
        <f>Calculation_FSL!O514/Million</f>
        <v>1.7600000000000002</v>
      </c>
      <c r="J30" s="263">
        <f>Calculation_FSL!P514/Million</f>
        <v>1.9360000000000002</v>
      </c>
      <c r="K30" s="263">
        <f>Calculation_FSL!Q514/Million</f>
        <v>2.1296000000000004</v>
      </c>
      <c r="L30" s="263">
        <f>Calculation_FSL!R514/Million</f>
        <v>2.2573760000000007</v>
      </c>
      <c r="M30" s="263">
        <f>Calculation_FSL!S514/Million</f>
        <v>2.3928185600000011</v>
      </c>
      <c r="N30" s="263">
        <f>Calculation_FSL!T514/Million</f>
        <v>2.5363876736000011</v>
      </c>
    </row>
    <row r="31" spans="2:15">
      <c r="C31" s="54" t="s">
        <v>299</v>
      </c>
    </row>
    <row r="32" spans="2:15">
      <c r="C32" s="262" t="s">
        <v>947</v>
      </c>
      <c r="D32" s="54">
        <f>Calculation_FSL!J1095/10^4</f>
        <v>0</v>
      </c>
      <c r="E32" s="54">
        <f>Calculation_FSL!K1095/10^4</f>
        <v>0</v>
      </c>
      <c r="F32" s="54">
        <f>Calculation_FSL!L1095/10^4</f>
        <v>0</v>
      </c>
      <c r="G32" s="54">
        <f>Calculation_FSL!M1095/10^4</f>
        <v>0</v>
      </c>
      <c r="H32" s="54">
        <f>Calculation_FSL!N1095/10^4</f>
        <v>25.5</v>
      </c>
      <c r="I32" s="54">
        <f>Calculation_FSL!O1095/10^4</f>
        <v>35.5</v>
      </c>
      <c r="J32" s="54">
        <f>Calculation_FSL!P1095/10^4</f>
        <v>50</v>
      </c>
      <c r="K32" s="54">
        <f>Calculation_FSL!Q1095/10^4</f>
        <v>50</v>
      </c>
      <c r="L32" s="54">
        <f>Calculation_FSL!R1095/10^4</f>
        <v>50</v>
      </c>
      <c r="M32" s="54">
        <f>Calculation_FSL!S1095/10^4</f>
        <v>50</v>
      </c>
      <c r="N32" s="54">
        <f>Calculation_FSL!T1095/10^4</f>
        <v>50</v>
      </c>
    </row>
    <row r="33" spans="2:15">
      <c r="C33" s="262" t="s">
        <v>817</v>
      </c>
      <c r="D33" s="263">
        <f>Calculation_FSL!J1102/Million</f>
        <v>0</v>
      </c>
      <c r="E33" s="263">
        <f>Calculation_FSL!K1102/Million</f>
        <v>0</v>
      </c>
      <c r="F33" s="263">
        <f>Calculation_FSL!L1102/Million</f>
        <v>0</v>
      </c>
      <c r="G33" s="263">
        <f>Calculation_FSL!M1102/Million</f>
        <v>0.13333333333333333</v>
      </c>
      <c r="H33" s="263">
        <f>Calculation_FSL!N1102/Million</f>
        <v>0.13333333333333333</v>
      </c>
      <c r="I33" s="263">
        <f>Calculation_FSL!O1102/Million</f>
        <v>0.13333333333333333</v>
      </c>
      <c r="J33" s="263">
        <f>Calculation_FSL!P1102/Million</f>
        <v>0.24</v>
      </c>
      <c r="K33" s="263">
        <f>Calculation_FSL!Q1102/Million</f>
        <v>0.24</v>
      </c>
      <c r="L33" s="263">
        <f>Calculation_FSL!R1102/Million</f>
        <v>0.24</v>
      </c>
      <c r="M33" s="263">
        <f>Calculation_FSL!S1102/Million</f>
        <v>0.24</v>
      </c>
      <c r="N33" s="263">
        <f>Calculation_FSL!T1102/Million</f>
        <v>0.24</v>
      </c>
    </row>
    <row r="34" spans="2:15">
      <c r="C34" s="262" t="s">
        <v>818</v>
      </c>
      <c r="D34" s="263">
        <f>Calculation_FSL!J1109/Million</f>
        <v>0</v>
      </c>
      <c r="E34" s="263">
        <f>Calculation_FSL!K1109/Million</f>
        <v>0</v>
      </c>
      <c r="F34" s="263">
        <f>Calculation_FSL!L1109/Million</f>
        <v>0</v>
      </c>
      <c r="G34" s="263">
        <f>Calculation_FSL!M1109/Million</f>
        <v>8.3333333333333329E-2</v>
      </c>
      <c r="H34" s="263">
        <f>Calculation_FSL!N1109/Million</f>
        <v>0.13333333333333333</v>
      </c>
      <c r="I34" s="263">
        <f>Calculation_FSL!O1109/Million</f>
        <v>9.0872992737072569E-2</v>
      </c>
      <c r="J34" s="263">
        <f>Calculation_FSL!P1109/Million</f>
        <v>0.20799999999999999</v>
      </c>
      <c r="K34" s="263">
        <f>Calculation_FSL!Q1109/Million</f>
        <v>0.20799999999999999</v>
      </c>
      <c r="L34" s="263">
        <f>Calculation_FSL!R1109/Million</f>
        <v>0.20799999999999999</v>
      </c>
      <c r="M34" s="263">
        <f>Calculation_FSL!S1109/Million</f>
        <v>0.20799999999999999</v>
      </c>
      <c r="N34" s="263">
        <f>Calculation_FSL!T1109/Million</f>
        <v>0.20799999999999999</v>
      </c>
    </row>
    <row r="35" spans="2:15">
      <c r="C35" s="262" t="s">
        <v>948</v>
      </c>
      <c r="D35" s="263">
        <f>Calculation_FSL!J1114/Million</f>
        <v>0</v>
      </c>
      <c r="E35" s="263">
        <f>Calculation_FSL!K1114/Million</f>
        <v>0</v>
      </c>
      <c r="F35" s="263">
        <f>Calculation_FSL!L1114/Million</f>
        <v>0</v>
      </c>
      <c r="G35" s="263">
        <f>Calculation_FSL!M1114/Million</f>
        <v>1.6</v>
      </c>
      <c r="H35" s="263">
        <f>Calculation_FSL!N1114/Million</f>
        <v>1.6</v>
      </c>
      <c r="I35" s="263">
        <f>Calculation_FSL!O1114/Million</f>
        <v>1.6</v>
      </c>
      <c r="J35" s="263">
        <f>Calculation_FSL!P1114/Million</f>
        <v>2.88</v>
      </c>
      <c r="K35" s="263">
        <f>Calculation_FSL!Q1114/Million</f>
        <v>2.88</v>
      </c>
      <c r="L35" s="263">
        <f>Calculation_FSL!R1114/Million</f>
        <v>2.88</v>
      </c>
      <c r="M35" s="263">
        <f>Calculation_FSL!S1114/Million</f>
        <v>2.88</v>
      </c>
      <c r="N35" s="263">
        <f>Calculation_FSL!T1114/Million</f>
        <v>2.88</v>
      </c>
    </row>
    <row r="37" spans="2:15" ht="24" thickBot="1">
      <c r="B37" s="14" t="s">
        <v>949</v>
      </c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37"/>
    </row>
    <row r="38" spans="2:15">
      <c r="B38" s="2" t="s">
        <v>943</v>
      </c>
      <c r="F38" t="s">
        <v>525</v>
      </c>
    </row>
    <row r="39" spans="2:15">
      <c r="C39" t="s">
        <v>694</v>
      </c>
      <c r="D39" s="480">
        <f>'Output_Standalone USD'!J20</f>
        <v>9.6181066224752527</v>
      </c>
      <c r="E39" s="1">
        <f>'Output_Standalone USD'!K20</f>
        <v>9.9066498211495109</v>
      </c>
      <c r="F39" s="1">
        <f>'Output_Standalone USD'!L20</f>
        <v>10.203849315783996</v>
      </c>
      <c r="G39" s="1">
        <f>'Output_Standalone USD'!M20</f>
        <v>10.509964795257517</v>
      </c>
      <c r="H39" s="1">
        <f>'Output_Standalone USD'!N20</f>
        <v>10.825263739115243</v>
      </c>
      <c r="I39" s="1">
        <f>'Output_Standalone USD'!O20</f>
        <v>11.484522300827361</v>
      </c>
      <c r="J39" s="1">
        <f>'Output_Standalone USD'!P20</f>
        <v>11.829057969852185</v>
      </c>
      <c r="K39" s="1">
        <f>'Output_Standalone USD'!Q20</f>
        <v>12.183929708947749</v>
      </c>
      <c r="L39" s="1">
        <f>'Output_Standalone USD'!R20</f>
        <v>12.925931028222665</v>
      </c>
      <c r="M39" s="1">
        <f>'Output_Standalone USD'!S20</f>
        <v>13.313708959069347</v>
      </c>
      <c r="N39" s="1">
        <f>'Output_Standalone USD'!T20</f>
        <v>13.713120227841426</v>
      </c>
      <c r="O39" s="1"/>
    </row>
    <row r="40" spans="2:15">
      <c r="C40" t="s">
        <v>293</v>
      </c>
      <c r="D40" s="480">
        <f>'Output_Standalone USD'!J91</f>
        <v>2.3767574546572394</v>
      </c>
      <c r="E40" s="1">
        <f>'Output_Standalone USD'!K91</f>
        <v>2.8521089455886877</v>
      </c>
      <c r="F40" s="1">
        <f>'Output_Standalone USD'!L91</f>
        <v>2.9376722139563478</v>
      </c>
      <c r="G40" s="1">
        <f>'Output_Standalone USD'!M91</f>
        <v>3.6309628564500467</v>
      </c>
      <c r="H40" s="1">
        <f>'Output_Standalone USD'!N91</f>
        <v>3.739891742143548</v>
      </c>
      <c r="I40" s="1">
        <f>'Output_Standalone USD'!O91</f>
        <v>4.2372973438486401</v>
      </c>
      <c r="J40" s="1">
        <f>'Output_Standalone USD'!P91</f>
        <v>4.3644162641640989</v>
      </c>
      <c r="K40" s="1">
        <f>'Output_Standalone USD'!Q91</f>
        <v>4.7650696772143633</v>
      </c>
      <c r="L40" s="1">
        <f>'Output_Standalone USD'!R91</f>
        <v>4.9080217675307951</v>
      </c>
      <c r="M40" s="1">
        <f>'Output_Standalone USD'!S91</f>
        <v>5.3585781657901235</v>
      </c>
      <c r="N40" s="1">
        <f>'Output_Standalone USD'!T91</f>
        <v>5.5193355107638258</v>
      </c>
    </row>
    <row r="41" spans="2:15">
      <c r="C41" t="s">
        <v>296</v>
      </c>
      <c r="D41" s="480">
        <f>'Output_Standalone USD'!J299</f>
        <v>1.3675683984014757</v>
      </c>
      <c r="E41" s="1">
        <f>'Output_Standalone USD'!K299</f>
        <v>1.4085954503535199</v>
      </c>
      <c r="F41" s="1">
        <f>'Output_Standalone USD'!L299</f>
        <v>2.1498879226867507</v>
      </c>
      <c r="G41" s="1">
        <f>'Output_Standalone USD'!M299</f>
        <v>2.754778043306179</v>
      </c>
      <c r="H41" s="1">
        <f>'Output_Standalone USD'!N299</f>
        <v>3.0449971893774634</v>
      </c>
      <c r="I41" s="1">
        <f>'Output_Standalone USD'!O299</f>
        <v>3.3522645004961333</v>
      </c>
      <c r="J41" s="1">
        <f>'Output_Standalone USD'!P299</f>
        <v>3.6774704312097626</v>
      </c>
      <c r="K41" s="1">
        <f>'Output_Standalone USD'!Q299</f>
        <v>4.0215513615884992</v>
      </c>
      <c r="L41" s="1">
        <f>'Output_Standalone USD'!R299</f>
        <v>4.3854920289006545</v>
      </c>
      <c r="M41" s="1">
        <f>'Output_Standalone USD'!S299</f>
        <v>4.7703280929388692</v>
      </c>
      <c r="N41" s="1">
        <f>'Output_Standalone USD'!T299</f>
        <v>5.1771488425985135</v>
      </c>
    </row>
    <row r="42" spans="2:15">
      <c r="C42" t="s">
        <v>298</v>
      </c>
      <c r="D42" s="480">
        <f>'Output_Standalone USD'!J437</f>
        <v>5.407234697863748</v>
      </c>
      <c r="E42" s="1">
        <f>'Output_Standalone USD'!K437</f>
        <v>4.0183609611514051</v>
      </c>
      <c r="F42" s="1">
        <f>'Output_Standalone USD'!L437</f>
        <v>3.8112344805124554</v>
      </c>
      <c r="G42" s="1">
        <f>'Output_Standalone USD'!M437</f>
        <v>4.1105260029610031</v>
      </c>
      <c r="H42" s="1">
        <f>'Output_Standalone USD'!N437</f>
        <v>4.4334035094439255</v>
      </c>
      <c r="I42" s="1">
        <f>'Output_Standalone USD'!O437</f>
        <v>4.7817318508768096</v>
      </c>
      <c r="J42" s="1">
        <f>'Output_Standalone USD'!P437</f>
        <v>5.1575237761618924</v>
      </c>
      <c r="K42" s="1">
        <f>'Output_Standalone USD'!Q437</f>
        <v>5.562951694853739</v>
      </c>
      <c r="L42" s="1">
        <f>'Output_Standalone USD'!R437</f>
        <v>6.0003603777615204</v>
      </c>
      <c r="M42" s="1">
        <f>'Output_Standalone USD'!S437</f>
        <v>6.4722806704544213</v>
      </c>
      <c r="N42" s="1">
        <f>'Output_Standalone USD'!T437</f>
        <v>5.7293477992384183</v>
      </c>
    </row>
    <row r="43" spans="2:15">
      <c r="C43" s="28" t="s">
        <v>53</v>
      </c>
      <c r="D43" s="84">
        <f t="shared" ref="D43:M43" si="11">SUM(D39:D42)</f>
        <v>18.769667173397714</v>
      </c>
      <c r="E43" s="84">
        <f t="shared" si="11"/>
        <v>18.185715178243122</v>
      </c>
      <c r="F43" s="84">
        <f t="shared" si="11"/>
        <v>19.10264393293955</v>
      </c>
      <c r="G43" s="84">
        <f t="shared" si="11"/>
        <v>21.006231697974744</v>
      </c>
      <c r="H43" s="84">
        <f t="shared" si="11"/>
        <v>22.043556180080181</v>
      </c>
      <c r="I43" s="84">
        <f t="shared" si="11"/>
        <v>23.855815996048946</v>
      </c>
      <c r="J43" s="84">
        <f t="shared" si="11"/>
        <v>25.02846844138794</v>
      </c>
      <c r="K43" s="84">
        <f t="shared" si="11"/>
        <v>26.533502442604352</v>
      </c>
      <c r="L43" s="84">
        <f t="shared" si="11"/>
        <v>28.219805202415635</v>
      </c>
      <c r="M43" s="84">
        <f t="shared" si="11"/>
        <v>29.914895888252758</v>
      </c>
      <c r="N43" s="84">
        <f>SUM(N39:N42)</f>
        <v>30.138952380442184</v>
      </c>
    </row>
    <row r="44" spans="2:15">
      <c r="D44" s="357"/>
      <c r="E44" s="1"/>
      <c r="F44" s="1"/>
      <c r="G44" s="1"/>
      <c r="I44" s="1"/>
      <c r="J44" s="1"/>
      <c r="K44" s="1"/>
      <c r="L44" s="1"/>
      <c r="M44" s="1"/>
      <c r="N44" s="1"/>
    </row>
    <row r="45" spans="2:15">
      <c r="B45" s="2" t="s">
        <v>425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</row>
    <row r="46" spans="2:15">
      <c r="B46" s="407"/>
      <c r="C46" s="494" t="s">
        <v>391</v>
      </c>
      <c r="D46" s="1">
        <f>'Output_Standalone (IDR)'!J70/USD_IDR*Thousands</f>
        <v>0</v>
      </c>
      <c r="E46" s="480">
        <f>'Output_Standalone (IDR)'!K70/USD_IDR*Thousands</f>
        <v>0</v>
      </c>
      <c r="F46" s="1">
        <f>'Output_Standalone (IDR)'!L70/USD_IDR*Thousands</f>
        <v>2.9572702121118968</v>
      </c>
      <c r="G46" s="1">
        <f>'Output_Standalone (IDR)'!M70/USD_IDR*Thousands</f>
        <v>2.9572702121118968</v>
      </c>
      <c r="H46" s="1">
        <f>'Output_Standalone (IDR)'!N70/USD_IDR*Thousands</f>
        <v>2.9572702121118968</v>
      </c>
      <c r="I46" s="1">
        <f>'Output_Standalone (IDR)'!O70/USD_IDR*Thousands</f>
        <v>3.1612419305256685</v>
      </c>
      <c r="J46" s="1">
        <f>'Output_Standalone (IDR)'!P70/USD_IDR*Thousands</f>
        <v>3.1612419305256685</v>
      </c>
      <c r="K46" s="1">
        <f>'Output_Standalone (IDR)'!Q70/USD_IDR*Thousands</f>
        <v>3.1612419305256685</v>
      </c>
      <c r="L46" s="1">
        <f>'Output_Standalone (IDR)'!R70/USD_IDR*Thousands</f>
        <v>3.1612419305256685</v>
      </c>
      <c r="M46" s="1">
        <f>'Output_Standalone (IDR)'!S70/USD_IDR*Thousands</f>
        <v>3.3795388576698433</v>
      </c>
      <c r="N46" s="1">
        <f>'Output_Standalone (IDR)'!T70/USD_IDR*Thousands</f>
        <v>3.3795388576698433</v>
      </c>
    </row>
    <row r="47" spans="2:15">
      <c r="C47" t="s">
        <v>294</v>
      </c>
      <c r="D47" s="1">
        <f>'Output_Standalone USD'!J115</f>
        <v>0</v>
      </c>
      <c r="E47" s="480">
        <f>'Output_Standalone USD'!K115</f>
        <v>6.1673660680105753</v>
      </c>
      <c r="F47" s="1">
        <f>'Output_Standalone USD'!L115</f>
        <v>6.3523870500508925</v>
      </c>
      <c r="G47" s="1">
        <f>'Output_Standalone USD'!M115</f>
        <v>7.8515503938629045</v>
      </c>
      <c r="H47" s="1">
        <f>'Output_Standalone USD'!N115</f>
        <v>8.0870969056787914</v>
      </c>
      <c r="I47" s="1">
        <f>'Output_Standalone USD'!O115</f>
        <v>9.1626807941340687</v>
      </c>
      <c r="J47" s="1">
        <f>'Output_Standalone USD'!P115</f>
        <v>9.4375612179580894</v>
      </c>
      <c r="K47" s="1">
        <f>'Output_Standalone USD'!Q115</f>
        <v>10.303929337766649</v>
      </c>
      <c r="L47" s="1">
        <f>'Output_Standalone USD'!R115</f>
        <v>10.613047217899645</v>
      </c>
      <c r="M47" s="1">
        <f>'Output_Standalone USD'!S115</f>
        <v>11.587324952502833</v>
      </c>
      <c r="N47" s="1">
        <f>'Output_Standalone USD'!T115</f>
        <v>11.934944701077921</v>
      </c>
    </row>
    <row r="48" spans="2:15">
      <c r="C48" t="s">
        <v>295</v>
      </c>
      <c r="D48" s="1">
        <f>'Output_Standalone USD'!J138</f>
        <v>0</v>
      </c>
      <c r="E48" s="480">
        <f>'Output_Standalone USD'!K138</f>
        <v>1.936673839532739</v>
      </c>
      <c r="F48" s="1">
        <f>'Output_Standalone USD'!L138</f>
        <v>1.9947740547187212</v>
      </c>
      <c r="G48" s="1">
        <f>'Output_Standalone USD'!M138</f>
        <v>2.0546172763602826</v>
      </c>
      <c r="H48" s="1">
        <f>'Output_Standalone USD'!N138</f>
        <v>2.1162557946510914</v>
      </c>
      <c r="I48" s="1">
        <f>'Output_Standalone USD'!O138</f>
        <v>2.1797434684906238</v>
      </c>
      <c r="J48" s="1">
        <f>'Output_Standalone USD'!P138</f>
        <v>2.2451357725453427</v>
      </c>
      <c r="K48" s="1">
        <f>'Output_Standalone USD'!Q138</f>
        <v>2.3124898457217031</v>
      </c>
      <c r="L48" s="1">
        <f>'Output_Standalone USD'!R138</f>
        <v>2.3818645410933548</v>
      </c>
      <c r="M48" s="1">
        <f>'Output_Standalone USD'!S138</f>
        <v>2.4533204773261552</v>
      </c>
      <c r="N48" s="1">
        <f>'Output_Standalone USD'!T138</f>
        <v>2.5269200916459402</v>
      </c>
    </row>
    <row r="49" spans="2:15">
      <c r="C49" t="s">
        <v>950</v>
      </c>
      <c r="D49" s="1">
        <f>'Output_Standalone USD'!J184</f>
        <v>0</v>
      </c>
      <c r="E49" s="1">
        <f>'Output_Standalone USD'!K184</f>
        <v>0</v>
      </c>
      <c r="F49" s="1">
        <f>'Output_Standalone USD'!L184</f>
        <v>0</v>
      </c>
      <c r="G49" s="1">
        <f>'Output_Standalone USD'!M184</f>
        <v>3.2599927451583151</v>
      </c>
      <c r="H49" s="1">
        <f>'Output_Standalone USD'!N184</f>
        <v>3.3577925275130647</v>
      </c>
      <c r="I49" s="1">
        <f>'Output_Standalone USD'!O184</f>
        <v>3.458526303338457</v>
      </c>
      <c r="J49" s="1">
        <f>'Output_Standalone USD'!P184</f>
        <v>3.5622820924386107</v>
      </c>
      <c r="K49" s="1">
        <f>'Output_Standalone USD'!Q184</f>
        <v>3.6691505552117691</v>
      </c>
      <c r="L49" s="1">
        <f>'Output_Standalone USD'!R184</f>
        <v>3.7792250718681224</v>
      </c>
      <c r="M49" s="1">
        <f>'Output_Standalone USD'!S184</f>
        <v>3.8926018240241667</v>
      </c>
      <c r="N49" s="1">
        <f>'Output_Standalone USD'!T184</f>
        <v>4.0093798787448902</v>
      </c>
    </row>
    <row r="50" spans="2:15">
      <c r="B50" s="407"/>
      <c r="C50" s="407" t="s">
        <v>951</v>
      </c>
      <c r="D50" s="308">
        <f>'Output_Standalone USD'!J161</f>
        <v>0</v>
      </c>
      <c r="E50" s="308">
        <f>'Output_Standalone USD'!K161</f>
        <v>0</v>
      </c>
      <c r="F50" s="308">
        <f>'Output_Standalone USD'!L161</f>
        <v>7.8385371871004805</v>
      </c>
      <c r="G50" s="308">
        <f>'Output_Standalone USD'!M161</f>
        <v>8.2715323971054495</v>
      </c>
      <c r="H50" s="308">
        <f>'Output_Standalone USD'!N161</f>
        <v>8.5632029697848431</v>
      </c>
      <c r="I50" s="308">
        <f>'Output_Standalone USD'!O161</f>
        <v>8.8621398664366797</v>
      </c>
      <c r="J50" s="308">
        <f>'Output_Standalone USD'!P161</f>
        <v>9.1685610767801293</v>
      </c>
      <c r="K50" s="308">
        <f>'Output_Standalone USD'!Q161</f>
        <v>9.4826911302259447</v>
      </c>
      <c r="L50" s="308">
        <f>'Output_Standalone USD'!R161</f>
        <v>9.8047612920671927</v>
      </c>
      <c r="M50" s="308">
        <f>'Output_Standalone USD'!S161</f>
        <v>10.13500976555574</v>
      </c>
      <c r="N50" s="308">
        <f>'Output_Standalone USD'!T161</f>
        <v>10.473681900041006</v>
      </c>
    </row>
    <row r="51" spans="2:15">
      <c r="B51" s="407"/>
      <c r="C51" s="407" t="s">
        <v>952</v>
      </c>
      <c r="D51" s="308">
        <f>SUM(D52:D55)</f>
        <v>0</v>
      </c>
      <c r="E51" s="308">
        <f t="shared" ref="E51:N51" si="12">SUM(E52:E55)</f>
        <v>0</v>
      </c>
      <c r="F51" s="308">
        <f t="shared" si="12"/>
        <v>7.8385371871004805</v>
      </c>
      <c r="G51" s="308">
        <f t="shared" si="12"/>
        <v>8.2715323971054477</v>
      </c>
      <c r="H51" s="308">
        <f t="shared" si="12"/>
        <v>12.144994521450043</v>
      </c>
      <c r="I51" s="308">
        <f t="shared" si="12"/>
        <v>13.590104714634741</v>
      </c>
      <c r="J51" s="308">
        <f t="shared" si="12"/>
        <v>14.369322409797999</v>
      </c>
      <c r="K51" s="308">
        <f t="shared" si="12"/>
        <v>15.775612343177565</v>
      </c>
      <c r="L51" s="308">
        <f t="shared" si="12"/>
        <v>16.475257777795914</v>
      </c>
      <c r="M51" s="308">
        <f t="shared" si="12"/>
        <v>17.629979616920537</v>
      </c>
      <c r="N51" s="308">
        <f t="shared" si="12"/>
        <v>18.418349942487687</v>
      </c>
    </row>
    <row r="52" spans="2:15">
      <c r="B52" s="407"/>
      <c r="C52" s="430" t="s">
        <v>389</v>
      </c>
      <c r="D52" s="1"/>
      <c r="E52" s="1"/>
      <c r="F52" s="1">
        <f>Calculation_FSL!L1427/USD_IDR*Thousands</f>
        <v>3.469292986940411</v>
      </c>
      <c r="G52" s="1">
        <f>Calculation_FSL!M1427/USD_IDR*Thousands</f>
        <v>3.5733717765486235</v>
      </c>
      <c r="H52" s="1">
        <f>Calculation_FSL!N1427/USD_IDR*Thousands</f>
        <v>3.680572929845082</v>
      </c>
      <c r="I52" s="1">
        <f>Calculation_FSL!O1427/USD_IDR*Thousands</f>
        <v>3.7909901177404346</v>
      </c>
      <c r="J52" s="1">
        <f>Calculation_FSL!P1427/USD_IDR*Thousands</f>
        <v>3.9047198212726473</v>
      </c>
      <c r="K52" s="1">
        <f>Calculation_FSL!Q1427/USD_IDR*Thousands</f>
        <v>4.021861415910827</v>
      </c>
      <c r="L52" s="1">
        <f>Calculation_FSL!R1427/USD_IDR*Thousands</f>
        <v>4.1425172583881524</v>
      </c>
      <c r="M52" s="1">
        <f>Calculation_FSL!S1427/USD_IDR*Thousands</f>
        <v>4.2667927761397975</v>
      </c>
      <c r="N52" s="1">
        <f>Calculation_FSL!T1427/USD_IDR*Thousands</f>
        <v>4.3947965594239911</v>
      </c>
    </row>
    <row r="53" spans="2:15">
      <c r="B53" s="407"/>
      <c r="C53" s="430" t="s">
        <v>186</v>
      </c>
      <c r="D53" s="1">
        <f>Calculation_FSL!J1417/USD_IDR*Thousands</f>
        <v>0</v>
      </c>
      <c r="E53" s="1">
        <f>Calculation_FSL!K1417/USD_IDR*Thousands</f>
        <v>0</v>
      </c>
      <c r="F53" s="1">
        <f>Calculation_FSL!L1417/USD_IDR*Thousands</f>
        <v>3.5821660930084813</v>
      </c>
      <c r="G53" s="1">
        <f>Calculation_FSL!M1417/USD_IDR*Thousands</f>
        <v>3.6896310757987361</v>
      </c>
      <c r="H53" s="1">
        <f>Calculation_FSL!N1417/USD_IDR*Thousands</f>
        <v>3.8003200080726991</v>
      </c>
      <c r="I53" s="1">
        <f>Calculation_FSL!O1417/USD_IDR*Thousands</f>
        <v>3.9143296083148789</v>
      </c>
      <c r="J53" s="1">
        <f>Calculation_FSL!P1417/USD_IDR*Thousands</f>
        <v>4.0317594965643266</v>
      </c>
      <c r="K53" s="1">
        <f>Calculation_FSL!Q1417/USD_IDR*Thousands</f>
        <v>4.1527122814612554</v>
      </c>
      <c r="L53" s="1">
        <f>Calculation_FSL!R1417/USD_IDR*Thousands</f>
        <v>4.2772936499050918</v>
      </c>
      <c r="M53" s="1">
        <f>Calculation_FSL!S1417/USD_IDR*Thousands</f>
        <v>4.4056124594022457</v>
      </c>
      <c r="N53" s="1">
        <f>Calculation_FSL!T1417/USD_IDR*Thousands</f>
        <v>4.5377808331843141</v>
      </c>
    </row>
    <row r="54" spans="2:15">
      <c r="B54" s="407"/>
      <c r="C54" s="430" t="s">
        <v>297</v>
      </c>
      <c r="D54" s="1">
        <f>'Output_Standalone USD'!J253</f>
        <v>0</v>
      </c>
      <c r="E54" s="1">
        <f>'Output_Standalone USD'!K253</f>
        <v>0</v>
      </c>
      <c r="F54" s="1">
        <f>'Output_Standalone USD'!L253</f>
        <v>0</v>
      </c>
      <c r="G54" s="1">
        <f>'Output_Standalone USD'!M253</f>
        <v>0</v>
      </c>
      <c r="H54" s="1">
        <f>'Output_Standalone USD'!N253</f>
        <v>3.5817915516651992</v>
      </c>
      <c r="I54" s="1">
        <f>'Output_Standalone USD'!O253</f>
        <v>4.7279648481980638</v>
      </c>
      <c r="J54" s="1">
        <f>'Output_Standalone USD'!P253</f>
        <v>5.2007613330178701</v>
      </c>
      <c r="K54" s="1">
        <f>'Output_Standalone USD'!Q253</f>
        <v>6.2929212129516223</v>
      </c>
      <c r="L54" s="1">
        <f>'Output_Standalone USD'!R253</f>
        <v>6.6704964857287221</v>
      </c>
      <c r="M54" s="1">
        <f>'Output_Standalone USD'!S253</f>
        <v>7.4949698513647931</v>
      </c>
      <c r="N54" s="1">
        <f>'Output_Standalone USD'!T253</f>
        <v>7.9446680424466818</v>
      </c>
    </row>
    <row r="55" spans="2:15">
      <c r="B55" s="407"/>
      <c r="C55" s="430" t="s">
        <v>296</v>
      </c>
      <c r="D55" s="1"/>
      <c r="E55" s="1"/>
      <c r="F55" s="1">
        <f>Calculation_FSL!L1437/USD_IDR*Thousands</f>
        <v>0.7870781071515881</v>
      </c>
      <c r="G55" s="1">
        <f>Calculation_FSL!M1437/USD_IDR*Thousands</f>
        <v>1.0085295447580893</v>
      </c>
      <c r="H55" s="1">
        <f>Calculation_FSL!N1437/USD_IDR*Thousands</f>
        <v>1.0823100318670618</v>
      </c>
      <c r="I55" s="1">
        <f>Calculation_FSL!O1437/USD_IDR*Thousands</f>
        <v>1.1568201403813638</v>
      </c>
      <c r="J55" s="1">
        <f>Calculation_FSL!P1437/USD_IDR*Thousands</f>
        <v>1.232081758943155</v>
      </c>
      <c r="K55" s="1">
        <f>Calculation_FSL!Q1437/USD_IDR*Thousands</f>
        <v>1.3081174328538605</v>
      </c>
      <c r="L55" s="1">
        <f>Calculation_FSL!R1437/USD_IDR*Thousands</f>
        <v>1.3849503837739479</v>
      </c>
      <c r="M55" s="1">
        <f>Calculation_FSL!S1437/USD_IDR*Thousands</f>
        <v>1.4626045300136976</v>
      </c>
      <c r="N55" s="1">
        <f>Calculation_FSL!T1437/USD_IDR*Thousands</f>
        <v>1.5411045074327001</v>
      </c>
    </row>
    <row r="56" spans="2:15">
      <c r="B56" s="407"/>
      <c r="C56" t="s">
        <v>953</v>
      </c>
      <c r="D56" s="1">
        <f>'Output_Standalone USD'!J483</f>
        <v>0</v>
      </c>
      <c r="E56" s="1">
        <f>'Output_Standalone USD'!K483</f>
        <v>0</v>
      </c>
      <c r="F56" s="1">
        <f>'Output_Standalone USD'!L483</f>
        <v>0</v>
      </c>
      <c r="G56" s="1">
        <f>'Output_Standalone USD'!M483</f>
        <v>0.16922230021109935</v>
      </c>
      <c r="H56" s="1">
        <f>'Output_Standalone USD'!N483</f>
        <v>0.20293714935884025</v>
      </c>
      <c r="I56" s="1">
        <f>'Output_Standalone USD'!O483</f>
        <v>0.21113285683069058</v>
      </c>
      <c r="J56" s="1">
        <f>'Output_Standalone USD'!P483</f>
        <v>0.21977412811815056</v>
      </c>
      <c r="K56" s="1">
        <f>'Output_Standalone USD'!Q483</f>
        <v>0.22889429939483372</v>
      </c>
      <c r="L56" s="1">
        <f>'Output_Standalone USD'!R483</f>
        <v>0.23701089904990344</v>
      </c>
      <c r="M56" s="1">
        <f>'Output_Standalone USD'!S483</f>
        <v>0.24543934291042607</v>
      </c>
      <c r="N56" s="1">
        <f>'Output_Standalone USD'!T483</f>
        <v>0.25419308707551319</v>
      </c>
    </row>
    <row r="57" spans="2:15">
      <c r="B57" s="407"/>
      <c r="C57" s="430" t="s">
        <v>389</v>
      </c>
      <c r="D57" s="1">
        <f>'Output_Standalone USD'!J207</f>
        <v>0</v>
      </c>
      <c r="E57" s="1">
        <f>'Output_Standalone USD'!K207</f>
        <v>0</v>
      </c>
      <c r="F57" s="1">
        <f>'Output_Standalone USD'!L207</f>
        <v>0</v>
      </c>
      <c r="G57" s="1">
        <f>'Output_Standalone USD'!M207</f>
        <v>9.5936929357516146E-2</v>
      </c>
      <c r="H57" s="1">
        <f>'Output_Standalone USD'!N207</f>
        <v>9.8815037238241629E-2</v>
      </c>
      <c r="I57" s="1">
        <f>'Output_Standalone USD'!O207</f>
        <v>0.10177948835538886</v>
      </c>
      <c r="J57" s="1">
        <f>'Output_Standalone USD'!P207</f>
        <v>0.10483287300605056</v>
      </c>
      <c r="K57" s="1">
        <f>'Output_Standalone USD'!Q207</f>
        <v>0.10797785919623208</v>
      </c>
      <c r="L57" s="1">
        <f>'Output_Standalone USD'!R207</f>
        <v>0.11121719497211904</v>
      </c>
      <c r="M57" s="1">
        <f>'Output_Standalone USD'!S207</f>
        <v>0.11455371082128261</v>
      </c>
      <c r="N57" s="1">
        <f>'Output_Standalone USD'!T207</f>
        <v>0.11799032214592109</v>
      </c>
    </row>
    <row r="58" spans="2:15">
      <c r="B58" s="407"/>
      <c r="C58" s="430" t="s">
        <v>186</v>
      </c>
      <c r="D58" s="1">
        <f>'Output_Standalone USD'!J68</f>
        <v>0</v>
      </c>
      <c r="E58" s="1">
        <f>'Output_Standalone USD'!K68</f>
        <v>0</v>
      </c>
      <c r="F58" s="1">
        <f>'Output_Standalone USD'!L68</f>
        <v>0</v>
      </c>
      <c r="G58" s="1">
        <f>'Output_Standalone USD'!M68</f>
        <v>4.5572497352199849E-2</v>
      </c>
      <c r="H58" s="1">
        <f>'Output_Standalone USD'!N68</f>
        <v>4.7050339349310563E-2</v>
      </c>
      <c r="I58" s="1">
        <f>'Output_Standalone USD'!O68</f>
        <v>4.8572516606334611E-2</v>
      </c>
      <c r="J58" s="1">
        <f>'Output_Standalone USD'!P68</f>
        <v>5.0140359181069384E-2</v>
      </c>
      <c r="K58" s="1">
        <f>'Output_Standalone USD'!Q68</f>
        <v>5.17552370330462E-2</v>
      </c>
      <c r="L58" s="1">
        <f>'Output_Standalone USD'!R68</f>
        <v>5.3418561220582306E-2</v>
      </c>
      <c r="M58" s="1">
        <f>'Output_Standalone USD'!S68</f>
        <v>5.5131785133744511E-2</v>
      </c>
      <c r="N58" s="1">
        <f>'Output_Standalone USD'!T68</f>
        <v>5.6896405764301557E-2</v>
      </c>
      <c r="O58" s="1"/>
    </row>
    <row r="59" spans="2:15">
      <c r="B59" s="407"/>
      <c r="C59" s="430" t="s">
        <v>297</v>
      </c>
      <c r="D59" s="1">
        <f>'Output_Standalone USD'!J276</f>
        <v>0</v>
      </c>
      <c r="E59" s="1">
        <f>'Output_Standalone USD'!K276</f>
        <v>0</v>
      </c>
      <c r="F59" s="1">
        <f>'Output_Standalone USD'!L276</f>
        <v>0</v>
      </c>
      <c r="G59" s="1">
        <f>'Output_Standalone USD'!M276</f>
        <v>0</v>
      </c>
      <c r="H59" s="1">
        <f>'Output_Standalone USD'!N276</f>
        <v>2.8527513064863206E-2</v>
      </c>
      <c r="I59" s="1">
        <f>'Output_Standalone USD'!O276</f>
        <v>3.1380264371349526E-2</v>
      </c>
      <c r="J59" s="1">
        <f>'Output_Standalone USD'!P276</f>
        <v>3.4518290808484488E-2</v>
      </c>
      <c r="K59" s="1">
        <f>'Output_Standalone USD'!Q276</f>
        <v>3.797011988933293E-2</v>
      </c>
      <c r="L59" s="1">
        <f>'Output_Standalone USD'!R276</f>
        <v>4.0248327082692922E-2</v>
      </c>
      <c r="M59" s="1">
        <f>'Output_Standalone USD'!S276</f>
        <v>4.2663226707654496E-2</v>
      </c>
      <c r="N59" s="1">
        <f>'Output_Standalone USD'!T276</f>
        <v>4.5223020310113764E-2</v>
      </c>
    </row>
    <row r="60" spans="2:15">
      <c r="B60" s="407"/>
      <c r="C60" s="430" t="s">
        <v>296</v>
      </c>
      <c r="D60" s="1">
        <f>'Output_Standalone USD'!J322</f>
        <v>0</v>
      </c>
      <c r="E60" s="1">
        <f>'Output_Standalone USD'!K322</f>
        <v>0</v>
      </c>
      <c r="F60" s="1">
        <f>'Output_Standalone USD'!L322</f>
        <v>0</v>
      </c>
      <c r="G60" s="1">
        <f>'Output_Standalone USD'!M322</f>
        <v>2.7712873501383337E-2</v>
      </c>
      <c r="H60" s="1">
        <f>'Output_Standalone USD'!N322</f>
        <v>2.8544259706424841E-2</v>
      </c>
      <c r="I60" s="1">
        <f>'Output_Standalone USD'!O322</f>
        <v>2.9400587497617588E-2</v>
      </c>
      <c r="J60" s="1">
        <f>'Output_Standalone USD'!P322</f>
        <v>3.0282605122546116E-2</v>
      </c>
      <c r="K60" s="1">
        <f>'Output_Standalone USD'!Q322</f>
        <v>3.1191083276222501E-2</v>
      </c>
      <c r="L60" s="1">
        <f>'Output_Standalone USD'!R322</f>
        <v>3.2126815774509182E-2</v>
      </c>
      <c r="M60" s="1">
        <f>'Output_Standalone USD'!S322</f>
        <v>3.3090620247744451E-2</v>
      </c>
      <c r="N60" s="1">
        <f>'Output_Standalone USD'!T322</f>
        <v>3.4083338855176788E-2</v>
      </c>
    </row>
    <row r="61" spans="2:15">
      <c r="C61" s="493" t="s">
        <v>1101</v>
      </c>
      <c r="D61" s="1">
        <f>'Output_Standalone (IDR)'!J44/USD_IDR*Thousands</f>
        <v>0</v>
      </c>
      <c r="E61" s="1">
        <f>'Output_Standalone (IDR)'!K44/USD_IDR*Thousands</f>
        <v>0</v>
      </c>
      <c r="F61" s="1">
        <f>'Output_Standalone (IDR)'!L44/USD_IDR*Thousands</f>
        <v>0</v>
      </c>
      <c r="G61" s="1">
        <f>'Output_Standalone (IDR)'!M44/USD_IDR*Thousands</f>
        <v>0.81524746387949587</v>
      </c>
      <c r="H61" s="1">
        <f>'Output_Standalone (IDR)'!N44/USD_IDR*Thousands</f>
        <v>0.81524746387949587</v>
      </c>
      <c r="I61" s="1">
        <f>'Output_Standalone (IDR)'!O44/USD_IDR*Thousands</f>
        <v>0.81524746387949587</v>
      </c>
      <c r="J61" s="1">
        <f>'Output_Standalone (IDR)'!P44/USD_IDR*Thousands</f>
        <v>0.81524746387949587</v>
      </c>
      <c r="K61" s="1">
        <f>'Output_Standalone (IDR)'!Q44/USD_IDR*Thousands</f>
        <v>0.81524746387949587</v>
      </c>
      <c r="L61" s="1">
        <f>'Output_Standalone (IDR)'!R44/USD_IDR*Thousands</f>
        <v>0.81524746387949587</v>
      </c>
      <c r="M61" s="1">
        <f>'Output_Standalone (IDR)'!S44/USD_IDR*Thousands</f>
        <v>0.81524746387949587</v>
      </c>
      <c r="N61" s="1">
        <f>'Output_Standalone (IDR)'!T44/USD_IDR*Thousands</f>
        <v>0.81524746387949587</v>
      </c>
    </row>
    <row r="62" spans="2:15">
      <c r="C62" s="28" t="s">
        <v>53</v>
      </c>
      <c r="D62" s="84">
        <f>SUM(D46:D49,D51,D56,D61)</f>
        <v>0</v>
      </c>
      <c r="E62" s="84">
        <f t="shared" ref="E62:N62" si="13">SUM(E46:E49,E51,E56,E61)</f>
        <v>8.1040399075433136</v>
      </c>
      <c r="F62" s="84">
        <f t="shared" si="13"/>
        <v>19.14296850398199</v>
      </c>
      <c r="G62" s="84">
        <f t="shared" si="13"/>
        <v>25.379432788689439</v>
      </c>
      <c r="H62" s="84">
        <f t="shared" si="13"/>
        <v>29.681594574643221</v>
      </c>
      <c r="I62" s="84">
        <f t="shared" si="13"/>
        <v>32.578677531833748</v>
      </c>
      <c r="J62" s="84">
        <f t="shared" si="13"/>
        <v>33.810565015263357</v>
      </c>
      <c r="K62" s="84">
        <f t="shared" si="13"/>
        <v>36.266565775677677</v>
      </c>
      <c r="L62" s="84">
        <f t="shared" si="13"/>
        <v>37.462894902112104</v>
      </c>
      <c r="M62" s="84">
        <f t="shared" si="13"/>
        <v>40.00345253523345</v>
      </c>
      <c r="N62" s="84">
        <f t="shared" si="13"/>
        <v>41.338574022581291</v>
      </c>
    </row>
    <row r="63" spans="2:15">
      <c r="H63">
        <f>H62</f>
        <v>29.681594574643221</v>
      </c>
    </row>
    <row r="64" spans="2:15" s="2" customFormat="1">
      <c r="B64" s="2" t="s">
        <v>454</v>
      </c>
      <c r="D64" s="2">
        <f t="shared" ref="D64:N64" si="14">SUM(D62,D43)</f>
        <v>18.769667173397714</v>
      </c>
      <c r="E64" s="2">
        <f t="shared" si="14"/>
        <v>26.289755085786435</v>
      </c>
      <c r="F64" s="2">
        <f t="shared" si="14"/>
        <v>38.24561243692154</v>
      </c>
      <c r="G64" s="2">
        <f t="shared" si="14"/>
        <v>46.385664486664183</v>
      </c>
      <c r="H64" s="2">
        <f t="shared" si="14"/>
        <v>51.725150754723401</v>
      </c>
      <c r="I64" s="2">
        <f t="shared" si="14"/>
        <v>56.434493527882694</v>
      </c>
      <c r="J64" s="2">
        <f t="shared" si="14"/>
        <v>58.839033456651293</v>
      </c>
      <c r="K64" s="2">
        <f t="shared" si="14"/>
        <v>62.800068218282028</v>
      </c>
      <c r="L64" s="2">
        <f t="shared" si="14"/>
        <v>65.68270010452774</v>
      </c>
      <c r="M64" s="2">
        <f t="shared" si="14"/>
        <v>69.918348423486208</v>
      </c>
      <c r="N64" s="2">
        <f t="shared" si="14"/>
        <v>71.477526403023475</v>
      </c>
      <c r="O64"/>
    </row>
    <row r="65" spans="2:15">
      <c r="N65">
        <f>Output_Consol_IDR!T18/USD_IDR*Thousands</f>
        <v>225.09572498894417</v>
      </c>
    </row>
    <row r="66" spans="2:15">
      <c r="B66" s="407" t="s">
        <v>954</v>
      </c>
    </row>
    <row r="67" spans="2:15">
      <c r="C67" s="407" t="s">
        <v>144</v>
      </c>
      <c r="D67">
        <f t="shared" ref="D67:N67" si="15">SUM(D40,D47:D49,D52,D57)</f>
        <v>2.3767574546572394</v>
      </c>
      <c r="E67">
        <f t="shared" si="15"/>
        <v>10.956148853132001</v>
      </c>
      <c r="F67">
        <f t="shared" si="15"/>
        <v>14.754126305666373</v>
      </c>
      <c r="G67">
        <f t="shared" si="15"/>
        <v>20.466431977737688</v>
      </c>
      <c r="H67">
        <f t="shared" si="15"/>
        <v>21.080424937069822</v>
      </c>
      <c r="I67">
        <f t="shared" si="15"/>
        <v>22.931017515907616</v>
      </c>
      <c r="J67">
        <f t="shared" si="15"/>
        <v>23.618948041384837</v>
      </c>
      <c r="K67">
        <f t="shared" si="15"/>
        <v>25.180478691021541</v>
      </c>
      <c r="L67">
        <f t="shared" si="15"/>
        <v>25.935893051752188</v>
      </c>
      <c r="M67">
        <f t="shared" si="15"/>
        <v>27.67317190660436</v>
      </c>
      <c r="N67">
        <f t="shared" si="15"/>
        <v>28.503367063802493</v>
      </c>
      <c r="O67">
        <f t="shared" ref="O67:O72" si="16">SUM(F67:N67)</f>
        <v>210.14385949094691</v>
      </c>
    </row>
    <row r="68" spans="2:15">
      <c r="C68" s="407" t="s">
        <v>297</v>
      </c>
      <c r="D68">
        <f t="shared" ref="D68:N68" si="17">SUM(D54,D59)</f>
        <v>0</v>
      </c>
      <c r="E68">
        <f t="shared" si="17"/>
        <v>0</v>
      </c>
      <c r="F68">
        <f t="shared" si="17"/>
        <v>0</v>
      </c>
      <c r="G68">
        <f t="shared" si="17"/>
        <v>0</v>
      </c>
      <c r="H68">
        <f t="shared" si="17"/>
        <v>3.6103190647300623</v>
      </c>
      <c r="I68">
        <f t="shared" si="17"/>
        <v>4.7593451125694131</v>
      </c>
      <c r="J68">
        <f t="shared" si="17"/>
        <v>5.2352796238263544</v>
      </c>
      <c r="K68">
        <f t="shared" si="17"/>
        <v>6.3308913328409551</v>
      </c>
      <c r="L68">
        <f t="shared" si="17"/>
        <v>6.7107448128114147</v>
      </c>
      <c r="M68">
        <f t="shared" si="17"/>
        <v>7.5376330780724476</v>
      </c>
      <c r="N68">
        <f t="shared" si="17"/>
        <v>7.9898910627567954</v>
      </c>
      <c r="O68">
        <f t="shared" si="16"/>
        <v>42.174104087607439</v>
      </c>
    </row>
    <row r="69" spans="2:15">
      <c r="C69" s="407" t="s">
        <v>694</v>
      </c>
      <c r="D69">
        <f>D39+D53+D58+D61</f>
        <v>9.6181066224752527</v>
      </c>
      <c r="E69">
        <f t="shared" ref="E69:N69" si="18">E39+E53+E58+E61</f>
        <v>9.9066498211495109</v>
      </c>
      <c r="F69">
        <f t="shared" si="18"/>
        <v>13.786015408792478</v>
      </c>
      <c r="G69">
        <f t="shared" si="18"/>
        <v>15.06041583228795</v>
      </c>
      <c r="H69">
        <f t="shared" si="18"/>
        <v>15.487881550416748</v>
      </c>
      <c r="I69">
        <f t="shared" si="18"/>
        <v>16.26267188962807</v>
      </c>
      <c r="J69">
        <f t="shared" si="18"/>
        <v>16.726205289477075</v>
      </c>
      <c r="K69">
        <f t="shared" si="18"/>
        <v>17.203644691321546</v>
      </c>
      <c r="L69">
        <f t="shared" si="18"/>
        <v>18.071890703227833</v>
      </c>
      <c r="M69">
        <f t="shared" si="18"/>
        <v>18.589700667484834</v>
      </c>
      <c r="N69">
        <f t="shared" si="18"/>
        <v>19.123044930669536</v>
      </c>
      <c r="O69">
        <f t="shared" si="16"/>
        <v>150.31147096330608</v>
      </c>
    </row>
    <row r="70" spans="2:15">
      <c r="C70" s="483" t="s">
        <v>391</v>
      </c>
      <c r="D70">
        <f>D46</f>
        <v>0</v>
      </c>
      <c r="E70">
        <f t="shared" ref="E70:N70" si="19">E46</f>
        <v>0</v>
      </c>
      <c r="F70">
        <f t="shared" si="19"/>
        <v>2.9572702121118968</v>
      </c>
      <c r="G70">
        <f t="shared" si="19"/>
        <v>2.9572702121118968</v>
      </c>
      <c r="H70">
        <f t="shared" si="19"/>
        <v>2.9572702121118968</v>
      </c>
      <c r="I70">
        <f t="shared" si="19"/>
        <v>3.1612419305256685</v>
      </c>
      <c r="J70">
        <f t="shared" si="19"/>
        <v>3.1612419305256685</v>
      </c>
      <c r="K70">
        <f t="shared" si="19"/>
        <v>3.1612419305256685</v>
      </c>
      <c r="L70">
        <f t="shared" si="19"/>
        <v>3.1612419305256685</v>
      </c>
      <c r="M70">
        <f t="shared" si="19"/>
        <v>3.3795388576698433</v>
      </c>
      <c r="N70">
        <f t="shared" si="19"/>
        <v>3.3795388576698433</v>
      </c>
      <c r="O70">
        <f t="shared" si="16"/>
        <v>28.275856073778051</v>
      </c>
    </row>
    <row r="71" spans="2:15">
      <c r="C71" s="407" t="s">
        <v>296</v>
      </c>
      <c r="D71">
        <f t="shared" ref="D71:N71" si="20">D55+D41+D60</f>
        <v>1.3675683984014757</v>
      </c>
      <c r="E71">
        <f t="shared" si="20"/>
        <v>1.4085954503535199</v>
      </c>
      <c r="F71">
        <f t="shared" si="20"/>
        <v>2.9369660298383389</v>
      </c>
      <c r="G71">
        <f t="shared" si="20"/>
        <v>3.791020461565652</v>
      </c>
      <c r="H71">
        <f t="shared" si="20"/>
        <v>4.1558514809509495</v>
      </c>
      <c r="I71">
        <f t="shared" si="20"/>
        <v>4.5384852283751149</v>
      </c>
      <c r="J71">
        <f t="shared" si="20"/>
        <v>4.9398347952754635</v>
      </c>
      <c r="K71">
        <f t="shared" si="20"/>
        <v>5.3608598777185819</v>
      </c>
      <c r="L71">
        <f t="shared" si="20"/>
        <v>5.8025692284491113</v>
      </c>
      <c r="M71">
        <f t="shared" si="20"/>
        <v>6.2660232432003111</v>
      </c>
      <c r="N71">
        <f t="shared" si="20"/>
        <v>6.7523366888863903</v>
      </c>
      <c r="O71">
        <f t="shared" si="16"/>
        <v>44.543947034259908</v>
      </c>
    </row>
    <row r="72" spans="2:15">
      <c r="C72" s="407" t="s">
        <v>298</v>
      </c>
      <c r="D72">
        <f t="shared" ref="D72:N72" si="21">D42</f>
        <v>5.407234697863748</v>
      </c>
      <c r="E72">
        <f t="shared" si="21"/>
        <v>4.0183609611514051</v>
      </c>
      <c r="F72">
        <f t="shared" si="21"/>
        <v>3.8112344805124554</v>
      </c>
      <c r="G72">
        <f t="shared" si="21"/>
        <v>4.1105260029610031</v>
      </c>
      <c r="H72">
        <f t="shared" si="21"/>
        <v>4.4334035094439255</v>
      </c>
      <c r="I72">
        <f t="shared" si="21"/>
        <v>4.7817318508768096</v>
      </c>
      <c r="J72">
        <f t="shared" si="21"/>
        <v>5.1575237761618924</v>
      </c>
      <c r="K72">
        <f t="shared" si="21"/>
        <v>5.562951694853739</v>
      </c>
      <c r="L72">
        <f t="shared" si="21"/>
        <v>6.0003603777615204</v>
      </c>
      <c r="M72">
        <f t="shared" si="21"/>
        <v>6.4722806704544213</v>
      </c>
      <c r="N72">
        <f t="shared" si="21"/>
        <v>5.7293477992384183</v>
      </c>
      <c r="O72">
        <f t="shared" si="16"/>
        <v>46.059360162264191</v>
      </c>
    </row>
    <row r="73" spans="2:15">
      <c r="C73" s="28" t="s">
        <v>53</v>
      </c>
      <c r="D73" s="28">
        <f>SUM(D67:D72)</f>
        <v>18.769667173397714</v>
      </c>
      <c r="E73" s="28">
        <f t="shared" ref="E73:N73" si="22">SUM(E67:E72)</f>
        <v>26.289755085786439</v>
      </c>
      <c r="F73" s="28">
        <f t="shared" si="22"/>
        <v>38.24561243692154</v>
      </c>
      <c r="G73" s="28">
        <f t="shared" si="22"/>
        <v>46.385664486664183</v>
      </c>
      <c r="H73" s="28">
        <f t="shared" si="22"/>
        <v>51.725150754723401</v>
      </c>
      <c r="I73" s="28">
        <f t="shared" si="22"/>
        <v>56.434493527882694</v>
      </c>
      <c r="J73" s="28">
        <f t="shared" si="22"/>
        <v>58.839033456651293</v>
      </c>
      <c r="K73" s="28">
        <f t="shared" si="22"/>
        <v>62.800068218282028</v>
      </c>
      <c r="L73" s="28">
        <f t="shared" si="22"/>
        <v>65.68270010452774</v>
      </c>
      <c r="M73" s="28">
        <f t="shared" si="22"/>
        <v>69.918348423486208</v>
      </c>
      <c r="N73" s="28">
        <f t="shared" si="22"/>
        <v>71.477526403023489</v>
      </c>
    </row>
    <row r="74" spans="2:15">
      <c r="C74" s="407"/>
    </row>
    <row r="75" spans="2:15" ht="24" thickBot="1">
      <c r="B75" s="14" t="s">
        <v>955</v>
      </c>
      <c r="C75" s="237"/>
      <c r="D75" s="237"/>
      <c r="E75" s="237"/>
      <c r="F75" s="237"/>
      <c r="G75" s="237"/>
      <c r="H75" s="237"/>
      <c r="I75" s="237"/>
      <c r="J75" s="237"/>
      <c r="K75" s="237"/>
      <c r="L75" s="237"/>
      <c r="M75" s="237"/>
      <c r="N75" s="237"/>
    </row>
    <row r="76" spans="2:15">
      <c r="B76" s="2" t="s">
        <v>943</v>
      </c>
      <c r="F76" t="s">
        <v>525</v>
      </c>
    </row>
    <row r="77" spans="2:15">
      <c r="C77" t="s">
        <v>694</v>
      </c>
      <c r="D77" s="1">
        <f>'Output_Standalone (IDR)'!J25/USD_IDR*Thousands</f>
        <v>6.9173564370461111</v>
      </c>
      <c r="E77" s="480">
        <f>'Output_Standalone (IDR)'!K25/USD_IDR*Thousands</f>
        <v>7.0961472867763415</v>
      </c>
      <c r="F77" s="480">
        <f>'Output_Standalone (IDR)'!L25/USD_IDR*Thousands</f>
        <v>7.277210673654861</v>
      </c>
      <c r="G77" s="1">
        <f>'Output_Standalone (IDR)'!M25/USD_IDR*Thousands</f>
        <v>7.4631671197528169</v>
      </c>
      <c r="H77" s="278">
        <f>'Output_Standalone (IDR)'!N25/USD_IDR*Thousands</f>
        <v>7.6527016357489188</v>
      </c>
      <c r="I77" s="1">
        <f>'Output_Standalone (IDR)'!O25/USD_IDR*Thousands</f>
        <v>8.1789928908737171</v>
      </c>
      <c r="J77" s="1">
        <f>'Output_Standalone (IDR)'!P25/USD_IDR*Thousands</f>
        <v>8.3856741128400696</v>
      </c>
      <c r="K77" s="1">
        <f>'Output_Standalone (IDR)'!Q25/USD_IDR*Thousands</f>
        <v>8.5961740924979946</v>
      </c>
      <c r="L77" s="1">
        <f>'Output_Standalone (IDR)'!R25/USD_IDR*Thousands</f>
        <v>9.1856383890466891</v>
      </c>
      <c r="M77" s="1">
        <f>'Output_Standalone (IDR)'!S25/USD_IDR*Thousands</f>
        <v>9.4149763768661607</v>
      </c>
      <c r="N77" s="1">
        <f>'Output_Standalone (IDR)'!T25/USD_IDR*Thousands</f>
        <v>9.6483581115447095</v>
      </c>
    </row>
    <row r="78" spans="2:15">
      <c r="C78" t="str">
        <f>Output_FSL!B31</f>
        <v>Cigading existing (D1)</v>
      </c>
      <c r="D78" s="1">
        <f>'Output_Standalone (IDR)'!J120/USD_IDR*Thousands</f>
        <v>0.98884637374444151</v>
      </c>
      <c r="E78" s="1">
        <f>'Output_Standalone (IDR)'!K120/USD_IDR*Thousands</f>
        <v>1.4134743094771562</v>
      </c>
      <c r="F78" s="480">
        <f>'Output_Standalone (IDR)'!L120/USD_IDR*Thousands</f>
        <v>1.4441469042935</v>
      </c>
      <c r="G78" s="1">
        <f>'Output_Standalone (IDR)'!M120/USD_IDR*Thousands</f>
        <v>2.0823609033575097</v>
      </c>
      <c r="H78" s="272">
        <f>'Output_Standalone (IDR)'!N120/USD_IDR*Thousands</f>
        <v>2.133885907349427</v>
      </c>
      <c r="I78" s="1">
        <f>'Output_Standalone (IDR)'!O120/USD_IDR*Thousands</f>
        <v>2.5694140353411004</v>
      </c>
      <c r="J78" s="1">
        <f>'Output_Standalone (IDR)'!P120/USD_IDR*Thousands</f>
        <v>2.6341477679723004</v>
      </c>
      <c r="K78" s="1">
        <f>'Output_Standalone (IDR)'!Q120/USD_IDR*Thousands</f>
        <v>2.969750925625755</v>
      </c>
      <c r="L78" s="1">
        <f>'Output_Standalone (IDR)'!R120/USD_IDR*Thousands</f>
        <v>3.0428243930947958</v>
      </c>
      <c r="M78" s="1">
        <f>'Output_Standalone (IDR)'!S120/USD_IDR*Thousands</f>
        <v>3.4226218240592861</v>
      </c>
      <c r="N78" s="1">
        <f>'Output_Standalone (IDR)'!T120/USD_IDR*Thousands</f>
        <v>3.5095636882691292</v>
      </c>
    </row>
    <row r="79" spans="2:15">
      <c r="C79" t="str">
        <f>Output_FSL!B37</f>
        <v>Belawan (incl. expansion)</v>
      </c>
      <c r="D79" s="1">
        <f>'Output_Standalone (IDR)'!J328/USD_IDR*Thousands</f>
        <v>0.68525085545347209</v>
      </c>
      <c r="E79" s="1">
        <f>'Output_Standalone (IDR)'!K328/USD_IDR*Thousands</f>
        <v>0.70065056639623902</v>
      </c>
      <c r="F79" s="1">
        <f>'Output_Standalone (IDR)'!L328/USD_IDR*Thousands</f>
        <v>1.371485619628446</v>
      </c>
      <c r="G79" s="1">
        <f>'Output_Standalone (IDR)'!M328/USD_IDR*Thousands</f>
        <v>1.9000393241258571</v>
      </c>
      <c r="H79" s="1">
        <f>'Output_Standalone (IDR)'!N328/USD_IDR*Thousands</f>
        <v>2.1447133039400459</v>
      </c>
      <c r="I79" s="1">
        <f>'Output_Standalone (IDR)'!O328/USD_IDR*Thousands</f>
        <v>2.4042230975447283</v>
      </c>
      <c r="J79" s="1">
        <f>'Output_Standalone (IDR)'!P328/USD_IDR*Thousands</f>
        <v>2.6793543156848929</v>
      </c>
      <c r="K79" s="1">
        <f>'Output_Standalone (IDR)'!Q328/USD_IDR*Thousands</f>
        <v>2.9709334112509884</v>
      </c>
      <c r="L79" s="1">
        <f>'Output_Standalone (IDR)'!R328/USD_IDR*Thousands</f>
        <v>3.2798298528040317</v>
      </c>
      <c r="M79" s="1">
        <f>'Output_Standalone (IDR)'!S328/USD_IDR*Thousands</f>
        <v>3.6069584179374536</v>
      </c>
      <c r="N79" s="1">
        <f>'Output_Standalone (IDR)'!T328/USD_IDR*Thousands</f>
        <v>3.9532816133030804</v>
      </c>
    </row>
    <row r="80" spans="2:15">
      <c r="C80" t="str">
        <f>Output_FSL!B39</f>
        <v>WIN</v>
      </c>
      <c r="D80" s="1">
        <f>'Output_Standalone (IDR)'!J466/USD_IDR*Thousands</f>
        <v>0.89120697948994432</v>
      </c>
      <c r="E80" s="1">
        <f>'Output_Standalone (IDR)'!K466/USD_IDR*Thousands</f>
        <v>0.85740895439965048</v>
      </c>
      <c r="F80" s="1">
        <f>'Output_Standalone (IDR)'!L466/USD_IDR*Thousands</f>
        <v>1.0282979022951941</v>
      </c>
      <c r="G80" s="1">
        <f>'Output_Standalone (IDR)'!M466/USD_IDR*Thousands</f>
        <v>1.1331743445112041</v>
      </c>
      <c r="H80" s="273">
        <f>'Output_Standalone (IDR)'!N466/USD_IDR*Thousands</f>
        <v>1.2470110017793805</v>
      </c>
      <c r="I80" s="1">
        <f>'Output_Standalone (IDR)'!O466/USD_IDR*Thousands</f>
        <v>1.3705453344152123</v>
      </c>
      <c r="J80" s="1">
        <f>'Output_Standalone (IDR)'!P466/USD_IDR*Thousands</f>
        <v>1.5045747998550836</v>
      </c>
      <c r="K80" s="1">
        <f>'Output_Standalone (IDR)'!Q466/USD_IDR*Thousands</f>
        <v>1.6499617148045416</v>
      </c>
      <c r="L80" s="1">
        <f>'Output_Standalone (IDR)'!R466/USD_IDR*Thousands</f>
        <v>1.8076385109983861</v>
      </c>
      <c r="M80" s="1">
        <f>'Output_Standalone (IDR)'!S466/USD_IDR*Thousands</f>
        <v>1.9786134164391471</v>
      </c>
      <c r="N80" s="1">
        <f>'Output_Standalone (IDR)'!T466/USD_IDR*Thousands</f>
        <v>1.9184001530944297</v>
      </c>
    </row>
    <row r="81" spans="2:14">
      <c r="C81" s="28" t="s">
        <v>53</v>
      </c>
      <c r="D81" s="84">
        <f t="shared" ref="D81:M81" si="23">SUM(D77:D80)</f>
        <v>9.4826606457339686</v>
      </c>
      <c r="E81" s="489">
        <f t="shared" si="23"/>
        <v>10.067681117049387</v>
      </c>
      <c r="F81" s="489">
        <f t="shared" si="23"/>
        <v>11.121141099872</v>
      </c>
      <c r="G81" s="84">
        <f t="shared" si="23"/>
        <v>12.578741691747387</v>
      </c>
      <c r="H81" s="84">
        <f t="shared" si="23"/>
        <v>13.178311848817772</v>
      </c>
      <c r="I81" s="84">
        <f t="shared" si="23"/>
        <v>14.523175358174758</v>
      </c>
      <c r="J81" s="84">
        <f t="shared" si="23"/>
        <v>15.203750996352346</v>
      </c>
      <c r="K81" s="84">
        <f t="shared" si="23"/>
        <v>16.186820144179279</v>
      </c>
      <c r="L81" s="84">
        <f t="shared" si="23"/>
        <v>17.315931145943903</v>
      </c>
      <c r="M81" s="84">
        <f t="shared" si="23"/>
        <v>18.423170035302046</v>
      </c>
      <c r="N81" s="84">
        <f>SUM(N77:N80)</f>
        <v>19.02960356621135</v>
      </c>
    </row>
    <row r="82" spans="2:14">
      <c r="D82" s="1">
        <v>0</v>
      </c>
      <c r="E82" s="1">
        <v>0</v>
      </c>
      <c r="F82" s="1">
        <v>2.0852038118659699</v>
      </c>
      <c r="G82" s="1">
        <v>2.1477599262219496</v>
      </c>
      <c r="H82">
        <v>2.2121927240086072</v>
      </c>
      <c r="I82" s="1">
        <v>2.2785585057288658</v>
      </c>
      <c r="J82" s="1">
        <v>2.3469152609007318</v>
      </c>
      <c r="K82" s="1">
        <v>2.4173227187277537</v>
      </c>
      <c r="L82" s="1">
        <v>2.4898424002895871</v>
      </c>
      <c r="M82" s="1">
        <v>2.5645376722982745</v>
      </c>
      <c r="N82" s="1">
        <v>2.6414738024672224</v>
      </c>
    </row>
    <row r="83" spans="2:14">
      <c r="B83" s="2" t="s">
        <v>425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</row>
    <row r="84" spans="2:14" hidden="1">
      <c r="B84" s="407"/>
      <c r="C84" t="str">
        <f>Output_FSL!B30</f>
        <v>Dumai</v>
      </c>
      <c r="D84" s="1">
        <f>'Output_Standalone (IDR)'!J73/USD_IDR*Thousands*0</f>
        <v>0</v>
      </c>
      <c r="E84" s="1">
        <f>'Output_Standalone (IDR)'!K73/USD_IDR*Thousands*0</f>
        <v>0</v>
      </c>
      <c r="F84" s="1">
        <f>'Output_Standalone (IDR)'!L73/USD_IDR*Thousands*0</f>
        <v>0</v>
      </c>
      <c r="G84" s="1">
        <f>'Output_Standalone (IDR)'!M73/USD_IDR*Thousands*0</f>
        <v>0</v>
      </c>
      <c r="H84" s="1">
        <f>'Output_Standalone (IDR)'!N73/USD_IDR*Thousands*0</f>
        <v>0</v>
      </c>
      <c r="I84" s="1">
        <f>'Output_Standalone (IDR)'!O73/USD_IDR*Thousands*0</f>
        <v>0</v>
      </c>
      <c r="J84" s="1">
        <f>'Output_Standalone (IDR)'!P73/USD_IDR*Thousands*0</f>
        <v>0</v>
      </c>
      <c r="K84" s="1">
        <f>'Output_Standalone (IDR)'!Q73/USD_IDR*Thousands*0</f>
        <v>0</v>
      </c>
      <c r="L84" s="1">
        <f>'Output_Standalone (IDR)'!R73/USD_IDR*Thousands*0</f>
        <v>0</v>
      </c>
      <c r="M84" s="1">
        <f>'Output_Standalone (IDR)'!S73/USD_IDR*Thousands*0</f>
        <v>0</v>
      </c>
      <c r="N84" s="1">
        <f>'Output_Standalone (IDR)'!T73/USD_IDR*Thousands*0</f>
        <v>0</v>
      </c>
    </row>
    <row r="85" spans="2:14">
      <c r="C85" s="483" t="s">
        <v>391</v>
      </c>
      <c r="D85" s="480">
        <f>'Output_Standalone (IDR)'!J73/USD_IDR*Thousands</f>
        <v>0</v>
      </c>
      <c r="E85" s="480">
        <f>'Output_Standalone (IDR)'!K73/USD_IDR*Thousands</f>
        <v>0</v>
      </c>
      <c r="F85" s="480">
        <f>'Output_Standalone (IDR)'!L73/USD_IDR*Thousands</f>
        <v>1.5832042687904868</v>
      </c>
      <c r="G85" s="480">
        <f>'Output_Standalone (IDR)'!M73/USD_IDR*Thousands</f>
        <v>1.551745676509054</v>
      </c>
      <c r="H85" s="480">
        <f>'Output_Standalone (IDR)'!N73/USD_IDR*Thousands</f>
        <v>1.5195006194205856</v>
      </c>
      <c r="I85" s="480">
        <f>'Output_Standalone (IDR)'!O73/USD_IDR*Thousands</f>
        <v>1.6630447473450638</v>
      </c>
      <c r="J85" s="480">
        <f>'Output_Standalone (IDR)'!P73/USD_IDR*Thousands</f>
        <v>1.6016799512856894</v>
      </c>
      <c r="K85" s="480">
        <f>'Output_Standalone (IDR)'!Q73/USD_IDR*Thousands</f>
        <v>1.5798502687731388</v>
      </c>
      <c r="L85" s="480">
        <f>'Output_Standalone (IDR)'!R73/USD_IDR*Thousands</f>
        <v>1.5436728886946551</v>
      </c>
      <c r="M85" s="480">
        <f>'Output_Standalone (IDR)'!S73/USD_IDR*Thousands</f>
        <v>1.6940992056122752</v>
      </c>
      <c r="N85" s="480">
        <f>'Output_Standalone (IDR)'!T73/USD_IDR*Thousands</f>
        <v>1.6554574318136694</v>
      </c>
    </row>
    <row r="86" spans="2:14">
      <c r="C86" t="str">
        <f>Output_FSL!B32</f>
        <v>Cigading Expansion: Wharf 2</v>
      </c>
      <c r="D86" s="1">
        <f>'Output_Standalone (IDR)'!J144/USD_IDR*Thousands</f>
        <v>0</v>
      </c>
      <c r="E86" s="480">
        <f>'Output_Standalone (IDR)'!K144/USD_IDR*Thousands</f>
        <v>4.3488979133460113</v>
      </c>
      <c r="F86" s="480">
        <f>'Output_Standalone (IDR)'!L144/USD_IDR*Thousands</f>
        <v>4.4651861070675629</v>
      </c>
      <c r="G86" s="1">
        <f>'Output_Standalone (IDR)'!M144/USD_IDR*Thousands</f>
        <v>5.6308559189591074</v>
      </c>
      <c r="H86" s="273">
        <f>'Output_Standalone (IDR)'!N144/USD_IDR*Thousands</f>
        <v>5.7835823186874249</v>
      </c>
      <c r="I86" s="1">
        <f>'Output_Standalone (IDR)'!O144/USD_IDR*Thousands</f>
        <v>6.6061638314150422</v>
      </c>
      <c r="J86" s="1">
        <f>'Output_Standalone (IDR)'!P144/USD_IDR*Thousands</f>
        <v>6.7858753395172231</v>
      </c>
      <c r="K86" s="1">
        <f>'Output_Standalone (IDR)'!Q144/USD_IDR*Thousands</f>
        <v>7.4363292610017471</v>
      </c>
      <c r="L86" s="1">
        <f>'Output_Standalone (IDR)'!R144/USD_IDR*Thousands</f>
        <v>7.6383861797671626</v>
      </c>
      <c r="M86" s="1">
        <f>'Output_Standalone (IDR)'!S144/USD_IDR*Thousands</f>
        <v>8.3698160253414624</v>
      </c>
      <c r="N86" s="1">
        <f>'Output_Standalone (IDR)'!T144/USD_IDR*Thousands</f>
        <v>8.5969967484588903</v>
      </c>
    </row>
    <row r="87" spans="2:14">
      <c r="C87" t="str">
        <f>Output_FSL!B33</f>
        <v>Cigading Expansion: Cigading Extended Conveyor</v>
      </c>
      <c r="D87" s="1">
        <f>'Output_Standalone (IDR)'!J167/USD_IDR*Thousands</f>
        <v>0</v>
      </c>
      <c r="E87" s="1">
        <f>'Output_Standalone (IDR)'!K167/USD_IDR*Thousands</f>
        <v>1.7874500983303501</v>
      </c>
      <c r="F87" s="1">
        <f>'Output_Standalone (IDR)'!L167/USD_IDR*Thousands</f>
        <v>1.8388985876771069</v>
      </c>
      <c r="G87" s="1">
        <f>'Output_Standalone (IDR)'!M167/USD_IDR*Thousands</f>
        <v>1.891684993375834</v>
      </c>
      <c r="H87" s="273">
        <f>'Output_Standalone (IDR)'!N167/USD_IDR*Thousands</f>
        <v>1.9458369356328897</v>
      </c>
      <c r="I87" s="1">
        <f>'Output_Standalone (IDR)'!O167/USD_IDR*Thousands</f>
        <v>2.0013821009582138</v>
      </c>
      <c r="J87" s="1">
        <f>'Output_Standalone (IDR)'!P167/USD_IDR*Thousands</f>
        <v>2.0583481977302092</v>
      </c>
      <c r="K87" s="1">
        <f>'Output_Standalone (IDR)'!Q167/USD_IDR*Thousands</f>
        <v>2.1167629076003278</v>
      </c>
      <c r="L87" s="1">
        <f>'Output_Standalone (IDR)'!R167/USD_IDR*Thousands</f>
        <v>2.1766538324403872</v>
      </c>
      <c r="M87" s="1">
        <f>'Output_Standalone (IDR)'!S167/USD_IDR*Thousands</f>
        <v>2.2380484365162223</v>
      </c>
      <c r="N87" s="1">
        <f>'Output_Standalone (IDR)'!T167/USD_IDR*Thousands</f>
        <v>2.3009739835506817</v>
      </c>
    </row>
    <row r="88" spans="2:14">
      <c r="C88" t="s">
        <v>950</v>
      </c>
      <c r="D88" s="1">
        <f>'Output_Standalone (IDR)'!J213/USD_IDR*Thousands</f>
        <v>0</v>
      </c>
      <c r="E88" s="1">
        <f>'Output_Standalone (IDR)'!K213/USD_IDR*Thousands</f>
        <v>0</v>
      </c>
      <c r="F88" s="1">
        <f>'Output_Standalone (IDR)'!L213/USD_IDR*Thousands</f>
        <v>0</v>
      </c>
      <c r="G88" s="1">
        <f>'Output_Standalone (IDR)'!M213/USD_IDR*Thousands</f>
        <v>1.303997098063326</v>
      </c>
      <c r="H88" s="1">
        <f>'Output_Standalone (IDR)'!N213/USD_IDR*Thousands</f>
        <v>1.3431170110052257</v>
      </c>
      <c r="I88" s="1">
        <f>'Output_Standalone (IDR)'!O213/USD_IDR*Thousands</f>
        <v>1.3834105213353829</v>
      </c>
      <c r="J88" s="1">
        <f>'Output_Standalone (IDR)'!P213/USD_IDR*Thousands</f>
        <v>1.424912836975444</v>
      </c>
      <c r="K88" s="1">
        <f>'Output_Standalone (IDR)'!Q213/USD_IDR*Thousands</f>
        <v>1.4676602220847077</v>
      </c>
      <c r="L88" s="1">
        <f>'Output_Standalone (IDR)'!R213/USD_IDR*Thousands</f>
        <v>1.511690028747249</v>
      </c>
      <c r="M88" s="1">
        <f>'Output_Standalone (IDR)'!S213/USD_IDR*Thousands</f>
        <v>1.5570407296096667</v>
      </c>
      <c r="N88" s="1">
        <f>'Output_Standalone (IDR)'!T213/USD_IDR*Thousands</f>
        <v>1.6037519514979561</v>
      </c>
    </row>
    <row r="89" spans="2:14">
      <c r="B89" s="407"/>
      <c r="C89" s="407" t="s">
        <v>956</v>
      </c>
      <c r="D89" s="308">
        <f>'Output_Standalone (IDR)'!J190/USD_IDR*Thousands</f>
        <v>0</v>
      </c>
      <c r="E89" s="308">
        <f>'Output_Standalone (IDR)'!K190/USD_IDR*Thousands</f>
        <v>0</v>
      </c>
      <c r="F89" s="308">
        <f>'Output_Standalone (IDR)'!L190/USD_IDR*Thousands</f>
        <v>3.5855009560337159</v>
      </c>
      <c r="G89" s="308">
        <f>'Output_Standalone (IDR)'!M190/USD_IDR*Thousands</f>
        <v>3.7781367953032672</v>
      </c>
      <c r="H89" s="308">
        <f>'Output_Standalone (IDR)'!N190/USD_IDR*Thousands</f>
        <v>3.9101964774918443</v>
      </c>
      <c r="I89" s="308">
        <f>'Output_Standalone (IDR)'!O190/USD_IDR*Thousands</f>
        <v>4.0455799190666646</v>
      </c>
      <c r="J89" s="308">
        <f>'Output_Standalone (IDR)'!P190/USD_IDR*Thousands</f>
        <v>4.1843868328093174</v>
      </c>
      <c r="K89" s="308">
        <f>'Output_Standalone (IDR)'!Q190/USD_IDR*Thousands</f>
        <v>4.3267199228848314</v>
      </c>
      <c r="L89" s="308">
        <f>'Output_Standalone (IDR)'!R190/USD_IDR*Thousands</f>
        <v>4.4726849745831974</v>
      </c>
      <c r="M89" s="308">
        <f>'Output_Standalone (IDR)'!S190/USD_IDR*Thousands</f>
        <v>4.6223909467531028</v>
      </c>
      <c r="N89" s="308">
        <f>'Output_Standalone (IDR)'!T190/USD_IDR*Thousands</f>
        <v>4.775950067008691</v>
      </c>
    </row>
    <row r="90" spans="2:14">
      <c r="B90" s="407"/>
      <c r="C90" s="407" t="s">
        <v>957</v>
      </c>
      <c r="D90" s="308">
        <f>SUM(D91:D94)</f>
        <v>0</v>
      </c>
      <c r="E90" s="308">
        <f t="shared" ref="E90:N90" si="24">SUM(E91:E94)</f>
        <v>0</v>
      </c>
      <c r="F90" s="308">
        <f t="shared" si="24"/>
        <v>3.585500956033715</v>
      </c>
      <c r="G90" s="308">
        <f t="shared" si="24"/>
        <v>3.7781367953032676</v>
      </c>
      <c r="H90" s="308">
        <f t="shared" si="24"/>
        <v>5.9456111367459261</v>
      </c>
      <c r="I90" s="308">
        <f t="shared" si="24"/>
        <v>6.9027053598346111</v>
      </c>
      <c r="J90" s="308">
        <f t="shared" si="24"/>
        <v>7.3126146438635971</v>
      </c>
      <c r="K90" s="308">
        <f t="shared" si="24"/>
        <v>8.236587058024357</v>
      </c>
      <c r="L90" s="308">
        <f t="shared" si="24"/>
        <v>8.595497061634207</v>
      </c>
      <c r="M90" s="308">
        <f t="shared" si="24"/>
        <v>9.3962411457405359</v>
      </c>
      <c r="N90" s="308">
        <f t="shared" si="24"/>
        <v>9.8137164737066787</v>
      </c>
    </row>
    <row r="91" spans="2:14">
      <c r="B91" s="407"/>
      <c r="C91" s="430" t="s">
        <v>389</v>
      </c>
      <c r="D91" s="1"/>
      <c r="E91" s="1"/>
      <c r="F91" s="1">
        <f>Calculation_FSL!L1431/USD_IDR*Thousands</f>
        <v>1.4917959843843764</v>
      </c>
      <c r="G91" s="1">
        <f>Calculation_FSL!M1431/USD_IDR*Thousands</f>
        <v>1.5365498639159083</v>
      </c>
      <c r="H91" s="1">
        <f>Calculation_FSL!N1431/USD_IDR*Thousands</f>
        <v>1.5826463598333851</v>
      </c>
      <c r="I91" s="1">
        <f>Calculation_FSL!O1431/USD_IDR*Thousands</f>
        <v>1.630125750628387</v>
      </c>
      <c r="J91" s="1">
        <f>Calculation_FSL!P1431/USD_IDR*Thousands</f>
        <v>1.6790295231472383</v>
      </c>
      <c r="K91" s="1">
        <f>Calculation_FSL!Q1431/USD_IDR*Thousands</f>
        <v>1.7294004088416557</v>
      </c>
      <c r="L91" s="1">
        <f>Calculation_FSL!R1431/USD_IDR*Thousands</f>
        <v>1.7812824211069054</v>
      </c>
      <c r="M91" s="1">
        <f>Calculation_FSL!S1431/USD_IDR*Thousands</f>
        <v>1.8347208937401129</v>
      </c>
      <c r="N91" s="1">
        <f>Calculation_FSL!T1431/USD_IDR*Thousands</f>
        <v>1.8897625205523163</v>
      </c>
    </row>
    <row r="92" spans="2:14">
      <c r="B92" s="407"/>
      <c r="C92" s="430" t="s">
        <v>186</v>
      </c>
      <c r="D92" s="1">
        <f>Calculation_FSL!J1420/USD_IDR*Thousands</f>
        <v>0</v>
      </c>
      <c r="E92" s="1">
        <f>Calculation_FSL!K1420/USD_IDR*Thousands</f>
        <v>0</v>
      </c>
      <c r="F92" s="1">
        <f>Calculation_FSL!L1420/USD_IDR*Thousands</f>
        <v>1.7552613855741559</v>
      </c>
      <c r="G92" s="1">
        <f>Calculation_FSL!M1420/USD_IDR*Thousands</f>
        <v>1.8079192271413806</v>
      </c>
      <c r="H92" s="1">
        <f>Calculation_FSL!N1420/USD_IDR*Thousands</f>
        <v>1.8621568039556224</v>
      </c>
      <c r="I92" s="1">
        <f>Calculation_FSL!O1420/USD_IDR*Thousands</f>
        <v>1.9180215080742908</v>
      </c>
      <c r="J92" s="1">
        <f>Calculation_FSL!P1420/USD_IDR*Thousands</f>
        <v>1.9755621533165197</v>
      </c>
      <c r="K92" s="1">
        <f>Calculation_FSL!Q1420/USD_IDR*Thousands</f>
        <v>2.0348290179160156</v>
      </c>
      <c r="L92" s="1">
        <f>Calculation_FSL!R1420/USD_IDR*Thousands</f>
        <v>2.0958738884534953</v>
      </c>
      <c r="M92" s="1">
        <f>Calculation_FSL!S1420/USD_IDR*Thousands</f>
        <v>2.1587501051071007</v>
      </c>
      <c r="N92" s="1">
        <f>Calculation_FSL!T1420/USD_IDR*Thousands</f>
        <v>2.2235126082603136</v>
      </c>
    </row>
    <row r="93" spans="2:14">
      <c r="B93" s="407"/>
      <c r="C93" s="430" t="s">
        <v>297</v>
      </c>
      <c r="D93" s="1">
        <f>'Output_Standalone USD'!J258</f>
        <v>0</v>
      </c>
      <c r="E93" s="1">
        <f>'Output_Standalone USD'!K258</f>
        <v>0</v>
      </c>
      <c r="F93" s="1">
        <f>'Output_Standalone USD'!L258</f>
        <v>0</v>
      </c>
      <c r="G93" s="1">
        <f>'Output_Standalone USD'!M258</f>
        <v>0</v>
      </c>
      <c r="H93" s="1">
        <f>'Output_Standalone USD'!N258</f>
        <v>2.0354146592540818</v>
      </c>
      <c r="I93" s="1">
        <f>'Output_Standalone USD'!O258</f>
        <v>2.8571254407679465</v>
      </c>
      <c r="J93" s="1">
        <f>'Output_Standalone USD'!P258</f>
        <v>3.1282278110542827</v>
      </c>
      <c r="K93" s="1">
        <f>'Output_Standalone USD'!Q258</f>
        <v>3.9098671351395256</v>
      </c>
      <c r="L93" s="1">
        <f>'Output_Standalone USD'!R258</f>
        <v>4.1228120870510088</v>
      </c>
      <c r="M93" s="1">
        <f>'Output_Standalone USD'!S258</f>
        <v>4.7738501989874322</v>
      </c>
      <c r="N93" s="1">
        <f>'Output_Standalone USD'!T258</f>
        <v>5.0377664066979895</v>
      </c>
    </row>
    <row r="94" spans="2:14">
      <c r="B94" s="407"/>
      <c r="C94" s="430" t="s">
        <v>296</v>
      </c>
      <c r="D94" s="1"/>
      <c r="E94" s="1"/>
      <c r="F94" s="1">
        <f>Calculation_FSL!L1441/USD_IDR*Thousands</f>
        <v>0.33844358607518288</v>
      </c>
      <c r="G94" s="1">
        <f>Calculation_FSL!M1441/USD_IDR*Thousands</f>
        <v>0.43366770424597845</v>
      </c>
      <c r="H94" s="1">
        <f>Calculation_FSL!N1441/USD_IDR*Thousands</f>
        <v>0.46539331370283654</v>
      </c>
      <c r="I94" s="1">
        <f>Calculation_FSL!O1441/USD_IDR*Thousands</f>
        <v>0.49743266036398648</v>
      </c>
      <c r="J94" s="1">
        <f>Calculation_FSL!P1441/USD_IDR*Thousands</f>
        <v>0.52979515634555663</v>
      </c>
      <c r="K94" s="1">
        <f>Calculation_FSL!Q1441/USD_IDR*Thousands</f>
        <v>0.56249049612715996</v>
      </c>
      <c r="L94" s="1">
        <f>Calculation_FSL!R1441/USD_IDR*Thousands</f>
        <v>0.59552866502279744</v>
      </c>
      <c r="M94" s="1">
        <f>Calculation_FSL!S1441/USD_IDR*Thousands</f>
        <v>0.62891994790589001</v>
      </c>
      <c r="N94" s="1">
        <f>Calculation_FSL!T1441/USD_IDR*Thousands</f>
        <v>0.66267493819606116</v>
      </c>
    </row>
    <row r="95" spans="2:14">
      <c r="B95" s="407"/>
      <c r="C95" t="s">
        <v>953</v>
      </c>
      <c r="D95" s="308">
        <f>'Output_Standalone (IDR)'!J512/USD_IDR*Thousands</f>
        <v>0</v>
      </c>
      <c r="E95" s="308">
        <f>'Output_Standalone (IDR)'!K512/USD_IDR*Thousands</f>
        <v>0</v>
      </c>
      <c r="F95" s="308">
        <f>'Output_Standalone (IDR)'!L512/USD_IDR*Thousands</f>
        <v>0</v>
      </c>
      <c r="G95" s="308">
        <f>'Output_Standalone (IDR)'!M512/USD_IDR*Thousands</f>
        <v>0.13537784016887947</v>
      </c>
      <c r="H95" s="308">
        <f>'Output_Standalone (IDR)'!N512/USD_IDR*Thousands</f>
        <v>0.16234971948707219</v>
      </c>
      <c r="I95" s="308">
        <f>'Output_Standalone (IDR)'!O512/USD_IDR*Thousands</f>
        <v>0.16890628546455247</v>
      </c>
      <c r="J95" s="308">
        <f>'Output_Standalone (IDR)'!P512/USD_IDR*Thousands</f>
        <v>0.17581930249452041</v>
      </c>
      <c r="K95" s="308">
        <f>'Output_Standalone (IDR)'!Q512/USD_IDR*Thousands</f>
        <v>0.18311543951586698</v>
      </c>
      <c r="L95" s="308">
        <f>'Output_Standalone (IDR)'!R512/USD_IDR*Thousands</f>
        <v>0.18960871923992273</v>
      </c>
      <c r="M95" s="308">
        <f>'Output_Standalone (IDR)'!S512/USD_IDR*Thousands</f>
        <v>0.19635147432834085</v>
      </c>
      <c r="N95" s="308">
        <f>'Output_Standalone (IDR)'!T512/USD_IDR*Thousands</f>
        <v>0.20335446966041054</v>
      </c>
    </row>
    <row r="96" spans="2:14">
      <c r="B96" s="407"/>
      <c r="C96" s="430" t="s">
        <v>389</v>
      </c>
      <c r="D96" s="1">
        <f>'Output_Standalone USD'!J212</f>
        <v>0</v>
      </c>
      <c r="E96" s="1">
        <f>'Output_Standalone USD'!K212</f>
        <v>0</v>
      </c>
      <c r="F96" s="1">
        <f>'Output_Standalone USD'!L212</f>
        <v>0</v>
      </c>
      <c r="G96" s="1">
        <f>'Output_Standalone USD'!M212</f>
        <v>7.6749543486012914E-2</v>
      </c>
      <c r="H96" s="1">
        <f>'Output_Standalone USD'!N212</f>
        <v>7.9052029790593309E-2</v>
      </c>
      <c r="I96" s="1">
        <f>'Output_Standalone USD'!O212</f>
        <v>8.1423590684311084E-2</v>
      </c>
      <c r="J96" s="1">
        <f>'Output_Standalone USD'!P212</f>
        <v>8.3866298404840445E-2</v>
      </c>
      <c r="K96" s="1">
        <f>'Output_Standalone USD'!Q212</f>
        <v>8.6382287356985665E-2</v>
      </c>
      <c r="L96" s="1">
        <f>'Output_Standalone USD'!R212</f>
        <v>8.8973755977695232E-2</v>
      </c>
      <c r="M96" s="1">
        <f>'Output_Standalone USD'!S212</f>
        <v>9.1642968657026092E-2</v>
      </c>
      <c r="N96" s="1">
        <f>'Output_Standalone USD'!T212</f>
        <v>9.4392257716736871E-2</v>
      </c>
    </row>
    <row r="97" spans="2:15">
      <c r="B97" s="407"/>
      <c r="C97" s="430" t="s">
        <v>186</v>
      </c>
      <c r="D97" s="1">
        <f>'Output_Standalone USD'!J73</f>
        <v>0</v>
      </c>
      <c r="E97" s="1">
        <f>'Output_Standalone USD'!K73</f>
        <v>0</v>
      </c>
      <c r="F97" s="1">
        <f>'Output_Standalone USD'!L73</f>
        <v>0</v>
      </c>
      <c r="G97" s="1">
        <f>'Output_Standalone USD'!M73</f>
        <v>3.6457997881759879E-2</v>
      </c>
      <c r="H97" s="1">
        <f>'Output_Standalone USD'!N73</f>
        <v>3.7640271479448449E-2</v>
      </c>
      <c r="I97" s="1">
        <f>'Output_Standalone USD'!O73</f>
        <v>3.8858013285067688E-2</v>
      </c>
      <c r="J97" s="1">
        <f>'Output_Standalone USD'!P73</f>
        <v>4.0112287344855509E-2</v>
      </c>
      <c r="K97" s="1">
        <f>'Output_Standalone USD'!Q73</f>
        <v>4.1404189626436959E-2</v>
      </c>
      <c r="L97" s="1">
        <f>'Output_Standalone USD'!R73</f>
        <v>4.2734848976465845E-2</v>
      </c>
      <c r="M97" s="1">
        <f>'Output_Standalone USD'!S73</f>
        <v>4.4105428106995609E-2</v>
      </c>
      <c r="N97" s="1">
        <f>'Output_Standalone USD'!T73</f>
        <v>4.5517124611441244E-2</v>
      </c>
    </row>
    <row r="98" spans="2:15">
      <c r="B98" s="407"/>
      <c r="C98" s="430" t="s">
        <v>297</v>
      </c>
      <c r="D98" s="1">
        <f>'Output_Standalone USD'!J281</f>
        <v>0</v>
      </c>
      <c r="E98" s="1">
        <f>'Output_Standalone USD'!K281</f>
        <v>0</v>
      </c>
      <c r="F98" s="1">
        <f>'Output_Standalone USD'!L281</f>
        <v>0</v>
      </c>
      <c r="G98" s="1">
        <f>'Output_Standalone USD'!M281</f>
        <v>0</v>
      </c>
      <c r="H98" s="1">
        <f>'Output_Standalone USD'!N281</f>
        <v>2.2822010451890563E-2</v>
      </c>
      <c r="I98" s="1">
        <f>'Output_Standalone USD'!O281</f>
        <v>2.5104211497079618E-2</v>
      </c>
      <c r="J98" s="1">
        <f>'Output_Standalone USD'!P281</f>
        <v>2.7614632646787589E-2</v>
      </c>
      <c r="K98" s="1">
        <f>'Output_Standalone USD'!Q281</f>
        <v>3.0376095911466342E-2</v>
      </c>
      <c r="L98" s="1">
        <f>'Output_Standalone USD'!R281</f>
        <v>3.2198661666154337E-2</v>
      </c>
      <c r="M98" s="1">
        <f>'Output_Standalone USD'!S281</f>
        <v>3.4130581366123597E-2</v>
      </c>
      <c r="N98" s="1">
        <f>'Output_Standalone USD'!T281</f>
        <v>3.6178416248091011E-2</v>
      </c>
    </row>
    <row r="99" spans="2:15">
      <c r="B99" s="407"/>
      <c r="C99" s="430" t="s">
        <v>296</v>
      </c>
      <c r="D99" s="1">
        <f>'Output_Standalone USD'!J327</f>
        <v>0</v>
      </c>
      <c r="E99" s="1">
        <f>'Output_Standalone USD'!K327</f>
        <v>0</v>
      </c>
      <c r="F99" s="1">
        <f>'Output_Standalone USD'!L327</f>
        <v>0</v>
      </c>
      <c r="G99" s="1">
        <f>'Output_Standalone USD'!M327</f>
        <v>2.2170298801106669E-2</v>
      </c>
      <c r="H99" s="1">
        <f>'Output_Standalone USD'!N327</f>
        <v>2.2835407765139874E-2</v>
      </c>
      <c r="I99" s="1">
        <f>'Output_Standalone USD'!O327</f>
        <v>2.3520469998094071E-2</v>
      </c>
      <c r="J99" s="1">
        <f>'Output_Standalone USD'!P327</f>
        <v>2.4226084098036893E-2</v>
      </c>
      <c r="K99" s="1">
        <f>'Output_Standalone USD'!Q327</f>
        <v>2.4952866620978002E-2</v>
      </c>
      <c r="L99" s="1">
        <f>'Output_Standalone USD'!R327</f>
        <v>2.5701452619607344E-2</v>
      </c>
      <c r="M99" s="1">
        <f>'Output_Standalone USD'!S327</f>
        <v>2.6472496198195562E-2</v>
      </c>
      <c r="N99" s="1">
        <f>'Output_Standalone USD'!T327</f>
        <v>2.7266671084141433E-2</v>
      </c>
    </row>
    <row r="100" spans="2:15">
      <c r="C100" s="493" t="s">
        <v>818</v>
      </c>
      <c r="D100" s="1">
        <f>'Output_Standalone (IDR)'!J49/USD_IDR*Thousands</f>
        <v>0</v>
      </c>
      <c r="E100" s="1">
        <f>'Output_Standalone (IDR)'!K49/USD_IDR*Thousands</f>
        <v>0</v>
      </c>
      <c r="F100" s="1">
        <f>'Output_Standalone (IDR)'!L49/USD_IDR*Thousands</f>
        <v>0</v>
      </c>
      <c r="G100" s="1">
        <f>'Output_Standalone (IDR)'!M49/USD_IDR*Thousands</f>
        <v>0.81148478327697504</v>
      </c>
      <c r="H100" s="1">
        <f>'Output_Standalone (IDR)'!N49/USD_IDR*Thousands</f>
        <v>0.81148478327697504</v>
      </c>
      <c r="I100" s="1">
        <f>'Output_Standalone (IDR)'!O49/USD_IDR*Thousands</f>
        <v>0.81148478327697504</v>
      </c>
      <c r="J100" s="1">
        <f>'Output_Standalone (IDR)'!P49/USD_IDR*Thousands</f>
        <v>0.81148478327697504</v>
      </c>
      <c r="K100" s="1">
        <f>'Output_Standalone (IDR)'!Q49/USD_IDR*Thousands</f>
        <v>0.81148478327697504</v>
      </c>
      <c r="L100" s="1">
        <f>'Output_Standalone (IDR)'!R49/USD_IDR*Thousands</f>
        <v>0.81148478327697504</v>
      </c>
      <c r="M100" s="1">
        <f>'Output_Standalone (IDR)'!S49/USD_IDR*Thousands</f>
        <v>0.81148478327697504</v>
      </c>
      <c r="N100" s="1">
        <f>'Output_Standalone (IDR)'!T49/USD_IDR*Thousands</f>
        <v>0.81148478327697504</v>
      </c>
    </row>
    <row r="101" spans="2:15">
      <c r="C101" s="28" t="s">
        <v>53</v>
      </c>
      <c r="D101" s="84">
        <f>SUM(D85:D88,D90,D95,D100)</f>
        <v>0</v>
      </c>
      <c r="E101" s="84">
        <f t="shared" ref="E101:N101" si="25">SUM(E85:E88,E90,E95,E100)</f>
        <v>6.1363480116763611</v>
      </c>
      <c r="F101" s="489">
        <f t="shared" si="25"/>
        <v>11.472789919568871</v>
      </c>
      <c r="G101" s="84">
        <f t="shared" si="25"/>
        <v>15.103283105656445</v>
      </c>
      <c r="H101" s="84">
        <f t="shared" si="25"/>
        <v>17.511482524256099</v>
      </c>
      <c r="I101" s="84">
        <f t="shared" si="25"/>
        <v>19.537097629629841</v>
      </c>
      <c r="J101" s="84">
        <f t="shared" si="25"/>
        <v>20.170735055143659</v>
      </c>
      <c r="K101" s="84">
        <f t="shared" si="25"/>
        <v>21.831789940277119</v>
      </c>
      <c r="L101" s="84">
        <f t="shared" si="25"/>
        <v>22.466993493800562</v>
      </c>
      <c r="M101" s="84">
        <f t="shared" si="25"/>
        <v>24.263081800425478</v>
      </c>
      <c r="N101" s="84">
        <f t="shared" si="25"/>
        <v>24.985735841965262</v>
      </c>
    </row>
    <row r="103" spans="2:15" s="2" customFormat="1">
      <c r="B103" s="2" t="s">
        <v>455</v>
      </c>
      <c r="D103" s="2">
        <f t="shared" ref="D103:N103" si="26">SUM(D101,D81)</f>
        <v>9.4826606457339686</v>
      </c>
      <c r="E103" s="2">
        <f t="shared" si="26"/>
        <v>16.20402912872575</v>
      </c>
      <c r="F103" s="2">
        <f t="shared" si="26"/>
        <v>22.593931019440873</v>
      </c>
      <c r="G103" s="2">
        <f t="shared" si="26"/>
        <v>27.682024797403834</v>
      </c>
      <c r="H103" s="2">
        <f t="shared" si="26"/>
        <v>30.689794373073873</v>
      </c>
      <c r="I103" s="2">
        <f t="shared" si="26"/>
        <v>34.060272987804595</v>
      </c>
      <c r="J103" s="2">
        <f t="shared" si="26"/>
        <v>35.374486051496007</v>
      </c>
      <c r="K103" s="2">
        <f t="shared" si="26"/>
        <v>38.018610084456398</v>
      </c>
      <c r="L103" s="2">
        <f t="shared" si="26"/>
        <v>39.782924639744465</v>
      </c>
      <c r="M103" s="2">
        <f t="shared" si="26"/>
        <v>42.686251835727525</v>
      </c>
      <c r="N103" s="2">
        <f t="shared" si="26"/>
        <v>44.015339408176615</v>
      </c>
      <c r="O103" s="85">
        <f>_xlfn.RRI(N2-E2,E103,N103)</f>
        <v>0.11742945638392555</v>
      </c>
    </row>
    <row r="104" spans="2:15">
      <c r="N104" s="462"/>
    </row>
    <row r="105" spans="2:15">
      <c r="B105" s="407" t="s">
        <v>958</v>
      </c>
      <c r="O105" s="314">
        <f>SUM(N107:N111)/SUM(N68:N72)</f>
        <v>0.60547777218258403</v>
      </c>
    </row>
    <row r="106" spans="2:15">
      <c r="C106" s="407" t="s">
        <v>144</v>
      </c>
      <c r="D106">
        <f>SUM(D78,D86:D88,D91,D96)</f>
        <v>0.98884637374444151</v>
      </c>
      <c r="E106">
        <f t="shared" ref="E106:N106" si="27">SUM(E78,E86:E88,E91,E96)</f>
        <v>7.5498223211535169</v>
      </c>
      <c r="F106">
        <f t="shared" si="27"/>
        <v>9.2400275834225472</v>
      </c>
      <c r="G106" s="462">
        <f t="shared" si="27"/>
        <v>12.522198321157699</v>
      </c>
      <c r="H106">
        <f t="shared" si="27"/>
        <v>12.868120562298946</v>
      </c>
      <c r="I106">
        <f t="shared" si="27"/>
        <v>14.271919830362439</v>
      </c>
      <c r="J106">
        <f t="shared" si="27"/>
        <v>14.666179963747256</v>
      </c>
      <c r="K106">
        <f t="shared" si="27"/>
        <v>15.80628601251118</v>
      </c>
      <c r="L106">
        <f t="shared" si="27"/>
        <v>16.239810611134196</v>
      </c>
      <c r="M106">
        <f t="shared" si="27"/>
        <v>17.513890877923778</v>
      </c>
      <c r="N106">
        <f t="shared" si="27"/>
        <v>17.995441150045711</v>
      </c>
      <c r="O106">
        <f t="shared" ref="O106:O111" si="28">SUM(F106:N106)</f>
        <v>131.12387491260375</v>
      </c>
    </row>
    <row r="107" spans="2:15">
      <c r="C107" s="407" t="s">
        <v>297</v>
      </c>
      <c r="D107">
        <f>SUM(D93,D98)</f>
        <v>0</v>
      </c>
      <c r="E107">
        <f t="shared" ref="E107:N107" si="29">SUM(E93,E98)</f>
        <v>0</v>
      </c>
      <c r="F107">
        <f t="shared" si="29"/>
        <v>0</v>
      </c>
      <c r="G107">
        <f t="shared" si="29"/>
        <v>0</v>
      </c>
      <c r="H107">
        <f t="shared" si="29"/>
        <v>2.0582366697059724</v>
      </c>
      <c r="I107">
        <f t="shared" si="29"/>
        <v>2.8822296522650261</v>
      </c>
      <c r="J107">
        <f t="shared" si="29"/>
        <v>3.1558424437010704</v>
      </c>
      <c r="K107">
        <f t="shared" si="29"/>
        <v>3.9402432310509918</v>
      </c>
      <c r="L107">
        <f t="shared" si="29"/>
        <v>4.1550107487171628</v>
      </c>
      <c r="M107">
        <f t="shared" si="29"/>
        <v>4.8079807803535557</v>
      </c>
      <c r="N107">
        <f t="shared" si="29"/>
        <v>5.0739448229460802</v>
      </c>
      <c r="O107">
        <f t="shared" si="28"/>
        <v>26.073488348739858</v>
      </c>
    </row>
    <row r="108" spans="2:15">
      <c r="C108" s="407" t="s">
        <v>694</v>
      </c>
      <c r="D108">
        <f>D77+D92+D97+D100</f>
        <v>6.9173564370461111</v>
      </c>
      <c r="E108">
        <f t="shared" ref="E108:N108" si="30">E77+E92+E97+E100</f>
        <v>7.0961472867763415</v>
      </c>
      <c r="F108">
        <f t="shared" si="30"/>
        <v>9.0324720592290166</v>
      </c>
      <c r="G108">
        <f t="shared" si="30"/>
        <v>10.119029128052933</v>
      </c>
      <c r="H108">
        <f t="shared" si="30"/>
        <v>10.363983494460966</v>
      </c>
      <c r="I108">
        <f t="shared" si="30"/>
        <v>10.947357195510053</v>
      </c>
      <c r="J108">
        <f t="shared" si="30"/>
        <v>11.212833336778422</v>
      </c>
      <c r="K108">
        <f t="shared" si="30"/>
        <v>11.483892083317423</v>
      </c>
      <c r="L108">
        <f t="shared" si="30"/>
        <v>12.135731909753625</v>
      </c>
      <c r="M108">
        <f t="shared" si="30"/>
        <v>12.429316693357233</v>
      </c>
      <c r="N108">
        <f t="shared" si="30"/>
        <v>12.728872627693441</v>
      </c>
      <c r="O108">
        <f t="shared" si="28"/>
        <v>100.45348852815312</v>
      </c>
    </row>
    <row r="109" spans="2:15">
      <c r="C109" s="483" t="s">
        <v>391</v>
      </c>
      <c r="D109">
        <f>D85</f>
        <v>0</v>
      </c>
      <c r="E109">
        <f t="shared" ref="E109:N109" si="31">E85</f>
        <v>0</v>
      </c>
      <c r="F109">
        <f t="shared" si="31"/>
        <v>1.5832042687904868</v>
      </c>
      <c r="G109">
        <f t="shared" si="31"/>
        <v>1.551745676509054</v>
      </c>
      <c r="H109">
        <f t="shared" si="31"/>
        <v>1.5195006194205856</v>
      </c>
      <c r="I109">
        <f t="shared" si="31"/>
        <v>1.6630447473450638</v>
      </c>
      <c r="J109">
        <f t="shared" si="31"/>
        <v>1.6016799512856894</v>
      </c>
      <c r="K109">
        <f t="shared" si="31"/>
        <v>1.5798502687731388</v>
      </c>
      <c r="L109">
        <f t="shared" si="31"/>
        <v>1.5436728886946551</v>
      </c>
      <c r="M109">
        <f t="shared" si="31"/>
        <v>1.6940992056122752</v>
      </c>
      <c r="N109">
        <f t="shared" si="31"/>
        <v>1.6554574318136694</v>
      </c>
      <c r="O109">
        <f t="shared" si="28"/>
        <v>14.392255058244618</v>
      </c>
    </row>
    <row r="110" spans="2:15">
      <c r="C110" s="407" t="s">
        <v>296</v>
      </c>
      <c r="D110">
        <f>D94+D79+D99</f>
        <v>0.68525085545347209</v>
      </c>
      <c r="E110">
        <f t="shared" ref="E110:N110" si="32">E94+E79+E99</f>
        <v>0.70065056639623902</v>
      </c>
      <c r="F110">
        <f t="shared" si="32"/>
        <v>1.7099292057036288</v>
      </c>
      <c r="G110">
        <f t="shared" si="32"/>
        <v>2.3558773271729421</v>
      </c>
      <c r="H110">
        <f t="shared" si="32"/>
        <v>2.6329420254080227</v>
      </c>
      <c r="I110">
        <f t="shared" si="32"/>
        <v>2.925176227906809</v>
      </c>
      <c r="J110">
        <f t="shared" si="32"/>
        <v>3.2333755561284865</v>
      </c>
      <c r="K110">
        <f t="shared" si="32"/>
        <v>3.5583767739991266</v>
      </c>
      <c r="L110">
        <f t="shared" si="32"/>
        <v>3.9010599704464366</v>
      </c>
      <c r="M110">
        <f t="shared" si="32"/>
        <v>4.2623508620415391</v>
      </c>
      <c r="N110">
        <f t="shared" si="32"/>
        <v>4.6432232225832824</v>
      </c>
      <c r="O110">
        <f t="shared" si="28"/>
        <v>29.222311171390274</v>
      </c>
    </row>
    <row r="111" spans="2:15">
      <c r="C111" s="407" t="s">
        <v>298</v>
      </c>
      <c r="D111">
        <f>D80</f>
        <v>0.89120697948994432</v>
      </c>
      <c r="E111">
        <f t="shared" ref="E111:N111" si="33">E80</f>
        <v>0.85740895439965048</v>
      </c>
      <c r="F111">
        <f t="shared" si="33"/>
        <v>1.0282979022951941</v>
      </c>
      <c r="G111">
        <f t="shared" si="33"/>
        <v>1.1331743445112041</v>
      </c>
      <c r="H111">
        <f t="shared" si="33"/>
        <v>1.2470110017793805</v>
      </c>
      <c r="I111">
        <f t="shared" si="33"/>
        <v>1.3705453344152123</v>
      </c>
      <c r="J111">
        <f t="shared" si="33"/>
        <v>1.5045747998550836</v>
      </c>
      <c r="K111">
        <f t="shared" si="33"/>
        <v>1.6499617148045416</v>
      </c>
      <c r="L111">
        <f t="shared" si="33"/>
        <v>1.8076385109983861</v>
      </c>
      <c r="M111">
        <f t="shared" si="33"/>
        <v>1.9786134164391471</v>
      </c>
      <c r="N111">
        <f t="shared" si="33"/>
        <v>1.9184001530944297</v>
      </c>
      <c r="O111">
        <f t="shared" si="28"/>
        <v>13.63821717819258</v>
      </c>
    </row>
    <row r="112" spans="2:15">
      <c r="C112" s="28" t="s">
        <v>53</v>
      </c>
      <c r="D112" s="93">
        <v>11</v>
      </c>
      <c r="E112" s="28">
        <f t="shared" ref="E112:N112" si="34">SUM(E106:E111)</f>
        <v>16.20402912872575</v>
      </c>
      <c r="F112" s="28">
        <f t="shared" si="34"/>
        <v>22.59393101944087</v>
      </c>
      <c r="G112" s="28">
        <f t="shared" si="34"/>
        <v>27.68202479740383</v>
      </c>
      <c r="H112" s="28">
        <f t="shared" si="34"/>
        <v>30.689794373073877</v>
      </c>
      <c r="I112" s="28">
        <f t="shared" si="34"/>
        <v>34.060272987804602</v>
      </c>
      <c r="J112" s="28">
        <f t="shared" si="34"/>
        <v>35.374486051496007</v>
      </c>
      <c r="K112" s="28">
        <f t="shared" si="34"/>
        <v>38.018610084456398</v>
      </c>
      <c r="L112" s="28">
        <f t="shared" si="34"/>
        <v>39.782924639744472</v>
      </c>
      <c r="M112" s="28">
        <f t="shared" si="34"/>
        <v>42.686251835727525</v>
      </c>
      <c r="N112" s="28">
        <f t="shared" si="34"/>
        <v>44.015339408176615</v>
      </c>
    </row>
    <row r="115" spans="2:16" ht="15.75">
      <c r="B115" s="15" t="s">
        <v>959</v>
      </c>
    </row>
    <row r="116" spans="2:16">
      <c r="B116" s="429" t="s">
        <v>960</v>
      </c>
      <c r="C116" s="54"/>
      <c r="D116" s="205">
        <f>'Call Rights'!J29</f>
        <v>1</v>
      </c>
      <c r="E116" s="205">
        <f>'Call Rights'!K29</f>
        <v>1</v>
      </c>
      <c r="F116" s="205">
        <f>'Call Rights'!L29</f>
        <v>0.81670038000455869</v>
      </c>
      <c r="G116" s="205">
        <f>'Call Rights'!M29</f>
        <v>0.76</v>
      </c>
      <c r="H116" s="205">
        <f>'Call Rights'!N29</f>
        <v>0.76</v>
      </c>
      <c r="I116" s="205">
        <f>'Call Rights'!O29</f>
        <v>0.76</v>
      </c>
      <c r="J116" s="205">
        <f>'Call Rights'!P29</f>
        <v>0.76</v>
      </c>
      <c r="K116" s="205">
        <f>'Call Rights'!Q29</f>
        <v>0.76</v>
      </c>
      <c r="L116" s="205">
        <f>'Call Rights'!R29</f>
        <v>0.76</v>
      </c>
      <c r="M116" s="205">
        <f>'Call Rights'!S29</f>
        <v>0.76</v>
      </c>
      <c r="N116" s="205">
        <f>'Call Rights'!T29</f>
        <v>0.76</v>
      </c>
    </row>
    <row r="117" spans="2:16">
      <c r="B117" s="429" t="s">
        <v>961</v>
      </c>
      <c r="C117" s="54"/>
      <c r="D117" s="205">
        <f>'Call Rights'!J38</f>
        <v>0</v>
      </c>
      <c r="E117" s="205">
        <f>'Call Rights'!K38</f>
        <v>0</v>
      </c>
      <c r="F117" s="205">
        <f>'Call Rights'!L38</f>
        <v>0.18329961999544131</v>
      </c>
      <c r="G117" s="205">
        <f>'Call Rights'!M38</f>
        <v>0.24</v>
      </c>
      <c r="H117" s="205">
        <f>'Call Rights'!N38</f>
        <v>0.24</v>
      </c>
      <c r="I117" s="205">
        <f>'Call Rights'!O38</f>
        <v>0.24</v>
      </c>
      <c r="J117" s="205">
        <f>'Call Rights'!P38</f>
        <v>0.24</v>
      </c>
      <c r="K117" s="205">
        <f>'Call Rights'!Q38</f>
        <v>0.24</v>
      </c>
      <c r="L117" s="205">
        <f>'Call Rights'!R38</f>
        <v>0.24</v>
      </c>
      <c r="M117" s="205">
        <f>'Call Rights'!S38</f>
        <v>0.24</v>
      </c>
      <c r="N117" s="205">
        <f>'Call Rights'!T38</f>
        <v>0.24</v>
      </c>
    </row>
    <row r="119" spans="2:16">
      <c r="B119" s="429" t="s">
        <v>960</v>
      </c>
      <c r="C119" s="54"/>
      <c r="D119" s="54">
        <f>D103*'Call Rights'!J29</f>
        <v>9.4826606457339686</v>
      </c>
      <c r="E119" s="54">
        <f>E103*'Call Rights'!K29</f>
        <v>16.20402912872575</v>
      </c>
      <c r="F119" s="54">
        <f>F103*'Call Rights'!L29</f>
        <v>18.452472049374148</v>
      </c>
      <c r="G119" s="54">
        <f>G103*'Call Rights'!M29</f>
        <v>21.038338846026914</v>
      </c>
      <c r="H119" s="54">
        <f>H103*'Call Rights'!N29</f>
        <v>23.324243723536142</v>
      </c>
      <c r="I119" s="54">
        <f>I103*'Call Rights'!O29</f>
        <v>25.885807470731493</v>
      </c>
      <c r="J119" s="54">
        <f>J103*'Call Rights'!P29</f>
        <v>26.884609399136966</v>
      </c>
      <c r="K119" s="54">
        <f>K103*'Call Rights'!Q29</f>
        <v>28.894143664186863</v>
      </c>
      <c r="L119" s="54">
        <f>L103*'Call Rights'!R29</f>
        <v>30.235022726205795</v>
      </c>
      <c r="M119" s="54">
        <f>M103*'Call Rights'!S29</f>
        <v>32.441551395152921</v>
      </c>
      <c r="N119" s="54">
        <f>N103*'Call Rights'!T29</f>
        <v>33.451657950214226</v>
      </c>
    </row>
    <row r="120" spans="2:16">
      <c r="B120" s="429" t="s">
        <v>961</v>
      </c>
      <c r="C120" s="54"/>
      <c r="D120" s="54">
        <f>D103*'Call Rights'!J38</f>
        <v>0</v>
      </c>
      <c r="E120" s="54">
        <f>E103*'Call Rights'!K38</f>
        <v>0</v>
      </c>
      <c r="F120" s="54">
        <f>F103*'Call Rights'!L38</f>
        <v>4.1414589700667257</v>
      </c>
      <c r="G120" s="54">
        <f>G103*'Call Rights'!M38</f>
        <v>6.64368595137692</v>
      </c>
      <c r="H120" s="54">
        <f>H103*'Call Rights'!N38</f>
        <v>7.3655506495377292</v>
      </c>
      <c r="I120" s="54">
        <f>I103*'Call Rights'!O38</f>
        <v>8.1744655170731022</v>
      </c>
      <c r="J120" s="54">
        <f>J103*'Call Rights'!P38</f>
        <v>8.4898766523590421</v>
      </c>
      <c r="K120" s="54">
        <f>K103*'Call Rights'!Q38</f>
        <v>9.1244664202695347</v>
      </c>
      <c r="L120" s="54">
        <f>L103*'Call Rights'!R38</f>
        <v>9.5479019135386718</v>
      </c>
      <c r="M120" s="54">
        <f>M103*'Call Rights'!S38</f>
        <v>10.244700440574606</v>
      </c>
      <c r="N120" s="54">
        <f>N103*'Call Rights'!T38</f>
        <v>10.563681457962387</v>
      </c>
    </row>
    <row r="122" spans="2:16" ht="15.75">
      <c r="B122" s="15" t="s">
        <v>962</v>
      </c>
      <c r="O122" s="1">
        <f>O123-O127</f>
        <v>6.3092656399130576</v>
      </c>
    </row>
    <row r="123" spans="2:16">
      <c r="B123" s="429" t="s">
        <v>963</v>
      </c>
      <c r="C123" s="54"/>
      <c r="D123" s="263">
        <f>'Call Rights'!J53</f>
        <v>0</v>
      </c>
      <c r="E123" s="263">
        <f>'Call Rights'!K53</f>
        <v>0</v>
      </c>
      <c r="F123" s="416">
        <f>'Call Rights'!L53</f>
        <v>2.0059017452535408</v>
      </c>
      <c r="G123" s="416">
        <f>'Call Rights'!M53</f>
        <v>2.633312804518428</v>
      </c>
      <c r="H123" s="410">
        <f>'Call Rights'!N53</f>
        <v>3.0126513775262604</v>
      </c>
      <c r="I123" s="410">
        <f>'Call Rights'!O53</f>
        <v>3.4947810780687538</v>
      </c>
      <c r="J123" s="410">
        <f>'Call Rights'!P53</f>
        <v>3.685130820252021</v>
      </c>
      <c r="K123" s="410">
        <f>'Call Rights'!Q53</f>
        <v>4.0739002366915686</v>
      </c>
      <c r="L123" s="410">
        <f>'Call Rights'!R53</f>
        <v>4.2939431844789251</v>
      </c>
      <c r="M123" s="410">
        <f>'Call Rights'!S53</f>
        <v>4.7205485651384782</v>
      </c>
      <c r="N123" s="410">
        <f>'Call Rights'!T53</f>
        <v>4.9604358710341874</v>
      </c>
      <c r="O123" s="1">
        <f>SUM(F123:N123)</f>
        <v>32.880605682962162</v>
      </c>
    </row>
    <row r="124" spans="2:16">
      <c r="B124" s="429" t="s">
        <v>964</v>
      </c>
      <c r="C124" s="54"/>
      <c r="D124" s="263">
        <f>'Call Rights'!J60</f>
        <v>0</v>
      </c>
      <c r="E124" s="263">
        <f>'Call Rights'!K60</f>
        <v>0</v>
      </c>
      <c r="F124" s="466">
        <f>'Call Rights'!L60</f>
        <v>0.45020308139334303</v>
      </c>
      <c r="G124" s="263">
        <f>'Call Rights'!M60</f>
        <v>0.83157246458476675</v>
      </c>
      <c r="H124" s="263">
        <f>'Call Rights'!N60</f>
        <v>0.95136359290302963</v>
      </c>
      <c r="I124" s="263">
        <f>'Call Rights'!O60</f>
        <v>1.1036150772848694</v>
      </c>
      <c r="J124" s="263">
        <f>'Call Rights'!P60</f>
        <v>1.1637255221848486</v>
      </c>
      <c r="K124" s="263">
        <f>'Call Rights'!Q60</f>
        <v>1.2864948115868111</v>
      </c>
      <c r="L124" s="263">
        <f>'Call Rights'!R60</f>
        <v>1.3559820582565025</v>
      </c>
      <c r="M124" s="263">
        <f>'Call Rights'!S60</f>
        <v>1.4906995468858351</v>
      </c>
      <c r="N124" s="263">
        <f>'Call Rights'!T60</f>
        <v>1.5664534329581645</v>
      </c>
      <c r="O124" s="1">
        <f>SUM(F124:N124)</f>
        <v>10.20010958803817</v>
      </c>
    </row>
    <row r="125" spans="2:16">
      <c r="B125" s="407" t="s">
        <v>965</v>
      </c>
      <c r="D125" s="88">
        <f>'Call Rights'!J19*85%</f>
        <v>0.33094356898240918</v>
      </c>
      <c r="E125" s="88">
        <f>'Call Rights'!K19*85%</f>
        <v>2.1062998608935093</v>
      </c>
      <c r="F125" s="88">
        <f>'Call Rights'!L19*85%</f>
        <v>2.4561048266468841</v>
      </c>
      <c r="G125" s="22">
        <f>'Call Rights'!M19*85%</f>
        <v>3.4648852691031951</v>
      </c>
      <c r="H125" s="22">
        <f>'Call Rights'!N19*85%</f>
        <v>3.9640149704292904</v>
      </c>
      <c r="I125" s="22">
        <f>'Call Rights'!O19*85%</f>
        <v>4.5983961553536234</v>
      </c>
      <c r="J125" s="22">
        <f>'Call Rights'!P19*85%</f>
        <v>4.8488563424368696</v>
      </c>
      <c r="K125" s="22">
        <f>'Call Rights'!Q19*85%</f>
        <v>5.36039504827838</v>
      </c>
      <c r="L125" s="88">
        <f>'Call Rights'!R19*85%</f>
        <v>5.649925242735427</v>
      </c>
      <c r="M125" s="22">
        <f>'Call Rights'!S19*85%</f>
        <v>6.2112481120243137</v>
      </c>
      <c r="N125" s="22">
        <f>'Call Rights'!T19*85%</f>
        <v>6.5268893039923519</v>
      </c>
      <c r="O125" s="1"/>
      <c r="P125" s="22">
        <v>4.0577963425047949</v>
      </c>
    </row>
    <row r="126" spans="2:16">
      <c r="F126" s="1"/>
      <c r="G126" s="1"/>
      <c r="H126" s="1"/>
      <c r="I126" s="1"/>
      <c r="J126" s="1"/>
      <c r="O126" s="1"/>
      <c r="P126" s="22">
        <v>7.2477199621667641</v>
      </c>
    </row>
    <row r="127" spans="2:16">
      <c r="C127" s="407" t="s">
        <v>966</v>
      </c>
      <c r="D127" s="419">
        <v>0.33094356898240918</v>
      </c>
      <c r="E127" s="417">
        <v>2.1062998608935093</v>
      </c>
      <c r="F127" s="418">
        <v>1.5364025002864927</v>
      </c>
      <c r="G127" s="418">
        <v>2.2335878166250196</v>
      </c>
      <c r="H127" s="418">
        <v>2.3835972147075721</v>
      </c>
      <c r="I127" s="418">
        <v>2.7898277245336005</v>
      </c>
      <c r="J127" s="418">
        <v>2.9614199195802926</v>
      </c>
      <c r="K127" s="418">
        <v>3.2836587153225274</v>
      </c>
      <c r="L127" s="418">
        <v>3.4990409829275406</v>
      </c>
      <c r="M127" s="418">
        <v>3.8609100839303179</v>
      </c>
      <c r="N127" s="418">
        <v>4.022895085135743</v>
      </c>
      <c r="O127" s="1">
        <f>SUM(F127:N127)</f>
        <v>26.571340043049105</v>
      </c>
      <c r="P127" s="22"/>
    </row>
    <row r="128" spans="2:16" hidden="1">
      <c r="C128" s="407" t="s">
        <v>967</v>
      </c>
      <c r="D128" s="22">
        <v>0.98131102623982602</v>
      </c>
      <c r="E128" s="22">
        <v>2.4779998363453051</v>
      </c>
      <c r="F128" s="22">
        <v>2.0978805517260493</v>
      </c>
      <c r="G128" s="22">
        <v>2.3043453787057162</v>
      </c>
      <c r="H128" s="22">
        <v>2.6937065160951863</v>
      </c>
      <c r="I128" s="22">
        <v>3.9654765798823743</v>
      </c>
      <c r="J128" s="22">
        <v>4.9478796137243046</v>
      </c>
      <c r="K128" s="22">
        <v>5.652406703431228</v>
      </c>
      <c r="L128" s="22">
        <v>5.8320896271185569</v>
      </c>
      <c r="M128" s="22">
        <v>6.4811916564103509</v>
      </c>
      <c r="N128" s="22">
        <v>6.8095383662555227</v>
      </c>
      <c r="O128" s="22">
        <v>6.9505214088124472</v>
      </c>
      <c r="P128" s="22"/>
    </row>
    <row r="129" spans="2:16">
      <c r="C129" s="407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</row>
    <row r="130" spans="2:16" ht="15.75">
      <c r="B130" s="15" t="s">
        <v>324</v>
      </c>
      <c r="E130" s="9" t="s">
        <v>406</v>
      </c>
      <c r="F130" s="9" t="s">
        <v>968</v>
      </c>
    </row>
    <row r="131" spans="2:16" hidden="1">
      <c r="C131" t="s">
        <v>669</v>
      </c>
      <c r="D131" s="1"/>
      <c r="E131" s="1">
        <f>Calculation_FSL!F192*0</f>
        <v>0</v>
      </c>
      <c r="F131" s="1"/>
      <c r="G131" s="1"/>
      <c r="H131" s="1"/>
      <c r="I131" s="1"/>
      <c r="J131" s="1"/>
      <c r="K131" s="1"/>
      <c r="L131" s="1"/>
      <c r="M131" s="1"/>
      <c r="N131" s="1"/>
    </row>
    <row r="132" spans="2:16">
      <c r="C132" t="s">
        <v>294</v>
      </c>
      <c r="D132" s="1"/>
      <c r="E132" s="23">
        <f>Calculation_FSL!F369</f>
        <v>12.8</v>
      </c>
      <c r="F132" s="1">
        <f>E132</f>
        <v>12.8</v>
      </c>
      <c r="G132" s="1"/>
      <c r="H132" s="1"/>
      <c r="I132" s="1"/>
      <c r="J132" s="1"/>
      <c r="K132" s="1"/>
      <c r="L132" s="1"/>
      <c r="M132" s="1"/>
      <c r="N132" s="1"/>
    </row>
    <row r="133" spans="2:16">
      <c r="C133" t="s">
        <v>295</v>
      </c>
      <c r="D133" s="1"/>
      <c r="E133" s="23">
        <f>Calculation_FSL!F412</f>
        <v>8</v>
      </c>
      <c r="F133" s="1">
        <f>E133</f>
        <v>8</v>
      </c>
      <c r="G133" s="1"/>
      <c r="H133" s="1"/>
      <c r="I133" s="1"/>
      <c r="J133" s="1"/>
      <c r="K133" s="1"/>
      <c r="L133" s="1"/>
      <c r="M133" s="1"/>
      <c r="N133" s="1"/>
    </row>
    <row r="134" spans="2:16">
      <c r="B134">
        <v>1</v>
      </c>
      <c r="C134" s="439" t="s">
        <v>932</v>
      </c>
      <c r="D134" s="1"/>
      <c r="E134" s="23">
        <f>Input!$J$1270</f>
        <v>6.0245926836766062</v>
      </c>
      <c r="F134" s="1">
        <v>0</v>
      </c>
      <c r="G134" s="1"/>
      <c r="H134" s="1"/>
      <c r="I134" s="1"/>
      <c r="J134" s="1"/>
      <c r="K134" s="1"/>
      <c r="L134" s="1"/>
      <c r="M134" s="1"/>
      <c r="N134" s="1"/>
    </row>
    <row r="135" spans="2:16">
      <c r="B135">
        <f>B134+1</f>
        <v>2</v>
      </c>
      <c r="C135" s="493" t="s">
        <v>826</v>
      </c>
      <c r="D135" s="1"/>
      <c r="E135" s="458">
        <f>Input!$J$1264</f>
        <v>3.7622963418383031</v>
      </c>
      <c r="F135" s="1"/>
      <c r="G135" s="1"/>
      <c r="H135" s="1"/>
      <c r="I135" s="1"/>
      <c r="J135" s="1"/>
      <c r="K135" s="1"/>
      <c r="L135" s="1"/>
      <c r="M135" s="1"/>
      <c r="N135" s="1"/>
    </row>
    <row r="136" spans="2:16">
      <c r="B136">
        <f>B135+1</f>
        <v>3</v>
      </c>
      <c r="C136" t="s">
        <v>296</v>
      </c>
      <c r="D136" s="1"/>
      <c r="E136" s="23">
        <f>Calculation_FSL!F600</f>
        <v>14.024592683676605</v>
      </c>
      <c r="F136" s="1">
        <v>14</v>
      </c>
      <c r="G136" s="1"/>
      <c r="H136" s="1"/>
      <c r="I136" s="1"/>
      <c r="J136" s="1"/>
      <c r="K136" s="1"/>
      <c r="L136" s="1"/>
      <c r="M136" s="1"/>
      <c r="N136" s="1"/>
    </row>
    <row r="137" spans="2:16">
      <c r="B137">
        <f>B136+1</f>
        <v>4</v>
      </c>
      <c r="C137" t="s">
        <v>297</v>
      </c>
      <c r="D137" s="1"/>
      <c r="E137" s="23">
        <f>Calculation_FSL!F524</f>
        <v>5.0245926836766062</v>
      </c>
      <c r="F137" s="1">
        <v>17</v>
      </c>
      <c r="G137" s="1"/>
      <c r="H137" s="1"/>
      <c r="I137" s="1"/>
      <c r="J137" s="1"/>
      <c r="K137" s="1"/>
      <c r="L137" s="1"/>
      <c r="M137" s="1"/>
      <c r="N137" s="1"/>
    </row>
    <row r="138" spans="2:16">
      <c r="B138">
        <f>B137+1</f>
        <v>5</v>
      </c>
      <c r="C138" s="483" t="s">
        <v>391</v>
      </c>
      <c r="D138" s="1"/>
      <c r="E138" s="458">
        <f>Calculation_FSL!L1474+Calculation_FSL!M1474</f>
        <v>6.8095238095238102</v>
      </c>
      <c r="F138" s="1">
        <f>E138</f>
        <v>6.8095238095238102</v>
      </c>
      <c r="G138" s="1"/>
      <c r="H138" s="1"/>
      <c r="I138" s="1"/>
      <c r="J138" s="1"/>
      <c r="K138" s="1"/>
      <c r="L138" s="1"/>
      <c r="M138" s="1"/>
      <c r="N138" s="1"/>
    </row>
    <row r="139" spans="2:16">
      <c r="B139" s="407"/>
      <c r="C139" s="28" t="s">
        <v>53</v>
      </c>
      <c r="D139" s="28"/>
      <c r="E139" s="28">
        <f>SUM(E131:E138)</f>
        <v>56.445598202391935</v>
      </c>
      <c r="F139" s="28">
        <f>SUM(F131:F138)</f>
        <v>58.609523809523807</v>
      </c>
    </row>
    <row r="140" spans="2:16">
      <c r="B140" s="407"/>
      <c r="E140" s="22">
        <f>SUM(E134:E138)</f>
        <v>35.64559820239193</v>
      </c>
    </row>
    <row r="141" spans="2:16" ht="24" thickBot="1">
      <c r="B141" s="14" t="s">
        <v>969</v>
      </c>
      <c r="C141" s="237"/>
      <c r="D141" s="237"/>
      <c r="E141" s="237"/>
      <c r="F141" s="237"/>
      <c r="G141" s="237" t="s">
        <v>970</v>
      </c>
      <c r="H141" s="237"/>
      <c r="I141" s="237"/>
      <c r="J141" s="237"/>
      <c r="K141" s="237"/>
      <c r="L141" s="237"/>
      <c r="M141" s="237"/>
      <c r="N141" s="237"/>
    </row>
    <row r="142" spans="2:16" ht="15.75">
      <c r="C142" s="15" t="s">
        <v>971</v>
      </c>
      <c r="D142" s="270" t="s">
        <v>54</v>
      </c>
      <c r="E142" s="270" t="s">
        <v>972</v>
      </c>
      <c r="H142" s="15" t="s">
        <v>971</v>
      </c>
      <c r="I142" s="270" t="s">
        <v>54</v>
      </c>
      <c r="J142" s="270" t="s">
        <v>972</v>
      </c>
    </row>
    <row r="143" spans="2:16">
      <c r="C143" s="54" t="s">
        <v>294</v>
      </c>
      <c r="D143" s="271" t="e">
        <f>'Return_New Assumption'!H83</f>
        <v>#NUM!</v>
      </c>
      <c r="E143" s="263">
        <f>'Return_New Assumption'!H84</f>
        <v>0</v>
      </c>
      <c r="H143" s="54" t="s">
        <v>294</v>
      </c>
      <c r="I143" s="271">
        <v>0.41903420172650896</v>
      </c>
      <c r="J143" s="263">
        <v>3.7417867443202635</v>
      </c>
    </row>
    <row r="144" spans="2:16">
      <c r="C144" s="54" t="s">
        <v>295</v>
      </c>
      <c r="D144" s="271" t="e">
        <f>'Return_New Assumption'!H124</f>
        <v>#NUM!</v>
      </c>
      <c r="E144" s="263">
        <f>'Return_New Assumption'!H125</f>
        <v>0</v>
      </c>
      <c r="H144" s="54" t="s">
        <v>295</v>
      </c>
      <c r="I144" s="271">
        <v>0.17488140359379578</v>
      </c>
      <c r="J144" s="263">
        <v>6.1716786792598644</v>
      </c>
    </row>
    <row r="145" spans="3:10">
      <c r="C145" s="440" t="s">
        <v>410</v>
      </c>
      <c r="D145" s="414">
        <f>'Return_New Assumption'!H206</f>
        <v>0.11836248216578604</v>
      </c>
      <c r="E145" s="415">
        <f>'Return_New Assumption'!H207</f>
        <v>6.9318011578160847</v>
      </c>
      <c r="H145" s="429" t="s">
        <v>410</v>
      </c>
      <c r="I145" s="271">
        <v>0.11836248216578604</v>
      </c>
      <c r="J145" s="263">
        <v>6.9318011578160847</v>
      </c>
    </row>
    <row r="146" spans="3:10">
      <c r="C146" s="491" t="s">
        <v>818</v>
      </c>
      <c r="D146" s="414">
        <f>'Return_New Assumption'!H165</f>
        <v>0.12284299190593129</v>
      </c>
      <c r="E146" s="415">
        <f>'Return_New Assumption'!H166</f>
        <v>6.6009728578366103</v>
      </c>
      <c r="H146" s="429" t="s">
        <v>186</v>
      </c>
      <c r="I146" s="271">
        <v>0.17093981642099831</v>
      </c>
      <c r="J146" s="263">
        <v>6.0543276279124294</v>
      </c>
    </row>
    <row r="147" spans="3:10">
      <c r="C147" s="229" t="s">
        <v>296</v>
      </c>
      <c r="D147" s="414">
        <f>'Return_New Assumption'!H247</f>
        <v>0.14657863789355585</v>
      </c>
      <c r="E147" s="415">
        <f>'Return_New Assumption'!H248</f>
        <v>6.7940888321196073</v>
      </c>
      <c r="H147" s="54" t="s">
        <v>296</v>
      </c>
      <c r="I147" s="271">
        <v>0.14657863789355585</v>
      </c>
      <c r="J147" s="263">
        <v>6.7940888321196073</v>
      </c>
    </row>
    <row r="148" spans="3:10">
      <c r="C148" s="229" t="s">
        <v>297</v>
      </c>
      <c r="D148" s="414">
        <f>'Return_New Assumption'!H288</f>
        <v>0.38066209217298508</v>
      </c>
      <c r="E148" s="415">
        <f>'Return_New Assumption'!H289</f>
        <v>4.6580469705225696</v>
      </c>
      <c r="H148" s="54" t="s">
        <v>297</v>
      </c>
      <c r="I148" s="271">
        <v>0.37342343682559509</v>
      </c>
      <c r="J148" s="263">
        <v>4.6476817902236567</v>
      </c>
    </row>
    <row r="149" spans="3:10">
      <c r="C149" s="478" t="s">
        <v>391</v>
      </c>
      <c r="D149" s="414">
        <f>'Return_New Assumption'!H42</f>
        <v>0.20636566844898629</v>
      </c>
      <c r="E149" s="415">
        <f>'Return_New Assumption'!H43</f>
        <v>5.1218486477341978</v>
      </c>
      <c r="H149" s="54" t="s">
        <v>299</v>
      </c>
      <c r="I149" s="271">
        <v>0.13421385985937806</v>
      </c>
      <c r="J149" s="263">
        <v>6.6095216417453662</v>
      </c>
    </row>
    <row r="150" spans="3:10">
      <c r="E150" s="1"/>
      <c r="J150" s="1"/>
    </row>
    <row r="151" spans="3:10">
      <c r="C151" s="54" t="s">
        <v>973</v>
      </c>
      <c r="D151" s="492">
        <f>'Return_New Assumption'!H371</f>
        <v>0.1966488143145475</v>
      </c>
      <c r="E151" s="263">
        <f>'Return_New Assumption'!H372</f>
        <v>7.9369043038974283</v>
      </c>
      <c r="H151" s="54" t="s">
        <v>973</v>
      </c>
      <c r="I151" s="271">
        <v>0.24424422156404257</v>
      </c>
      <c r="J151" s="263">
        <v>7.3569753018995385</v>
      </c>
    </row>
    <row r="152" spans="3:10">
      <c r="E152" s="1"/>
    </row>
    <row r="153" spans="3:10">
      <c r="C153" s="54" t="s">
        <v>974</v>
      </c>
      <c r="D153" s="271">
        <f>Output_FSL!J137</f>
        <v>2.1644236803054815</v>
      </c>
      <c r="E153" s="263">
        <f>Output_FSL!J138</f>
        <v>3.4319289097624335</v>
      </c>
    </row>
    <row r="155" spans="3:10">
      <c r="D155" s="1">
        <v>0.2840475714759656</v>
      </c>
      <c r="E155" s="1">
        <v>5.9469085673030424</v>
      </c>
    </row>
    <row r="158" spans="3:10" ht="90">
      <c r="C158" s="407" t="s">
        <v>975</v>
      </c>
      <c r="D158" s="267" t="s">
        <v>976</v>
      </c>
      <c r="E158" s="267" t="s">
        <v>977</v>
      </c>
      <c r="F158" s="441" t="s">
        <v>978</v>
      </c>
      <c r="G158" s="267" t="s">
        <v>979</v>
      </c>
      <c r="I158" s="442" t="s">
        <v>980</v>
      </c>
    </row>
    <row r="159" spans="3:10">
      <c r="C159" s="429" t="s">
        <v>981</v>
      </c>
      <c r="D159" s="54">
        <v>0</v>
      </c>
      <c r="E159" s="54">
        <v>114.06625308077777</v>
      </c>
      <c r="F159" s="225">
        <f>D159/E159</f>
        <v>0</v>
      </c>
      <c r="G159" s="265">
        <f>E159/13</f>
        <v>8.774327160059828</v>
      </c>
      <c r="I159" s="54">
        <f>G159*11</f>
        <v>96.517598760658103</v>
      </c>
    </row>
    <row r="160" spans="3:10">
      <c r="C160" s="54" t="s">
        <v>982</v>
      </c>
      <c r="D160" s="54">
        <v>55</v>
      </c>
      <c r="E160" s="54">
        <f>E$159+D160</f>
        <v>169.06625308077776</v>
      </c>
      <c r="F160" s="303">
        <f>D160/E160</f>
        <v>0.32531625323074786</v>
      </c>
      <c r="G160" s="265">
        <f>E160/13</f>
        <v>13.005096390829058</v>
      </c>
      <c r="I160" s="54">
        <f>G160*11</f>
        <v>143.05606029911965</v>
      </c>
    </row>
    <row r="161" spans="2:9">
      <c r="C161" s="54" t="s">
        <v>983</v>
      </c>
      <c r="D161" s="54">
        <v>110</v>
      </c>
      <c r="E161" s="54">
        <f>E$159+D161</f>
        <v>224.06625308077776</v>
      </c>
      <c r="F161" s="225">
        <f>D161/E161</f>
        <v>0.49092622600487756</v>
      </c>
      <c r="G161" s="265">
        <f>E161/13</f>
        <v>17.23586562159829</v>
      </c>
      <c r="I161" s="54">
        <f>G161*11</f>
        <v>189.5945218375812</v>
      </c>
    </row>
    <row r="162" spans="2:9">
      <c r="C162" s="54" t="s">
        <v>984</v>
      </c>
      <c r="D162" s="54">
        <v>150</v>
      </c>
      <c r="E162" s="54">
        <f>D162/F162</f>
        <v>306.12244897959187</v>
      </c>
      <c r="F162" s="266">
        <v>0.49</v>
      </c>
      <c r="G162" s="265">
        <f>E162/13</f>
        <v>23.547880690737834</v>
      </c>
      <c r="I162" s="54">
        <f>G162*11</f>
        <v>259.02668759811615</v>
      </c>
    </row>
    <row r="164" spans="2:9">
      <c r="C164" t="s">
        <v>985</v>
      </c>
      <c r="D164">
        <f>SUM(D165:D167)</f>
        <v>280</v>
      </c>
    </row>
    <row r="165" spans="2:9">
      <c r="C165" t="s">
        <v>91</v>
      </c>
      <c r="D165">
        <v>110</v>
      </c>
    </row>
    <row r="166" spans="2:9">
      <c r="C166" t="s">
        <v>986</v>
      </c>
      <c r="D166">
        <v>40</v>
      </c>
    </row>
    <row r="167" spans="2:9">
      <c r="C167" t="s">
        <v>987</v>
      </c>
      <c r="D167">
        <v>130</v>
      </c>
    </row>
    <row r="170" spans="2:9">
      <c r="B170" t="s">
        <v>430</v>
      </c>
    </row>
    <row r="171" spans="2:9">
      <c r="B171" t="s">
        <v>988</v>
      </c>
      <c r="D171">
        <v>35</v>
      </c>
    </row>
    <row r="172" spans="2:9">
      <c r="B172" t="s">
        <v>9</v>
      </c>
    </row>
    <row r="173" spans="2:9">
      <c r="B173" t="s">
        <v>628</v>
      </c>
      <c r="D173">
        <v>78260</v>
      </c>
    </row>
    <row r="174" spans="2:9">
      <c r="B174" t="s">
        <v>641</v>
      </c>
      <c r="D174">
        <v>84840</v>
      </c>
    </row>
    <row r="175" spans="2:9">
      <c r="B175" t="s">
        <v>989</v>
      </c>
    </row>
    <row r="176" spans="2:9">
      <c r="B176" t="s">
        <v>990</v>
      </c>
      <c r="D176">
        <v>0.15</v>
      </c>
    </row>
    <row r="179" spans="3:3">
      <c r="C179" s="407" t="s">
        <v>991</v>
      </c>
    </row>
    <row r="180" spans="3:3" ht="15.75">
      <c r="C180" s="15" t="s">
        <v>430</v>
      </c>
    </row>
    <row r="181" spans="3:3">
      <c r="C181" s="407" t="s">
        <v>992</v>
      </c>
    </row>
  </sheetData>
  <pageMargins left="0.7" right="0.7" top="0.75" bottom="0.75" header="0.3" footer="0.3"/>
  <pageSetup orientation="portrait" r:id="rId1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71558-2742-4DBB-B643-0354486C0AAB}">
  <dimension ref="B1:N21"/>
  <sheetViews>
    <sheetView workbookViewId="0">
      <selection activeCell="N1" sqref="N1"/>
    </sheetView>
  </sheetViews>
  <sheetFormatPr defaultColWidth="9.140625" defaultRowHeight="15"/>
  <cols>
    <col min="1" max="1" width="9.140625" style="315"/>
    <col min="2" max="2" width="16.140625" style="315" bestFit="1" customWidth="1"/>
    <col min="3" max="3" width="9.42578125" style="315" bestFit="1" customWidth="1"/>
    <col min="4" max="16384" width="9.140625" style="315"/>
  </cols>
  <sheetData>
    <row r="1" spans="2:14">
      <c r="D1" s="369" t="s">
        <v>790</v>
      </c>
      <c r="E1" s="369" t="s">
        <v>993</v>
      </c>
      <c r="F1" s="369" t="s">
        <v>994</v>
      </c>
      <c r="G1" s="369" t="s">
        <v>995</v>
      </c>
      <c r="H1" s="369" t="s">
        <v>996</v>
      </c>
      <c r="I1" s="369" t="s">
        <v>997</v>
      </c>
      <c r="J1" s="369" t="s">
        <v>998</v>
      </c>
      <c r="K1" s="369" t="s">
        <v>999</v>
      </c>
      <c r="L1" s="369" t="s">
        <v>1000</v>
      </c>
      <c r="M1" s="369" t="s">
        <v>1001</v>
      </c>
      <c r="N1" s="369" t="s">
        <v>1002</v>
      </c>
    </row>
    <row r="2" spans="2:14">
      <c r="D2" s="9">
        <v>2024</v>
      </c>
      <c r="E2" s="9">
        <f>D2+1</f>
        <v>2025</v>
      </c>
      <c r="F2" s="9">
        <f t="shared" ref="F2:N2" si="0">E2+1</f>
        <v>2026</v>
      </c>
      <c r="G2" s="9">
        <f t="shared" si="0"/>
        <v>2027</v>
      </c>
      <c r="H2" s="9">
        <f t="shared" si="0"/>
        <v>2028</v>
      </c>
      <c r="I2" s="9">
        <f t="shared" si="0"/>
        <v>2029</v>
      </c>
      <c r="J2" s="9">
        <f t="shared" si="0"/>
        <v>2030</v>
      </c>
      <c r="K2" s="9">
        <f t="shared" si="0"/>
        <v>2031</v>
      </c>
      <c r="L2" s="9">
        <f t="shared" si="0"/>
        <v>2032</v>
      </c>
      <c r="M2" s="9">
        <f t="shared" si="0"/>
        <v>2033</v>
      </c>
      <c r="N2" s="9">
        <f t="shared" si="0"/>
        <v>2034</v>
      </c>
    </row>
    <row r="3" spans="2:14">
      <c r="B3" s="506" t="s">
        <v>1003</v>
      </c>
      <c r="C3" s="315" t="s">
        <v>9</v>
      </c>
      <c r="D3" s="377">
        <v>0</v>
      </c>
      <c r="E3" s="377">
        <v>0</v>
      </c>
      <c r="F3" s="377">
        <v>0</v>
      </c>
      <c r="G3" s="377">
        <v>1.3280049185367355</v>
      </c>
      <c r="H3" s="377">
        <v>31.298890078241264</v>
      </c>
      <c r="I3" s="377">
        <v>121.60300589526166</v>
      </c>
      <c r="J3" s="377">
        <v>139.64832729684315</v>
      </c>
      <c r="K3" s="377">
        <v>193.46295549695785</v>
      </c>
      <c r="L3" s="377">
        <v>199.13760204730332</v>
      </c>
      <c r="M3" s="377">
        <v>204.98682533474431</v>
      </c>
      <c r="N3" s="377">
        <v>211.01609946507341</v>
      </c>
    </row>
    <row r="4" spans="2:14">
      <c r="B4" s="533"/>
      <c r="C4" s="378" t="s">
        <v>139</v>
      </c>
      <c r="D4" s="379">
        <v>0</v>
      </c>
      <c r="E4" s="379">
        <v>0</v>
      </c>
      <c r="F4" s="379">
        <v>0</v>
      </c>
      <c r="G4" s="379">
        <v>1.2084844758684292</v>
      </c>
      <c r="H4" s="379">
        <v>13.11001121521188</v>
      </c>
      <c r="I4" s="379">
        <v>43.673327581246035</v>
      </c>
      <c r="J4" s="379">
        <v>51.414011928249771</v>
      </c>
      <c r="K4" s="379">
        <v>69.174483151284448</v>
      </c>
      <c r="L4" s="379">
        <v>71.185607375656005</v>
      </c>
      <c r="M4" s="379">
        <v>73.241191351248432</v>
      </c>
      <c r="N4" s="379">
        <v>75.359947858921132</v>
      </c>
    </row>
    <row r="5" spans="2:14">
      <c r="B5" s="506" t="s">
        <v>1004</v>
      </c>
      <c r="C5" s="315" t="s">
        <v>9</v>
      </c>
      <c r="D5" s="377">
        <v>0</v>
      </c>
      <c r="E5" s="377">
        <v>0</v>
      </c>
      <c r="F5" s="377">
        <v>0</v>
      </c>
      <c r="G5" s="377">
        <v>0</v>
      </c>
      <c r="H5" s="377">
        <v>21.767134775443846</v>
      </c>
      <c r="I5" s="377">
        <v>49.598147610601345</v>
      </c>
      <c r="J5" s="377">
        <v>116.64784650987728</v>
      </c>
      <c r="K5" s="377">
        <v>125.79798751663205</v>
      </c>
      <c r="L5" s="377">
        <v>186.30825477561564</v>
      </c>
      <c r="M5" s="377">
        <v>191.77259764490597</v>
      </c>
      <c r="N5" s="377">
        <v>197.40544494453997</v>
      </c>
    </row>
    <row r="6" spans="2:14">
      <c r="B6" s="506"/>
      <c r="C6" s="315" t="s">
        <v>139</v>
      </c>
      <c r="D6" s="377">
        <v>0</v>
      </c>
      <c r="E6" s="377">
        <v>0</v>
      </c>
      <c r="F6" s="377">
        <v>0</v>
      </c>
      <c r="G6" s="377">
        <v>0</v>
      </c>
      <c r="H6" s="377">
        <v>6.9654831281420302</v>
      </c>
      <c r="I6" s="377">
        <v>16.05115869758049</v>
      </c>
      <c r="J6" s="377">
        <v>37.890365387847005</v>
      </c>
      <c r="K6" s="377">
        <v>40.87858979373533</v>
      </c>
      <c r="L6" s="377">
        <v>60.581999625642744</v>
      </c>
      <c r="M6" s="377">
        <v>62.320362899917669</v>
      </c>
      <c r="N6" s="377">
        <v>64.112399670102263</v>
      </c>
    </row>
    <row r="20" ht="15" customHeight="1"/>
    <row r="21" ht="15" customHeight="1"/>
  </sheetData>
  <mergeCells count="2">
    <mergeCell ref="B3:B4"/>
    <mergeCell ref="B5:B6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193A9-3D0F-4FEF-A112-59AF7BE53BF7}">
  <dimension ref="B2:T29"/>
  <sheetViews>
    <sheetView showGridLines="0" topLeftCell="B1" workbookViewId="0">
      <selection activeCell="P19" sqref="P19"/>
    </sheetView>
  </sheetViews>
  <sheetFormatPr defaultColWidth="9.140625" defaultRowHeight="15"/>
  <cols>
    <col min="1" max="1" width="9.140625" style="315"/>
    <col min="2" max="2" width="9.42578125" style="315" bestFit="1" customWidth="1"/>
    <col min="3" max="3" width="24" style="315" bestFit="1" customWidth="1"/>
    <col min="4" max="5" width="9.140625" style="315"/>
    <col min="6" max="6" width="10.140625" style="315" bestFit="1" customWidth="1"/>
    <col min="7" max="17" width="9.140625" style="315"/>
    <col min="18" max="18" width="22.28515625" style="315" bestFit="1" customWidth="1"/>
    <col min="19" max="19" width="26.7109375" style="315" bestFit="1" customWidth="1"/>
    <col min="20" max="16384" width="9.140625" style="315"/>
  </cols>
  <sheetData>
    <row r="2" spans="2:20">
      <c r="B2" s="508" t="s">
        <v>422</v>
      </c>
      <c r="C2" s="509"/>
      <c r="D2" s="9">
        <v>2024</v>
      </c>
      <c r="E2" s="9">
        <f>D2+1</f>
        <v>2025</v>
      </c>
      <c r="F2" s="9">
        <f t="shared" ref="F2:N2" si="0">E2+1</f>
        <v>2026</v>
      </c>
      <c r="G2" s="9">
        <f t="shared" si="0"/>
        <v>2027</v>
      </c>
      <c r="H2" s="9">
        <f t="shared" si="0"/>
        <v>2028</v>
      </c>
      <c r="I2" s="9">
        <f t="shared" si="0"/>
        <v>2029</v>
      </c>
      <c r="J2" s="9">
        <f t="shared" si="0"/>
        <v>2030</v>
      </c>
      <c r="K2" s="9">
        <f t="shared" si="0"/>
        <v>2031</v>
      </c>
      <c r="L2" s="9">
        <f t="shared" si="0"/>
        <v>2032</v>
      </c>
      <c r="M2" s="9">
        <f t="shared" si="0"/>
        <v>2033</v>
      </c>
      <c r="N2" s="9">
        <f t="shared" si="0"/>
        <v>2034</v>
      </c>
      <c r="R2" t="s">
        <v>298</v>
      </c>
    </row>
    <row r="3" spans="2:20">
      <c r="B3" s="506" t="s">
        <v>9</v>
      </c>
      <c r="C3" s="315" t="s">
        <v>423</v>
      </c>
      <c r="D3" s="316">
        <f>'Calculation FKS PoV'!D43+'Calculation FKS PoV'!D47</f>
        <v>18.769667173397714</v>
      </c>
      <c r="E3" s="450">
        <f>E18</f>
        <v>26.283430679372884</v>
      </c>
      <c r="F3" s="316">
        <f>'Calculation FKS PoV'!F43+'Calculation FKS PoV'!F47</f>
        <v>25.455030982990444</v>
      </c>
      <c r="G3" s="316">
        <f>'Calculation FKS PoV'!G43+'Calculation FKS PoV'!G47</f>
        <v>28.857782091837649</v>
      </c>
      <c r="H3" s="316">
        <f>'Calculation FKS PoV'!H43+'Calculation FKS PoV'!H47</f>
        <v>30.130653085758972</v>
      </c>
      <c r="I3" s="316">
        <f>'Calculation FKS PoV'!I43+'Calculation FKS PoV'!I47</f>
        <v>33.018496790183015</v>
      </c>
      <c r="J3" s="316">
        <f>'Calculation FKS PoV'!J43+'Calculation FKS PoV'!J47</f>
        <v>34.466029659346027</v>
      </c>
      <c r="K3" s="316">
        <f>'Calculation FKS PoV'!K43+'Calculation FKS PoV'!K47</f>
        <v>36.837431780370999</v>
      </c>
      <c r="L3" s="316">
        <f>'Calculation FKS PoV'!L43+'Calculation FKS PoV'!L47</f>
        <v>38.832852420315277</v>
      </c>
      <c r="M3" s="316">
        <f>'Calculation FKS PoV'!M43+'Calculation FKS PoV'!M47</f>
        <v>41.502220840755591</v>
      </c>
      <c r="N3" s="316">
        <f>'Calculation FKS PoV'!N43+'Calculation FKS PoV'!N47</f>
        <v>42.073897081520101</v>
      </c>
      <c r="O3" s="360">
        <f>(N3/D3)-1</f>
        <v>1.2415899383208839</v>
      </c>
      <c r="Q3" s="2" t="s">
        <v>943</v>
      </c>
      <c r="R3"/>
    </row>
    <row r="4" spans="2:20">
      <c r="B4" s="506"/>
      <c r="C4" s="318" t="s">
        <v>425</v>
      </c>
      <c r="D4" s="319">
        <f>'Calculation FKS PoV'!D62-'Calculation FKS PoV'!D47</f>
        <v>0</v>
      </c>
      <c r="E4" s="450"/>
      <c r="F4" s="319">
        <f>'Calculation FKS PoV'!F62-'Calculation FKS PoV'!F47</f>
        <v>12.790581453931097</v>
      </c>
      <c r="G4" s="319">
        <f>'Calculation FKS PoV'!G62-'Calculation FKS PoV'!G47</f>
        <v>17.527882394826534</v>
      </c>
      <c r="H4" s="319">
        <f>'Calculation FKS PoV'!H62-'Calculation FKS PoV'!H47</f>
        <v>21.594497668964429</v>
      </c>
      <c r="I4" s="319">
        <f>'Calculation FKS PoV'!I62-'Calculation FKS PoV'!I47</f>
        <v>23.415996737699679</v>
      </c>
      <c r="J4" s="319">
        <f>'Calculation FKS PoV'!J62-'Calculation FKS PoV'!J47</f>
        <v>24.373003797305266</v>
      </c>
      <c r="K4" s="319">
        <f>'Calculation FKS PoV'!K62-'Calculation FKS PoV'!K47</f>
        <v>25.96263643791103</v>
      </c>
      <c r="L4" s="319">
        <f>'Calculation FKS PoV'!L62-'Calculation FKS PoV'!L47</f>
        <v>26.84984768421246</v>
      </c>
      <c r="M4" s="319">
        <f>'Calculation FKS PoV'!M62-'Calculation FKS PoV'!M47</f>
        <v>28.416127582730617</v>
      </c>
      <c r="N4" s="319">
        <f>'Calculation FKS PoV'!N62-'Calculation FKS PoV'!N47</f>
        <v>29.40362932150337</v>
      </c>
      <c r="P4" s="316">
        <f>I5/I3</f>
        <v>1.7091781581244385</v>
      </c>
      <c r="Q4"/>
      <c r="R4" t="s">
        <v>694</v>
      </c>
      <c r="S4" t="s">
        <v>1005</v>
      </c>
    </row>
    <row r="5" spans="2:20">
      <c r="B5" s="507"/>
      <c r="C5" s="431" t="s">
        <v>427</v>
      </c>
      <c r="D5" s="432">
        <f>D3+D4</f>
        <v>18.769667173397714</v>
      </c>
      <c r="E5" s="451">
        <f t="shared" ref="E5:N5" si="1">E3+E4</f>
        <v>26.283430679372884</v>
      </c>
      <c r="F5" s="432">
        <f t="shared" si="1"/>
        <v>38.24561243692154</v>
      </c>
      <c r="G5" s="432">
        <f t="shared" si="1"/>
        <v>46.385664486664183</v>
      </c>
      <c r="H5" s="432">
        <f t="shared" si="1"/>
        <v>51.725150754723401</v>
      </c>
      <c r="I5" s="432">
        <f t="shared" si="1"/>
        <v>56.434493527882694</v>
      </c>
      <c r="J5" s="432">
        <f t="shared" si="1"/>
        <v>58.839033456651293</v>
      </c>
      <c r="K5" s="432">
        <f t="shared" si="1"/>
        <v>62.800068218282028</v>
      </c>
      <c r="L5" s="432">
        <f t="shared" si="1"/>
        <v>65.68270010452774</v>
      </c>
      <c r="M5" s="432">
        <f t="shared" si="1"/>
        <v>69.918348423486208</v>
      </c>
      <c r="N5" s="432">
        <f t="shared" si="1"/>
        <v>71.477526403023475</v>
      </c>
      <c r="O5" s="360">
        <f>(N5/D5)-1</f>
        <v>2.8081403225054897</v>
      </c>
      <c r="P5" s="316">
        <f>N5/N3</f>
        <v>1.6988568057894067</v>
      </c>
      <c r="Q5"/>
      <c r="R5" t="s">
        <v>1006</v>
      </c>
      <c r="S5" t="s">
        <v>296</v>
      </c>
    </row>
    <row r="6" spans="2:20">
      <c r="B6" s="506" t="s">
        <v>139</v>
      </c>
      <c r="C6" s="315" t="s">
        <v>423</v>
      </c>
      <c r="D6" s="316">
        <f>'Calculation FKS PoV'!D81+'Calculation FKS PoV'!D86</f>
        <v>9.4826606457339686</v>
      </c>
      <c r="E6" s="450">
        <f>('Calculation FKS PoV'!E81+'Calculation FKS PoV'!E86)*0+(202/USD_IDR*1000)</f>
        <v>12.419305256686137</v>
      </c>
      <c r="F6" s="465">
        <f>'Calculation FKS PoV'!F81+'Calculation FKS PoV'!F86</f>
        <v>15.586327206939563</v>
      </c>
      <c r="G6" s="316">
        <f>'Calculation FKS PoV'!G81+'Calculation FKS PoV'!G86</f>
        <v>18.209597610706496</v>
      </c>
      <c r="H6" s="316">
        <f>'Calculation FKS PoV'!H81+'Calculation FKS PoV'!H86</f>
        <v>18.961894167505196</v>
      </c>
      <c r="I6" s="316">
        <f>'Calculation FKS PoV'!I81+'Calculation FKS PoV'!I86</f>
        <v>21.1293391895898</v>
      </c>
      <c r="J6" s="316">
        <f>'Calculation FKS PoV'!J81+'Calculation FKS PoV'!J86</f>
        <v>21.98962633586957</v>
      </c>
      <c r="K6" s="316">
        <f>'Calculation FKS PoV'!K81+'Calculation FKS PoV'!K86</f>
        <v>23.623149405181024</v>
      </c>
      <c r="L6" s="316">
        <f>'Calculation FKS PoV'!L81+'Calculation FKS PoV'!L86</f>
        <v>24.954317325711067</v>
      </c>
      <c r="M6" s="316">
        <f>'Calculation FKS PoV'!M81+'Calculation FKS PoV'!M86</f>
        <v>26.792986060643507</v>
      </c>
      <c r="N6" s="316">
        <f>'Calculation FKS PoV'!N81+'Calculation FKS PoV'!N86</f>
        <v>27.626600314670242</v>
      </c>
      <c r="O6" s="360">
        <f>(N6/D6)-1</f>
        <v>1.9133806794086654</v>
      </c>
      <c r="Q6" s="2" t="s">
        <v>425</v>
      </c>
      <c r="R6"/>
      <c r="T6" t="s">
        <v>953</v>
      </c>
    </row>
    <row r="7" spans="2:20">
      <c r="B7" s="506"/>
      <c r="C7" s="318" t="s">
        <v>425</v>
      </c>
      <c r="D7" s="319">
        <f>'Calculation FKS PoV'!D101-'Calculation FKS PoV'!D86</f>
        <v>0</v>
      </c>
      <c r="E7" s="319"/>
      <c r="F7" s="490">
        <f>'Calculation FKS PoV'!F101-'Calculation FKS PoV'!F86</f>
        <v>7.0076038125013085</v>
      </c>
      <c r="G7" s="319">
        <f>'Calculation FKS PoV'!G101-'Calculation FKS PoV'!G86</f>
        <v>9.4724271866973382</v>
      </c>
      <c r="H7" s="319">
        <f>'Calculation FKS PoV'!H101-'Calculation FKS PoV'!H86</f>
        <v>11.727900205568673</v>
      </c>
      <c r="I7" s="319">
        <f>'Calculation FKS PoV'!I101-'Calculation FKS PoV'!I86</f>
        <v>12.930933798214799</v>
      </c>
      <c r="J7" s="319">
        <f>'Calculation FKS PoV'!J101-'Calculation FKS PoV'!J86</f>
        <v>13.384859715626437</v>
      </c>
      <c r="K7" s="319">
        <f>'Calculation FKS PoV'!K101-'Calculation FKS PoV'!K86</f>
        <v>14.395460679275372</v>
      </c>
      <c r="L7" s="319">
        <f>'Calculation FKS PoV'!L101-'Calculation FKS PoV'!L86</f>
        <v>14.828607314033398</v>
      </c>
      <c r="M7" s="319">
        <f>'Calculation FKS PoV'!M101-'Calculation FKS PoV'!M86</f>
        <v>15.893265775084016</v>
      </c>
      <c r="N7" s="319">
        <f>'Calculation FKS PoV'!N101-'Calculation FKS PoV'!N86</f>
        <v>16.388739093506373</v>
      </c>
      <c r="P7" s="316">
        <f>I8/I6</f>
        <v>1.6119895034192895</v>
      </c>
      <c r="Q7" s="407"/>
      <c r="R7" t="s">
        <v>295</v>
      </c>
      <c r="T7" t="s">
        <v>299</v>
      </c>
    </row>
    <row r="8" spans="2:20" s="317" customFormat="1">
      <c r="B8" s="507"/>
      <c r="C8" s="431" t="s">
        <v>427</v>
      </c>
      <c r="D8" s="432">
        <f t="shared" ref="D8:N8" si="2">D6+D7</f>
        <v>9.4826606457339686</v>
      </c>
      <c r="E8" s="451">
        <f t="shared" si="2"/>
        <v>12.419305256686137</v>
      </c>
      <c r="F8" s="432">
        <f t="shared" si="2"/>
        <v>22.593931019440873</v>
      </c>
      <c r="G8" s="432">
        <f t="shared" si="2"/>
        <v>27.682024797403834</v>
      </c>
      <c r="H8" s="432">
        <f t="shared" si="2"/>
        <v>30.68979437307387</v>
      </c>
      <c r="I8" s="432">
        <f t="shared" si="2"/>
        <v>34.060272987804595</v>
      </c>
      <c r="J8" s="432">
        <f t="shared" si="2"/>
        <v>35.374486051496007</v>
      </c>
      <c r="K8" s="432">
        <f t="shared" si="2"/>
        <v>38.018610084456398</v>
      </c>
      <c r="L8" s="432">
        <f t="shared" si="2"/>
        <v>39.782924639744465</v>
      </c>
      <c r="M8" s="432">
        <f t="shared" si="2"/>
        <v>42.686251835727525</v>
      </c>
      <c r="N8" s="432">
        <f t="shared" si="2"/>
        <v>44.015339408176615</v>
      </c>
      <c r="O8" s="360">
        <f>(N8/D8)-1</f>
        <v>3.6416655675617902</v>
      </c>
      <c r="P8" s="316">
        <f>N8/N6</f>
        <v>1.5932231583631971</v>
      </c>
      <c r="Q8" s="320"/>
      <c r="R8" s="320" t="s">
        <v>950</v>
      </c>
      <c r="T8" s="320"/>
    </row>
    <row r="9" spans="2:20">
      <c r="E9" s="315">
        <f>E8</f>
        <v>12.419305256686137</v>
      </c>
      <c r="N9" s="315">
        <f>N8</f>
        <v>44.015339408176615</v>
      </c>
      <c r="O9" s="316">
        <f>N8/E6</f>
        <v>3.544106413237587</v>
      </c>
      <c r="Q9"/>
    </row>
    <row r="10" spans="2:20">
      <c r="N10" s="360">
        <f>_xlfn.RRI(N2-E2,E9,N9)</f>
        <v>0.15094959893412541</v>
      </c>
    </row>
    <row r="11" spans="2:20">
      <c r="B11" s="407"/>
      <c r="C11"/>
      <c r="D11" s="9">
        <v>2024</v>
      </c>
      <c r="E11" s="9">
        <f t="shared" ref="E11:N11" si="3">D11+1</f>
        <v>2025</v>
      </c>
      <c r="F11" s="9">
        <f t="shared" si="3"/>
        <v>2026</v>
      </c>
      <c r="G11" s="9">
        <f t="shared" si="3"/>
        <v>2027</v>
      </c>
      <c r="H11" s="9">
        <f t="shared" si="3"/>
        <v>2028</v>
      </c>
      <c r="I11" s="9">
        <f t="shared" si="3"/>
        <v>2029</v>
      </c>
      <c r="J11" s="9">
        <f t="shared" si="3"/>
        <v>2030</v>
      </c>
      <c r="K11" s="9">
        <f t="shared" si="3"/>
        <v>2031</v>
      </c>
      <c r="L11" s="9">
        <f t="shared" si="3"/>
        <v>2032</v>
      </c>
      <c r="M11" s="9">
        <f t="shared" si="3"/>
        <v>2033</v>
      </c>
      <c r="N11" s="9">
        <f t="shared" si="3"/>
        <v>2034</v>
      </c>
    </row>
    <row r="12" spans="2:20">
      <c r="B12" s="506" t="s">
        <v>9</v>
      </c>
      <c r="C12" s="407" t="s">
        <v>144</v>
      </c>
      <c r="D12" s="316">
        <f>'Calculation FKS PoV'!D67</f>
        <v>2.3767574546572394</v>
      </c>
      <c r="E12" s="450">
        <f>'Calculation FKS PoV'!E67*0+172.7/USD_IDR*1000</f>
        <v>10.61789117737473</v>
      </c>
      <c r="F12" s="316">
        <f>'Calculation FKS PoV'!F67</f>
        <v>14.754126305666373</v>
      </c>
      <c r="G12" s="316">
        <f>'Calculation FKS PoV'!G67</f>
        <v>20.466431977737688</v>
      </c>
      <c r="H12" s="316">
        <f>'Calculation FKS PoV'!H67</f>
        <v>21.080424937069822</v>
      </c>
      <c r="I12" s="316">
        <f>'Calculation FKS PoV'!I67</f>
        <v>22.931017515907616</v>
      </c>
      <c r="J12" s="316">
        <f>'Calculation FKS PoV'!J67</f>
        <v>23.618948041384837</v>
      </c>
      <c r="K12" s="316">
        <f>'Calculation FKS PoV'!K67</f>
        <v>25.180478691021541</v>
      </c>
      <c r="L12" s="316">
        <f>'Calculation FKS PoV'!L67</f>
        <v>25.935893051752188</v>
      </c>
      <c r="M12" s="316">
        <f>'Calculation FKS PoV'!M67</f>
        <v>27.67317190660436</v>
      </c>
      <c r="N12" s="316">
        <f>'Calculation FKS PoV'!N67</f>
        <v>28.503367063802493</v>
      </c>
      <c r="O12" s="360">
        <f>(N12/D12)-1</f>
        <v>10.992543457873813</v>
      </c>
      <c r="P12" s="316">
        <f>N12/E12</f>
        <v>2.6844659252620011</v>
      </c>
    </row>
    <row r="13" spans="2:20">
      <c r="B13" s="506"/>
      <c r="C13" s="407" t="s">
        <v>297</v>
      </c>
      <c r="D13" s="316">
        <f>'Calculation FKS PoV'!D68</f>
        <v>0</v>
      </c>
      <c r="E13" s="450">
        <f>'Calculation FKS PoV'!E68</f>
        <v>0</v>
      </c>
      <c r="F13" s="316">
        <f>'Calculation FKS PoV'!F68</f>
        <v>0</v>
      </c>
      <c r="G13" s="316">
        <f>'Calculation FKS PoV'!G68</f>
        <v>0</v>
      </c>
      <c r="H13" s="316">
        <f>'Calculation FKS PoV'!H68</f>
        <v>3.6103190647300623</v>
      </c>
      <c r="I13" s="316">
        <f>'Calculation FKS PoV'!I68</f>
        <v>4.7593451125694131</v>
      </c>
      <c r="J13" s="316">
        <f>'Calculation FKS PoV'!J68</f>
        <v>5.2352796238263544</v>
      </c>
      <c r="K13" s="316">
        <f>'Calculation FKS PoV'!K68</f>
        <v>6.3308913328409551</v>
      </c>
      <c r="L13" s="316">
        <f>'Calculation FKS PoV'!L68</f>
        <v>6.7107448128114147</v>
      </c>
      <c r="M13" s="316">
        <f>'Calculation FKS PoV'!M68</f>
        <v>7.5376330780724476</v>
      </c>
      <c r="N13" s="316">
        <f>'Calculation FKS PoV'!N68</f>
        <v>7.9898910627567954</v>
      </c>
      <c r="O13" s="360">
        <v>0</v>
      </c>
      <c r="P13" s="316"/>
    </row>
    <row r="14" spans="2:20">
      <c r="B14" s="506"/>
      <c r="C14" s="407" t="s">
        <v>694</v>
      </c>
      <c r="D14" s="316">
        <f>'Calculation FKS PoV'!D69</f>
        <v>9.6181066224752527</v>
      </c>
      <c r="E14" s="450">
        <f>'Calculation FKS PoV'!E69*0+143/USD_IDR*1000</f>
        <v>8.7918844143867183</v>
      </c>
      <c r="F14" s="316">
        <f>'Calculation FKS PoV'!F69</f>
        <v>13.786015408792478</v>
      </c>
      <c r="G14" s="316">
        <f>'Calculation FKS PoV'!G69</f>
        <v>15.06041583228795</v>
      </c>
      <c r="H14" s="316">
        <f>'Calculation FKS PoV'!H69</f>
        <v>15.487881550416748</v>
      </c>
      <c r="I14" s="316">
        <f>'Calculation FKS PoV'!I69</f>
        <v>16.26267188962807</v>
      </c>
      <c r="J14" s="316">
        <f>'Calculation FKS PoV'!J69</f>
        <v>16.726205289477075</v>
      </c>
      <c r="K14" s="316">
        <f>'Calculation FKS PoV'!K69</f>
        <v>17.203644691321546</v>
      </c>
      <c r="L14" s="316">
        <f>'Calculation FKS PoV'!L69</f>
        <v>18.071890703227833</v>
      </c>
      <c r="M14" s="316">
        <f>'Calculation FKS PoV'!M69</f>
        <v>18.589700667484834</v>
      </c>
      <c r="N14" s="316">
        <f>'Calculation FKS PoV'!N69</f>
        <v>19.123044930669536</v>
      </c>
      <c r="O14" s="360">
        <f>(N14/D14)-1</f>
        <v>0.98823382618606859</v>
      </c>
      <c r="P14" s="316">
        <f>N14/E14</f>
        <v>2.1750792013800004</v>
      </c>
    </row>
    <row r="15" spans="2:20">
      <c r="B15" s="506"/>
      <c r="C15" s="483" t="s">
        <v>391</v>
      </c>
      <c r="D15" s="316">
        <f>'Calculation FKS PoV'!D70</f>
        <v>0</v>
      </c>
      <c r="E15" s="452">
        <v>0</v>
      </c>
      <c r="F15" s="465">
        <f>'Calculation FKS PoV'!F70</f>
        <v>2.9572702121118968</v>
      </c>
      <c r="G15" s="316">
        <f>'Calculation FKS PoV'!G70</f>
        <v>2.9572702121118968</v>
      </c>
      <c r="H15" s="316">
        <f>'Calculation FKS PoV'!H70</f>
        <v>2.9572702121118968</v>
      </c>
      <c r="I15" s="316">
        <f>'Calculation FKS PoV'!I70</f>
        <v>3.1612419305256685</v>
      </c>
      <c r="J15" s="316">
        <f>'Calculation FKS PoV'!J70</f>
        <v>3.1612419305256685</v>
      </c>
      <c r="K15" s="316">
        <f>'Calculation FKS PoV'!K70</f>
        <v>3.1612419305256685</v>
      </c>
      <c r="L15" s="316">
        <f>'Calculation FKS PoV'!L70</f>
        <v>3.1612419305256685</v>
      </c>
      <c r="M15" s="316">
        <f>'Calculation FKS PoV'!M70</f>
        <v>3.3795388576698433</v>
      </c>
      <c r="N15" s="316">
        <f>'Calculation FKS PoV'!N70</f>
        <v>3.3795388576698433</v>
      </c>
      <c r="O15" s="360">
        <v>0</v>
      </c>
    </row>
    <row r="16" spans="2:20">
      <c r="B16" s="506"/>
      <c r="C16" s="407" t="s">
        <v>296</v>
      </c>
      <c r="D16" s="316">
        <f>'Calculation FKS PoV'!D71</f>
        <v>1.3675683984014757</v>
      </c>
      <c r="E16" s="450">
        <f>'Calculation FKS PoV'!E71*0+24.3/USD_IDR*1000</f>
        <v>1.4940055333538274</v>
      </c>
      <c r="F16" s="316">
        <f>'Calculation FKS PoV'!F71</f>
        <v>2.9369660298383389</v>
      </c>
      <c r="G16" s="316">
        <f>'Calculation FKS PoV'!G71</f>
        <v>3.791020461565652</v>
      </c>
      <c r="H16" s="316">
        <f>'Calculation FKS PoV'!H71</f>
        <v>4.1558514809509495</v>
      </c>
      <c r="I16" s="316">
        <f>'Calculation FKS PoV'!I71</f>
        <v>4.5384852283751149</v>
      </c>
      <c r="J16" s="316">
        <f>'Calculation FKS PoV'!J71</f>
        <v>4.9398347952754635</v>
      </c>
      <c r="K16" s="316">
        <f>'Calculation FKS PoV'!K71</f>
        <v>5.3608598777185819</v>
      </c>
      <c r="L16" s="316">
        <f>'Calculation FKS PoV'!L71</f>
        <v>5.8025692284491113</v>
      </c>
      <c r="M16" s="316">
        <f>'Calculation FKS PoV'!M71</f>
        <v>6.2660232432003111</v>
      </c>
      <c r="N16" s="316">
        <f>'Calculation FKS PoV'!N71</f>
        <v>6.7523366888863903</v>
      </c>
      <c r="O16" s="360">
        <f>(N16/D16)-1</f>
        <v>3.9374763973626958</v>
      </c>
      <c r="P16" s="316">
        <f>N16/E16</f>
        <v>4.5196195985488528</v>
      </c>
    </row>
    <row r="17" spans="2:16">
      <c r="B17" s="506"/>
      <c r="C17" s="443" t="s">
        <v>298</v>
      </c>
      <c r="D17" s="359">
        <f>'Calculation FKS PoV'!D72</f>
        <v>5.407234697863748</v>
      </c>
      <c r="E17" s="453">
        <f>'Calculation FKS PoV'!E72*0+87.5/USD_IDR*1000</f>
        <v>5.3796495542576075</v>
      </c>
      <c r="F17" s="359">
        <f>'Calculation FKS PoV'!F72</f>
        <v>3.8112344805124554</v>
      </c>
      <c r="G17" s="359">
        <f>'Calculation FKS PoV'!G72</f>
        <v>4.1105260029610031</v>
      </c>
      <c r="H17" s="359">
        <f>'Calculation FKS PoV'!H72</f>
        <v>4.4334035094439255</v>
      </c>
      <c r="I17" s="359">
        <f>'Calculation FKS PoV'!I72</f>
        <v>4.7817318508768096</v>
      </c>
      <c r="J17" s="359">
        <f>'Calculation FKS PoV'!J72</f>
        <v>5.1575237761618924</v>
      </c>
      <c r="K17" s="359">
        <f>'Calculation FKS PoV'!K72</f>
        <v>5.562951694853739</v>
      </c>
      <c r="L17" s="359">
        <f>'Calculation FKS PoV'!L72</f>
        <v>6.0003603777615204</v>
      </c>
      <c r="M17" s="359">
        <f>'Calculation FKS PoV'!M72</f>
        <v>6.4722806704544213</v>
      </c>
      <c r="N17" s="359">
        <f>'Calculation FKS PoV'!N72</f>
        <v>5.7293477992384183</v>
      </c>
      <c r="O17" s="360">
        <f>(N17/D17)-1</f>
        <v>5.9570763869733367E-2</v>
      </c>
    </row>
    <row r="18" spans="2:16">
      <c r="B18" s="507"/>
      <c r="C18" s="358" t="s">
        <v>53</v>
      </c>
      <c r="D18" s="432">
        <f>SUM(D12:D17)</f>
        <v>18.769667173397714</v>
      </c>
      <c r="E18" s="451">
        <f t="shared" ref="E18:N18" si="4">SUM(E12:E17)</f>
        <v>26.283430679372884</v>
      </c>
      <c r="F18" s="432">
        <f t="shared" si="4"/>
        <v>38.24561243692154</v>
      </c>
      <c r="G18" s="432">
        <f t="shared" si="4"/>
        <v>46.385664486664183</v>
      </c>
      <c r="H18" s="432">
        <f t="shared" si="4"/>
        <v>51.725150754723401</v>
      </c>
      <c r="I18" s="432">
        <f t="shared" si="4"/>
        <v>56.434493527882694</v>
      </c>
      <c r="J18" s="432">
        <f t="shared" si="4"/>
        <v>58.839033456651293</v>
      </c>
      <c r="K18" s="432">
        <f t="shared" si="4"/>
        <v>62.800068218282028</v>
      </c>
      <c r="L18" s="432">
        <f t="shared" si="4"/>
        <v>65.68270010452774</v>
      </c>
      <c r="M18" s="432">
        <f t="shared" si="4"/>
        <v>69.918348423486208</v>
      </c>
      <c r="N18" s="432">
        <f t="shared" si="4"/>
        <v>71.477526403023489</v>
      </c>
    </row>
    <row r="19" spans="2:16">
      <c r="B19" s="506" t="s">
        <v>139</v>
      </c>
      <c r="C19" s="407" t="s">
        <v>144</v>
      </c>
      <c r="D19" s="316">
        <f>'Calculation FKS PoV'!D106</f>
        <v>0.98884637374444151</v>
      </c>
      <c r="E19" s="450">
        <f>'Calculation FKS PoV'!E106*0+70.4/USD_IDR*1000</f>
        <v>4.3283123270826938</v>
      </c>
      <c r="F19" s="316">
        <f>'Calculation FKS PoV'!F106</f>
        <v>9.2400275834225472</v>
      </c>
      <c r="G19" s="465">
        <f>'Calculation FKS PoV'!G106</f>
        <v>12.522198321157699</v>
      </c>
      <c r="H19" s="316">
        <f>'Calculation FKS PoV'!H106</f>
        <v>12.868120562298946</v>
      </c>
      <c r="I19" s="316">
        <f>'Calculation FKS PoV'!I106</f>
        <v>14.271919830362439</v>
      </c>
      <c r="J19" s="316">
        <f>'Calculation FKS PoV'!J106</f>
        <v>14.666179963747256</v>
      </c>
      <c r="K19" s="316">
        <f>'Calculation FKS PoV'!K106</f>
        <v>15.80628601251118</v>
      </c>
      <c r="L19" s="316">
        <f>'Calculation FKS PoV'!L106</f>
        <v>16.239810611134196</v>
      </c>
      <c r="M19" s="316">
        <f>'Calculation FKS PoV'!M106</f>
        <v>17.513890877923778</v>
      </c>
      <c r="N19" s="316">
        <f>'Calculation FKS PoV'!N106</f>
        <v>17.995441150045711</v>
      </c>
      <c r="O19" s="360">
        <f>(N19/D19)-1</f>
        <v>17.198419519811548</v>
      </c>
      <c r="P19" s="316">
        <f>N19/E19</f>
        <v>4.157611510021213</v>
      </c>
    </row>
    <row r="20" spans="2:16">
      <c r="B20" s="506"/>
      <c r="C20" s="407" t="s">
        <v>297</v>
      </c>
      <c r="D20" s="316">
        <f>'Calculation FKS PoV'!D107</f>
        <v>0</v>
      </c>
      <c r="E20" s="450">
        <f>'Calculation FKS PoV'!E107</f>
        <v>0</v>
      </c>
      <c r="F20" s="316">
        <f>'Calculation FKS PoV'!F107</f>
        <v>0</v>
      </c>
      <c r="G20" s="316">
        <f>'Calculation FKS PoV'!G107</f>
        <v>0</v>
      </c>
      <c r="H20" s="316">
        <f>'Calculation FKS PoV'!H107</f>
        <v>2.0582366697059724</v>
      </c>
      <c r="I20" s="316">
        <f>'Calculation FKS PoV'!I107</f>
        <v>2.8822296522650261</v>
      </c>
      <c r="J20" s="316">
        <f>'Calculation FKS PoV'!J107</f>
        <v>3.1558424437010704</v>
      </c>
      <c r="K20" s="316">
        <f>'Calculation FKS PoV'!K107</f>
        <v>3.9402432310509918</v>
      </c>
      <c r="L20" s="316">
        <f>'Calculation FKS PoV'!L107</f>
        <v>4.1550107487171628</v>
      </c>
      <c r="M20" s="316">
        <f>'Calculation FKS PoV'!M107</f>
        <v>4.8079807803535557</v>
      </c>
      <c r="N20" s="316">
        <f>'Calculation FKS PoV'!N107</f>
        <v>5.0739448229460802</v>
      </c>
      <c r="O20" s="360">
        <v>0</v>
      </c>
    </row>
    <row r="21" spans="2:16">
      <c r="B21" s="506"/>
      <c r="C21" s="407" t="s">
        <v>694</v>
      </c>
      <c r="D21" s="316">
        <f>'Calculation FKS PoV'!D108</f>
        <v>6.9173564370461111</v>
      </c>
      <c r="E21" s="450">
        <f>'Calculation FKS PoV'!E108*0+103/USD_IDR*1000</f>
        <v>6.3326160467260992</v>
      </c>
      <c r="F21" s="316">
        <f>'Calculation FKS PoV'!F108</f>
        <v>9.0324720592290166</v>
      </c>
      <c r="G21" s="316">
        <f>'Calculation FKS PoV'!G108</f>
        <v>10.119029128052933</v>
      </c>
      <c r="H21" s="316">
        <f>'Calculation FKS PoV'!H108</f>
        <v>10.363983494460966</v>
      </c>
      <c r="I21" s="316">
        <f>'Calculation FKS PoV'!I108</f>
        <v>10.947357195510053</v>
      </c>
      <c r="J21" s="316">
        <f>'Calculation FKS PoV'!J108</f>
        <v>11.212833336778422</v>
      </c>
      <c r="K21" s="316">
        <f>'Calculation FKS PoV'!K108</f>
        <v>11.483892083317423</v>
      </c>
      <c r="L21" s="316">
        <f>'Calculation FKS PoV'!L108</f>
        <v>12.135731909753625</v>
      </c>
      <c r="M21" s="316">
        <f>'Calculation FKS PoV'!M108</f>
        <v>12.429316693357233</v>
      </c>
      <c r="N21" s="316">
        <f>'Calculation FKS PoV'!N108</f>
        <v>12.728872627693441</v>
      </c>
      <c r="O21" s="360">
        <f>(N21/D21)-1</f>
        <v>0.84013542507706851</v>
      </c>
      <c r="P21" s="360">
        <f>N22/N25</f>
        <v>3.7610920512546123E-2</v>
      </c>
    </row>
    <row r="22" spans="2:16">
      <c r="B22" s="506"/>
      <c r="C22" s="483" t="s">
        <v>391</v>
      </c>
      <c r="D22" s="316">
        <f>'Calculation FKS PoV'!D109</f>
        <v>0</v>
      </c>
      <c r="E22" s="450">
        <f>'Calculation FKS PoV'!E109</f>
        <v>0</v>
      </c>
      <c r="F22" s="465">
        <f>'Calculation FKS PoV'!F109</f>
        <v>1.5832042687904868</v>
      </c>
      <c r="G22" s="316">
        <f>'Calculation FKS PoV'!G109</f>
        <v>1.551745676509054</v>
      </c>
      <c r="H22" s="316">
        <f>'Calculation FKS PoV'!H109</f>
        <v>1.5195006194205856</v>
      </c>
      <c r="I22" s="316">
        <f>'Calculation FKS PoV'!I109</f>
        <v>1.6630447473450638</v>
      </c>
      <c r="J22" s="316">
        <f>'Calculation FKS PoV'!J109</f>
        <v>1.6016799512856894</v>
      </c>
      <c r="K22" s="316">
        <f>'Calculation FKS PoV'!K109</f>
        <v>1.5798502687731388</v>
      </c>
      <c r="L22" s="316">
        <f>'Calculation FKS PoV'!L109</f>
        <v>1.5436728886946551</v>
      </c>
      <c r="M22" s="316">
        <f>'Calculation FKS PoV'!M109</f>
        <v>1.6940992056122752</v>
      </c>
      <c r="N22" s="316">
        <f>'Calculation FKS PoV'!N109</f>
        <v>1.6554574318136694</v>
      </c>
      <c r="O22" s="360">
        <v>0</v>
      </c>
    </row>
    <row r="23" spans="2:16">
      <c r="B23" s="506"/>
      <c r="C23" s="407" t="s">
        <v>296</v>
      </c>
      <c r="D23" s="316">
        <f>'Calculation FKS PoV'!D110</f>
        <v>0.68525085545347209</v>
      </c>
      <c r="E23" s="450">
        <f>'Calculation FKS PoV'!E110*0+12.4/USD_IDR*1000</f>
        <v>0.76237319397479253</v>
      </c>
      <c r="F23" s="316">
        <f>'Calculation FKS PoV'!F110</f>
        <v>1.7099292057036288</v>
      </c>
      <c r="G23" s="316">
        <f>'Calculation FKS PoV'!G110</f>
        <v>2.3558773271729421</v>
      </c>
      <c r="H23" s="316">
        <f>'Calculation FKS PoV'!H110</f>
        <v>2.6329420254080227</v>
      </c>
      <c r="I23" s="316">
        <f>'Calculation FKS PoV'!I110</f>
        <v>2.925176227906809</v>
      </c>
      <c r="J23" s="316">
        <f>'Calculation FKS PoV'!J110</f>
        <v>3.2333755561284865</v>
      </c>
      <c r="K23" s="316">
        <f>'Calculation FKS PoV'!K110</f>
        <v>3.5583767739991266</v>
      </c>
      <c r="L23" s="316">
        <f>'Calculation FKS PoV'!L110</f>
        <v>3.9010599704464366</v>
      </c>
      <c r="M23" s="316">
        <f>'Calculation FKS PoV'!M110</f>
        <v>4.2623508620415391</v>
      </c>
      <c r="N23" s="316">
        <f>'Calculation FKS PoV'!N110</f>
        <v>4.6432232225832824</v>
      </c>
      <c r="O23" s="360">
        <f>(N23/D23)-1</f>
        <v>5.7759466268897679</v>
      </c>
    </row>
    <row r="24" spans="2:16">
      <c r="B24" s="506"/>
      <c r="C24" s="443" t="s">
        <v>298</v>
      </c>
      <c r="D24" s="359">
        <f>'Calculation FKS PoV'!D111</f>
        <v>0.89120697948994432</v>
      </c>
      <c r="E24" s="453">
        <f>'Calculation FKS PoV'!E111*0+16.15/USD_IDR*1000</f>
        <v>0.99292960344297554</v>
      </c>
      <c r="F24" s="359">
        <f>'Calculation FKS PoV'!F111</f>
        <v>1.0282979022951941</v>
      </c>
      <c r="G24" s="359">
        <f>'Calculation FKS PoV'!G111</f>
        <v>1.1331743445112041</v>
      </c>
      <c r="H24" s="359">
        <f>'Calculation FKS PoV'!H111</f>
        <v>1.2470110017793805</v>
      </c>
      <c r="I24" s="359">
        <f>'Calculation FKS PoV'!I111</f>
        <v>1.3705453344152123</v>
      </c>
      <c r="J24" s="359">
        <f>'Calculation FKS PoV'!J111</f>
        <v>1.5045747998550836</v>
      </c>
      <c r="K24" s="359">
        <f>'Calculation FKS PoV'!K111</f>
        <v>1.6499617148045416</v>
      </c>
      <c r="L24" s="359">
        <f>'Calculation FKS PoV'!L111</f>
        <v>1.8076385109983861</v>
      </c>
      <c r="M24" s="359">
        <f>'Calculation FKS PoV'!M111</f>
        <v>1.9786134164391471</v>
      </c>
      <c r="N24" s="359">
        <f>'Calculation FKS PoV'!N111</f>
        <v>1.9184001530944297</v>
      </c>
      <c r="O24" s="360">
        <f>(N24/D24)-1</f>
        <v>1.1525865452628845</v>
      </c>
    </row>
    <row r="25" spans="2:16">
      <c r="B25" s="506"/>
      <c r="C25" s="302"/>
      <c r="D25" s="444">
        <f>SUM(D19:D24)</f>
        <v>9.4826606457339686</v>
      </c>
      <c r="E25" s="448">
        <f t="shared" ref="E25:N25" si="5">SUM(E19:E24)</f>
        <v>12.416231171226562</v>
      </c>
      <c r="F25" s="444">
        <f t="shared" si="5"/>
        <v>22.59393101944087</v>
      </c>
      <c r="G25" s="444">
        <f t="shared" si="5"/>
        <v>27.68202479740383</v>
      </c>
      <c r="H25" s="444">
        <f t="shared" si="5"/>
        <v>30.689794373073877</v>
      </c>
      <c r="I25" s="444">
        <f t="shared" si="5"/>
        <v>34.060272987804602</v>
      </c>
      <c r="J25" s="444">
        <f t="shared" si="5"/>
        <v>35.374486051496007</v>
      </c>
      <c r="K25" s="444">
        <f t="shared" si="5"/>
        <v>38.018610084456398</v>
      </c>
      <c r="L25" s="444">
        <f t="shared" si="5"/>
        <v>39.782924639744472</v>
      </c>
      <c r="M25" s="444">
        <f t="shared" si="5"/>
        <v>42.686251835727525</v>
      </c>
      <c r="N25" s="444">
        <f t="shared" si="5"/>
        <v>44.015339408176615</v>
      </c>
    </row>
    <row r="28" spans="2:16">
      <c r="F28" s="315">
        <v>5300</v>
      </c>
    </row>
    <row r="29" spans="2:16">
      <c r="F29" s="315">
        <f>F28*300</f>
        <v>1590000</v>
      </c>
    </row>
  </sheetData>
  <mergeCells count="5">
    <mergeCell ref="B2:C2"/>
    <mergeCell ref="B3:B5"/>
    <mergeCell ref="B6:B8"/>
    <mergeCell ref="B12:B18"/>
    <mergeCell ref="B19:B25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26AB3-2408-45E0-B65D-BD5A83CEE160}">
  <sheetPr>
    <tabColor rgb="FFFFFF00"/>
  </sheetPr>
  <dimension ref="A3:T19"/>
  <sheetViews>
    <sheetView workbookViewId="0">
      <selection activeCell="E3" sqref="E3"/>
    </sheetView>
  </sheetViews>
  <sheetFormatPr defaultColWidth="9.140625" defaultRowHeight="14.25"/>
  <cols>
    <col min="1" max="1" width="11.7109375" style="365" customWidth="1"/>
    <col min="2" max="2" width="36.5703125" style="363" bestFit="1" customWidth="1"/>
    <col min="3" max="3" width="34" style="362" customWidth="1"/>
    <col min="4" max="4" width="9.140625" style="363"/>
    <col min="5" max="15" width="11" style="362" bestFit="1" customWidth="1"/>
    <col min="16" max="16" width="12.140625" style="363" bestFit="1" customWidth="1"/>
    <col min="17" max="16384" width="9.140625" style="363"/>
  </cols>
  <sheetData>
    <row r="3" spans="1:20" ht="23.25">
      <c r="B3" s="364" t="s">
        <v>186</v>
      </c>
      <c r="C3" s="367" t="s">
        <v>1007</v>
      </c>
      <c r="D3" s="364"/>
      <c r="E3" s="361">
        <v>2024</v>
      </c>
      <c r="F3" s="361">
        <f>E3+1</f>
        <v>2025</v>
      </c>
      <c r="G3" s="361">
        <f t="shared" ref="G3:O3" si="0">F3+1</f>
        <v>2026</v>
      </c>
      <c r="H3" s="361">
        <f t="shared" si="0"/>
        <v>2027</v>
      </c>
      <c r="I3" s="361">
        <f t="shared" si="0"/>
        <v>2028</v>
      </c>
      <c r="J3" s="361">
        <f t="shared" si="0"/>
        <v>2029</v>
      </c>
      <c r="K3" s="361">
        <f t="shared" si="0"/>
        <v>2030</v>
      </c>
      <c r="L3" s="361">
        <f t="shared" si="0"/>
        <v>2031</v>
      </c>
      <c r="M3" s="361">
        <f t="shared" si="0"/>
        <v>2032</v>
      </c>
      <c r="N3" s="361">
        <f t="shared" si="0"/>
        <v>2033</v>
      </c>
      <c r="O3" s="361">
        <f t="shared" si="0"/>
        <v>2034</v>
      </c>
      <c r="P3" s="364"/>
      <c r="Q3" s="364"/>
      <c r="R3" s="364"/>
      <c r="S3" s="364"/>
      <c r="T3" s="364"/>
    </row>
    <row r="5" spans="1:20" ht="15">
      <c r="A5" s="534" t="s">
        <v>641</v>
      </c>
      <c r="B5" s="445" t="s">
        <v>1008</v>
      </c>
      <c r="E5" s="362">
        <f>Calculation_FSL!J22</f>
        <v>2063651.067</v>
      </c>
      <c r="F5" s="362">
        <f>Calculation_FSL!K22</f>
        <v>2125560.59901</v>
      </c>
      <c r="G5" s="362">
        <f>Calculation_FSL!L22</f>
        <v>2189327.4169803001</v>
      </c>
      <c r="H5" s="362">
        <f>Calculation_FSL!M22</f>
        <v>2255007.239489709</v>
      </c>
      <c r="I5" s="362">
        <f>Calculation_FSL!N22</f>
        <v>2322657.4566744007</v>
      </c>
      <c r="J5" s="362">
        <f>Calculation_FSL!O22</f>
        <v>2392337.1803746326</v>
      </c>
      <c r="K5" s="362">
        <f>Calculation_FSL!P22</f>
        <v>2464107.2957858718</v>
      </c>
      <c r="L5" s="362">
        <f>Calculation_FSL!Q22</f>
        <v>2538030.5146594481</v>
      </c>
      <c r="M5" s="362">
        <f>Calculation_FSL!R22</f>
        <v>2614171.4300992312</v>
      </c>
      <c r="N5" s="362">
        <f>Calculation_FSL!S22</f>
        <v>2692596.5730022085</v>
      </c>
      <c r="O5" s="362">
        <f>Calculation_FSL!T22</f>
        <v>2773374.4701922745</v>
      </c>
    </row>
    <row r="6" spans="1:20">
      <c r="A6" s="534"/>
      <c r="B6" s="363" t="s">
        <v>465</v>
      </c>
      <c r="E6" s="362">
        <f>Calculation_FSL!J23</f>
        <v>42880</v>
      </c>
      <c r="F6" s="362">
        <f>Calculation_FSL!K23</f>
        <v>42880</v>
      </c>
      <c r="G6" s="362">
        <f>Calculation_FSL!L23</f>
        <v>42880</v>
      </c>
      <c r="H6" s="362">
        <f>Calculation_FSL!M23</f>
        <v>42880</v>
      </c>
      <c r="I6" s="362">
        <f>Calculation_FSL!N23</f>
        <v>42880</v>
      </c>
      <c r="J6" s="362">
        <f>Calculation_FSL!O23</f>
        <v>44166.400000000001</v>
      </c>
      <c r="K6" s="362">
        <f>Calculation_FSL!P23</f>
        <v>44166.400000000001</v>
      </c>
      <c r="L6" s="362">
        <f>Calculation_FSL!Q23</f>
        <v>44166.400000000001</v>
      </c>
      <c r="M6" s="362">
        <f>Calculation_FSL!R23</f>
        <v>45491.392</v>
      </c>
      <c r="N6" s="362">
        <f>Calculation_FSL!S23</f>
        <v>45491.392</v>
      </c>
      <c r="O6" s="362">
        <f>Calculation_FSL!T23</f>
        <v>45491.392</v>
      </c>
    </row>
    <row r="7" spans="1:20" ht="15">
      <c r="A7" s="366"/>
    </row>
    <row r="8" spans="1:20" ht="30">
      <c r="A8" s="534" t="s">
        <v>628</v>
      </c>
      <c r="B8" s="446" t="s">
        <v>1008</v>
      </c>
      <c r="E8" s="362">
        <f>Calculation_FSL!J27</f>
        <v>1602574.2089999998</v>
      </c>
      <c r="F8" s="362">
        <f>Calculation_FSL!K27</f>
        <v>1650651.4352699998</v>
      </c>
      <c r="G8" s="362">
        <f>Calculation_FSL!L27</f>
        <v>1700170.9783280997</v>
      </c>
      <c r="H8" s="362">
        <f>Calculation_FSL!M27</f>
        <v>1751176.1076779428</v>
      </c>
      <c r="I8" s="362">
        <f>Calculation_FSL!N27</f>
        <v>1803711.3909082813</v>
      </c>
      <c r="J8" s="362">
        <f>Calculation_FSL!O27</f>
        <v>1857822.7326355297</v>
      </c>
      <c r="K8" s="362">
        <f>Calculation_FSL!P27</f>
        <v>1913557.4146145957</v>
      </c>
      <c r="L8" s="362">
        <f>Calculation_FSL!Q27</f>
        <v>1970964.1370530336</v>
      </c>
      <c r="M8" s="362">
        <f>Calculation_FSL!R27</f>
        <v>2030093.0611646248</v>
      </c>
      <c r="N8" s="362">
        <f>Calculation_FSL!S27</f>
        <v>2090995.8529995636</v>
      </c>
      <c r="O8" s="362">
        <f>Calculation_FSL!T27</f>
        <v>2153725.7285895501</v>
      </c>
    </row>
    <row r="9" spans="1:20">
      <c r="A9" s="534"/>
      <c r="B9" s="363" t="s">
        <v>1009</v>
      </c>
      <c r="E9" s="362">
        <f>Calculation_FSL!J32</f>
        <v>0</v>
      </c>
      <c r="F9" s="362">
        <f>Calculation_FSL!K32</f>
        <v>0</v>
      </c>
      <c r="G9" s="362">
        <f>Calculation_FSL!L32</f>
        <v>0</v>
      </c>
      <c r="H9" s="362">
        <f>Calculation_FSL!M32</f>
        <v>0</v>
      </c>
      <c r="I9" s="362">
        <f>Calculation_FSL!N32</f>
        <v>0</v>
      </c>
      <c r="J9" s="362">
        <f>Calculation_FSL!O32</f>
        <v>0</v>
      </c>
      <c r="K9" s="362">
        <f>Calculation_FSL!P32</f>
        <v>0</v>
      </c>
      <c r="L9" s="362">
        <f>Calculation_FSL!Q32</f>
        <v>0</v>
      </c>
      <c r="M9" s="362">
        <f>Calculation_FSL!R32</f>
        <v>0</v>
      </c>
      <c r="N9" s="362">
        <f>Calculation_FSL!S32</f>
        <v>0</v>
      </c>
      <c r="O9" s="362">
        <f>Calculation_FSL!T32</f>
        <v>0</v>
      </c>
    </row>
    <row r="10" spans="1:20">
      <c r="A10" s="534"/>
      <c r="B10" s="363" t="s">
        <v>465</v>
      </c>
      <c r="E10" s="362">
        <f>Calculation_FSL!J28</f>
        <v>42400</v>
      </c>
      <c r="F10" s="362">
        <f>Calculation_FSL!K28</f>
        <v>42400</v>
      </c>
      <c r="G10" s="362">
        <f>Calculation_FSL!L28</f>
        <v>42400</v>
      </c>
      <c r="H10" s="362">
        <f>Calculation_FSL!M28</f>
        <v>42400</v>
      </c>
      <c r="I10" s="362">
        <f>Calculation_FSL!N28</f>
        <v>42400</v>
      </c>
      <c r="J10" s="362">
        <f>Calculation_FSL!O28</f>
        <v>43672</v>
      </c>
      <c r="K10" s="362">
        <f>Calculation_FSL!P28</f>
        <v>43672</v>
      </c>
      <c r="L10" s="362">
        <f>Calculation_FSL!Q28</f>
        <v>43672</v>
      </c>
      <c r="M10" s="362">
        <f>Calculation_FSL!R28</f>
        <v>44982.16</v>
      </c>
      <c r="N10" s="362">
        <f>Calculation_FSL!S28</f>
        <v>44982.16</v>
      </c>
      <c r="O10" s="362">
        <f>Calculation_FSL!T28</f>
        <v>44982.16</v>
      </c>
    </row>
    <row r="12" spans="1:20" ht="15">
      <c r="A12" s="534" t="s">
        <v>1010</v>
      </c>
      <c r="B12" s="445" t="s">
        <v>1011</v>
      </c>
      <c r="E12" s="362">
        <f>Calculation_FSL!J174</f>
        <v>0</v>
      </c>
      <c r="F12" s="362">
        <f>Calculation_FSL!K174</f>
        <v>0</v>
      </c>
      <c r="G12" s="362">
        <f>Calculation_FSL!L174</f>
        <v>1300000</v>
      </c>
      <c r="H12" s="362">
        <f>Calculation_FSL!M174</f>
        <v>1300000</v>
      </c>
      <c r="I12" s="362">
        <f>Calculation_FSL!N174</f>
        <v>1300000</v>
      </c>
      <c r="J12" s="362">
        <f>Calculation_FSL!O174</f>
        <v>1339000</v>
      </c>
      <c r="K12" s="362">
        <f>Calculation_FSL!P174</f>
        <v>1339000</v>
      </c>
      <c r="L12" s="362">
        <f>Calculation_FSL!Q174</f>
        <v>1339000</v>
      </c>
      <c r="M12" s="362">
        <f>Calculation_FSL!R174</f>
        <v>1339000</v>
      </c>
      <c r="N12" s="362">
        <f>Calculation_FSL!S174</f>
        <v>1379170</v>
      </c>
      <c r="O12" s="362">
        <f>Calculation_FSL!T174</f>
        <v>1379170</v>
      </c>
    </row>
    <row r="13" spans="1:20">
      <c r="A13" s="534"/>
      <c r="B13" s="363" t="s">
        <v>465</v>
      </c>
      <c r="E13" s="362">
        <f>Calculation_FSL!J175</f>
        <v>0</v>
      </c>
      <c r="F13" s="362">
        <f>Calculation_FSL!K175</f>
        <v>0</v>
      </c>
      <c r="G13" s="362">
        <f>Calculation_FSL!L175</f>
        <v>35000</v>
      </c>
      <c r="H13" s="362">
        <f>Calculation_FSL!M175</f>
        <v>35000</v>
      </c>
      <c r="I13" s="362">
        <f>Calculation_FSL!N175</f>
        <v>35000</v>
      </c>
      <c r="J13" s="362">
        <f>Calculation_FSL!O175</f>
        <v>36400</v>
      </c>
      <c r="K13" s="362">
        <f>Calculation_FSL!P175</f>
        <v>36400</v>
      </c>
      <c r="L13" s="362">
        <f>Calculation_FSL!Q175</f>
        <v>36400</v>
      </c>
      <c r="M13" s="362">
        <f>Calculation_FSL!R175</f>
        <v>36400</v>
      </c>
      <c r="N13" s="362">
        <f>Calculation_FSL!S175</f>
        <v>37856</v>
      </c>
      <c r="O13" s="362">
        <f>Calculation_FSL!T175</f>
        <v>37856</v>
      </c>
    </row>
    <row r="15" spans="1:20" ht="15">
      <c r="A15" s="534" t="s">
        <v>817</v>
      </c>
      <c r="B15" s="445" t="s">
        <v>1011</v>
      </c>
      <c r="E15" s="362">
        <f>Calculation_FSL!J182</f>
        <v>0</v>
      </c>
      <c r="F15" s="362">
        <f>Calculation_FSL!K182</f>
        <v>0</v>
      </c>
      <c r="G15" s="362">
        <f>Calculation_FSL!L182</f>
        <v>1300000</v>
      </c>
      <c r="H15" s="362">
        <f>Calculation_FSL!M182</f>
        <v>1300000</v>
      </c>
      <c r="I15" s="362">
        <f>Calculation_FSL!N182</f>
        <v>1300000</v>
      </c>
      <c r="J15" s="362">
        <f>Calculation_FSL!O182</f>
        <v>1339000</v>
      </c>
      <c r="K15" s="362">
        <f>Calculation_FSL!P182</f>
        <v>1339000</v>
      </c>
      <c r="L15" s="362">
        <f>Calculation_FSL!Q182</f>
        <v>1339000</v>
      </c>
      <c r="M15" s="362">
        <f>Calculation_FSL!R182</f>
        <v>1339000</v>
      </c>
      <c r="N15" s="362">
        <f>Calculation_FSL!S182</f>
        <v>1379170</v>
      </c>
      <c r="O15" s="362">
        <f>Calculation_FSL!T182</f>
        <v>1379170</v>
      </c>
    </row>
    <row r="16" spans="1:20">
      <c r="A16" s="534"/>
      <c r="B16" s="363" t="s">
        <v>465</v>
      </c>
      <c r="E16" s="362">
        <f>Calculation_FSL!J183</f>
        <v>0</v>
      </c>
      <c r="F16" s="362">
        <f>Calculation_FSL!K183</f>
        <v>0</v>
      </c>
      <c r="G16" s="362">
        <f>Calculation_FSL!L183</f>
        <v>2000</v>
      </c>
      <c r="H16" s="362">
        <f>Calculation_FSL!M183</f>
        <v>2000</v>
      </c>
      <c r="I16" s="362">
        <f>Calculation_FSL!N183</f>
        <v>2000</v>
      </c>
      <c r="J16" s="362">
        <f>Calculation_FSL!O183</f>
        <v>2000</v>
      </c>
      <c r="K16" s="362">
        <f>Calculation_FSL!P183</f>
        <v>2000</v>
      </c>
      <c r="L16" s="362">
        <f>Calculation_FSL!Q183</f>
        <v>2000</v>
      </c>
      <c r="M16" s="362">
        <f>Calculation_FSL!R183</f>
        <v>2000</v>
      </c>
      <c r="N16" s="362">
        <f>Calculation_FSL!S183</f>
        <v>2000</v>
      </c>
      <c r="O16" s="362">
        <f>Calculation_FSL!T183</f>
        <v>2000</v>
      </c>
    </row>
    <row r="18" spans="1:15" ht="15">
      <c r="A18" s="534" t="s">
        <v>1012</v>
      </c>
      <c r="B18" s="445" t="s">
        <v>1011</v>
      </c>
      <c r="E18" s="362">
        <f>Calculation_FSL!J227</f>
        <v>0</v>
      </c>
      <c r="F18" s="362">
        <f>Calculation_FSL!K227</f>
        <v>0</v>
      </c>
      <c r="G18" s="362">
        <f>Calculation_FSL!L227</f>
        <v>0</v>
      </c>
      <c r="H18" s="362">
        <f>Calculation_FSL!M227</f>
        <v>3706183.3471676521</v>
      </c>
      <c r="I18" s="362">
        <f>Calculation_FSL!N227</f>
        <v>3826368.847582682</v>
      </c>
      <c r="J18" s="362">
        <f>Calculation_FSL!O227</f>
        <v>3950159.9130101623</v>
      </c>
      <c r="K18" s="362">
        <f>Calculation_FSL!P227</f>
        <v>4077664.7104004677</v>
      </c>
      <c r="L18" s="362">
        <f>Calculation_FSL!Q227</f>
        <v>4208994.6517124819</v>
      </c>
      <c r="M18" s="362">
        <f>Calculation_FSL!R227</f>
        <v>4344264.4912638562</v>
      </c>
      <c r="N18" s="362">
        <f>Calculation_FSL!S227</f>
        <v>4483592.4260017723</v>
      </c>
      <c r="O18" s="362">
        <f>Calculation_FSL!T227</f>
        <v>4627100.1987818247</v>
      </c>
    </row>
    <row r="19" spans="1:15">
      <c r="A19" s="534"/>
      <c r="B19" s="363" t="s">
        <v>465</v>
      </c>
      <c r="C19" s="362" t="s">
        <v>1013</v>
      </c>
      <c r="E19" s="362">
        <f>Calculation_FSL!J229</f>
        <v>400</v>
      </c>
      <c r="F19" s="362">
        <f>Calculation_FSL!K229</f>
        <v>400</v>
      </c>
      <c r="G19" s="362">
        <f>Calculation_FSL!L229</f>
        <v>400</v>
      </c>
      <c r="H19" s="362">
        <f>Calculation_FSL!M229</f>
        <v>400</v>
      </c>
      <c r="I19" s="362">
        <f>Calculation_FSL!N229</f>
        <v>400</v>
      </c>
      <c r="J19" s="362">
        <f>Calculation_FSL!O229</f>
        <v>400</v>
      </c>
      <c r="K19" s="362">
        <f>Calculation_FSL!P229</f>
        <v>400</v>
      </c>
      <c r="L19" s="362">
        <f>Calculation_FSL!Q229</f>
        <v>400</v>
      </c>
      <c r="M19" s="362">
        <f>Calculation_FSL!R229</f>
        <v>400</v>
      </c>
      <c r="N19" s="362">
        <f>Calculation_FSL!S229</f>
        <v>400</v>
      </c>
      <c r="O19" s="362">
        <f>Calculation_FSL!T229</f>
        <v>400</v>
      </c>
    </row>
  </sheetData>
  <mergeCells count="5">
    <mergeCell ref="A8:A10"/>
    <mergeCell ref="A5:A6"/>
    <mergeCell ref="A12:A13"/>
    <mergeCell ref="A15:A16"/>
    <mergeCell ref="A18:A19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91290-D3DA-46B8-9CD1-46CB9220EFE2}">
  <sheetPr codeName="Sheet10">
    <tabColor theme="0" tint="-0.249977111117893"/>
  </sheetPr>
  <dimension ref="A1:W526"/>
  <sheetViews>
    <sheetView showGridLines="0" zoomScale="79" zoomScaleNormal="90" workbookViewId="0">
      <pane xSplit="9" ySplit="14" topLeftCell="J498" activePane="bottomRight" state="frozen"/>
      <selection pane="topRight" activeCell="H90" sqref="H90"/>
      <selection pane="bottomLeft" activeCell="H90" sqref="H90"/>
      <selection pane="bottomRight" activeCell="V231" sqref="V231"/>
    </sheetView>
  </sheetViews>
  <sheetFormatPr defaultColWidth="0" defaultRowHeight="15"/>
  <cols>
    <col min="1" max="1" width="3" customWidth="1"/>
    <col min="2" max="4" width="9.140625" customWidth="1"/>
    <col min="5" max="5" width="15.28515625" customWidth="1"/>
    <col min="6" max="6" width="15.42578125" bestFit="1" customWidth="1"/>
    <col min="7" max="7" width="15.28515625" customWidth="1"/>
    <col min="8" max="8" width="35.42578125" customWidth="1"/>
    <col min="9" max="9" width="13.28515625" bestFit="1" customWidth="1"/>
    <col min="10" max="11" width="12.85546875" bestFit="1" customWidth="1"/>
    <col min="12" max="22" width="12.42578125" customWidth="1"/>
    <col min="23" max="23" width="10.5703125" customWidth="1"/>
  </cols>
  <sheetData>
    <row r="1" spans="2:22" s="3" customFormat="1" ht="23.25">
      <c r="B1" s="4" t="s">
        <v>1014</v>
      </c>
    </row>
    <row r="2" spans="2:22" ht="15.75">
      <c r="B2" s="5"/>
    </row>
    <row r="3" spans="2:22">
      <c r="B3" s="2" t="s">
        <v>1015</v>
      </c>
    </row>
    <row r="4" spans="2:22">
      <c r="B4" t="s">
        <v>29</v>
      </c>
      <c r="D4" s="6">
        <v>1</v>
      </c>
    </row>
    <row r="6" spans="2:22">
      <c r="B6" t="s">
        <v>30</v>
      </c>
      <c r="J6" s="7">
        <f>I7+1</f>
        <v>45292</v>
      </c>
      <c r="K6" s="7">
        <f t="shared" ref="K6:V6" si="0">J7+1</f>
        <v>45658</v>
      </c>
      <c r="L6" s="7">
        <f t="shared" si="0"/>
        <v>46023</v>
      </c>
      <c r="M6" s="7">
        <f t="shared" si="0"/>
        <v>46388</v>
      </c>
      <c r="N6" s="7">
        <f t="shared" si="0"/>
        <v>46753</v>
      </c>
      <c r="O6" s="7">
        <f t="shared" si="0"/>
        <v>47119</v>
      </c>
      <c r="P6" s="7">
        <f t="shared" si="0"/>
        <v>47484</v>
      </c>
      <c r="Q6" s="7">
        <f t="shared" si="0"/>
        <v>47849</v>
      </c>
      <c r="R6" s="7">
        <f t="shared" si="0"/>
        <v>48214</v>
      </c>
      <c r="S6" s="7">
        <f t="shared" si="0"/>
        <v>48580</v>
      </c>
      <c r="T6" s="7">
        <f t="shared" si="0"/>
        <v>48945</v>
      </c>
      <c r="U6" s="7">
        <f t="shared" si="0"/>
        <v>49310</v>
      </c>
      <c r="V6" s="7">
        <f t="shared" si="0"/>
        <v>49675</v>
      </c>
    </row>
    <row r="7" spans="2:22">
      <c r="B7" t="s">
        <v>31</v>
      </c>
      <c r="I7" s="8">
        <f>Calculation_FSL!I7</f>
        <v>45291</v>
      </c>
      <c r="J7" s="7">
        <f>EOMONTH(J6,12-1)</f>
        <v>45657</v>
      </c>
      <c r="K7" s="7">
        <f t="shared" ref="K7:V7" si="1">EOMONTH(K6,12-1)</f>
        <v>46022</v>
      </c>
      <c r="L7" s="7">
        <f t="shared" si="1"/>
        <v>46387</v>
      </c>
      <c r="M7" s="7">
        <f t="shared" si="1"/>
        <v>46752</v>
      </c>
      <c r="N7" s="7">
        <f t="shared" si="1"/>
        <v>47118</v>
      </c>
      <c r="O7" s="7">
        <f t="shared" si="1"/>
        <v>47483</v>
      </c>
      <c r="P7" s="7">
        <f t="shared" si="1"/>
        <v>47848</v>
      </c>
      <c r="Q7" s="7">
        <f t="shared" si="1"/>
        <v>48213</v>
      </c>
      <c r="R7" s="7">
        <f t="shared" si="1"/>
        <v>48579</v>
      </c>
      <c r="S7" s="7">
        <f t="shared" si="1"/>
        <v>48944</v>
      </c>
      <c r="T7" s="7">
        <f t="shared" si="1"/>
        <v>49309</v>
      </c>
      <c r="U7" s="7">
        <f t="shared" si="1"/>
        <v>49674</v>
      </c>
      <c r="V7" s="7">
        <f t="shared" si="1"/>
        <v>50040</v>
      </c>
    </row>
    <row r="8" spans="2:22">
      <c r="B8" t="s">
        <v>32</v>
      </c>
      <c r="J8" s="9">
        <f>YEAR(J7)</f>
        <v>2024</v>
      </c>
      <c r="K8" s="9">
        <f t="shared" ref="K8:V8" si="2">YEAR(K7)</f>
        <v>2025</v>
      </c>
      <c r="L8" s="9">
        <f t="shared" si="2"/>
        <v>2026</v>
      </c>
      <c r="M8" s="9">
        <f t="shared" si="2"/>
        <v>2027</v>
      </c>
      <c r="N8" s="9">
        <f t="shared" si="2"/>
        <v>2028</v>
      </c>
      <c r="O8" s="9">
        <f t="shared" si="2"/>
        <v>2029</v>
      </c>
      <c r="P8" s="9">
        <f t="shared" si="2"/>
        <v>2030</v>
      </c>
      <c r="Q8" s="9">
        <f t="shared" si="2"/>
        <v>2031</v>
      </c>
      <c r="R8" s="9">
        <f t="shared" si="2"/>
        <v>2032</v>
      </c>
      <c r="S8" s="9">
        <f t="shared" si="2"/>
        <v>2033</v>
      </c>
      <c r="T8" s="9">
        <f t="shared" si="2"/>
        <v>2034</v>
      </c>
      <c r="U8" s="9">
        <f t="shared" si="2"/>
        <v>2035</v>
      </c>
      <c r="V8" s="9">
        <f t="shared" si="2"/>
        <v>2036</v>
      </c>
    </row>
    <row r="9" spans="2:22">
      <c r="B9" t="s">
        <v>33</v>
      </c>
      <c r="J9" s="10">
        <f>J7-J6+1</f>
        <v>366</v>
      </c>
      <c r="K9" s="10">
        <f t="shared" ref="K9:V9" si="3">K7-K6+1</f>
        <v>365</v>
      </c>
      <c r="L9" s="10">
        <f t="shared" si="3"/>
        <v>365</v>
      </c>
      <c r="M9" s="10">
        <f t="shared" si="3"/>
        <v>365</v>
      </c>
      <c r="N9" s="10">
        <f t="shared" si="3"/>
        <v>366</v>
      </c>
      <c r="O9" s="10">
        <f t="shared" si="3"/>
        <v>365</v>
      </c>
      <c r="P9" s="10">
        <f t="shared" si="3"/>
        <v>365</v>
      </c>
      <c r="Q9" s="10">
        <f t="shared" si="3"/>
        <v>365</v>
      </c>
      <c r="R9" s="10">
        <f t="shared" si="3"/>
        <v>366</v>
      </c>
      <c r="S9" s="10">
        <f t="shared" si="3"/>
        <v>365</v>
      </c>
      <c r="T9" s="10">
        <f t="shared" si="3"/>
        <v>365</v>
      </c>
      <c r="U9" s="10">
        <f t="shared" si="3"/>
        <v>365</v>
      </c>
      <c r="V9" s="10">
        <f t="shared" si="3"/>
        <v>366</v>
      </c>
    </row>
    <row r="10" spans="2:22">
      <c r="E10" s="11" t="s">
        <v>34</v>
      </c>
      <c r="F10" s="11" t="s">
        <v>35</v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</row>
    <row r="11" spans="2:22">
      <c r="B11" s="407" t="s">
        <v>36</v>
      </c>
      <c r="E11" s="12">
        <f>Calculation_FSL!E11</f>
        <v>45291</v>
      </c>
      <c r="F11" s="12">
        <f>Calculation_FSL!F11</f>
        <v>45291</v>
      </c>
      <c r="J11" s="13">
        <f t="shared" ref="J11:V11" si="4">IF(J7=$F$11,1,0)</f>
        <v>0</v>
      </c>
      <c r="K11" s="13">
        <f t="shared" si="4"/>
        <v>0</v>
      </c>
      <c r="L11" s="13">
        <f t="shared" si="4"/>
        <v>0</v>
      </c>
      <c r="M11" s="13">
        <f t="shared" si="4"/>
        <v>0</v>
      </c>
      <c r="N11" s="13">
        <f t="shared" si="4"/>
        <v>0</v>
      </c>
      <c r="O11" s="13">
        <f t="shared" si="4"/>
        <v>0</v>
      </c>
      <c r="P11" s="13">
        <f t="shared" si="4"/>
        <v>0</v>
      </c>
      <c r="Q11" s="13">
        <f t="shared" si="4"/>
        <v>0</v>
      </c>
      <c r="R11" s="13">
        <f t="shared" si="4"/>
        <v>0</v>
      </c>
      <c r="S11" s="13">
        <f t="shared" si="4"/>
        <v>0</v>
      </c>
      <c r="T11" s="13">
        <f t="shared" si="4"/>
        <v>0</v>
      </c>
      <c r="U11" s="13">
        <f t="shared" si="4"/>
        <v>0</v>
      </c>
      <c r="V11" s="13">
        <f t="shared" si="4"/>
        <v>0</v>
      </c>
    </row>
    <row r="12" spans="2:22">
      <c r="B12" t="s">
        <v>37</v>
      </c>
      <c r="E12" s="12">
        <f>Calculation_FSL!E12</f>
        <v>45292</v>
      </c>
      <c r="F12" s="12">
        <f>Calculation_FSL!F12</f>
        <v>50040</v>
      </c>
      <c r="J12" s="13">
        <f>IF(J11=1,0,IF(J7&gt;$F$12,0,1))</f>
        <v>1</v>
      </c>
      <c r="K12" s="13">
        <f>IF(K11=1,0,IF(K7&gt;$F$12,0,1))</f>
        <v>1</v>
      </c>
      <c r="L12" s="13">
        <f t="shared" ref="L12:V12" si="5">IF(L11=1,0,IF(L7&gt;$F$12,0,1))</f>
        <v>1</v>
      </c>
      <c r="M12" s="13">
        <f t="shared" si="5"/>
        <v>1</v>
      </c>
      <c r="N12" s="13">
        <f t="shared" si="5"/>
        <v>1</v>
      </c>
      <c r="O12" s="13">
        <f t="shared" si="5"/>
        <v>1</v>
      </c>
      <c r="P12" s="13">
        <f t="shared" si="5"/>
        <v>1</v>
      </c>
      <c r="Q12" s="13">
        <f t="shared" si="5"/>
        <v>1</v>
      </c>
      <c r="R12" s="13">
        <f t="shared" si="5"/>
        <v>1</v>
      </c>
      <c r="S12" s="13">
        <f t="shared" si="5"/>
        <v>1</v>
      </c>
      <c r="T12" s="13">
        <f t="shared" si="5"/>
        <v>1</v>
      </c>
      <c r="U12" s="13">
        <f t="shared" si="5"/>
        <v>1</v>
      </c>
      <c r="V12" s="13">
        <f t="shared" si="5"/>
        <v>1</v>
      </c>
    </row>
    <row r="13" spans="2:22">
      <c r="F13" s="7"/>
    </row>
    <row r="14" spans="2:22">
      <c r="B14" t="s">
        <v>38</v>
      </c>
      <c r="J14">
        <f>SUM($J$12:J12)</f>
        <v>1</v>
      </c>
      <c r="K14">
        <f>SUM($J$12:K12)</f>
        <v>2</v>
      </c>
      <c r="L14">
        <f>SUM($J$12:L12)</f>
        <v>3</v>
      </c>
      <c r="M14">
        <f>SUM($J$12:M12)</f>
        <v>4</v>
      </c>
      <c r="N14">
        <f>SUM($J$12:N12)</f>
        <v>5</v>
      </c>
      <c r="O14">
        <f>SUM($J$12:O12)</f>
        <v>6</v>
      </c>
      <c r="P14">
        <f>SUM($J$12:P12)</f>
        <v>7</v>
      </c>
      <c r="Q14">
        <f>SUM($J$12:Q12)</f>
        <v>8</v>
      </c>
      <c r="R14">
        <f>SUM($J$12:R12)</f>
        <v>9</v>
      </c>
      <c r="S14">
        <f>SUM($J$12:S12)</f>
        <v>10</v>
      </c>
      <c r="T14">
        <f>SUM($J$12:T12)</f>
        <v>11</v>
      </c>
      <c r="U14">
        <f>SUM($J$12:U12)</f>
        <v>12</v>
      </c>
      <c r="V14">
        <f>SUM($J$12:V12)</f>
        <v>13</v>
      </c>
    </row>
    <row r="18" spans="2:22" ht="24" thickBot="1">
      <c r="B18" s="14" t="s">
        <v>1016</v>
      </c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</row>
    <row r="19" spans="2:22">
      <c r="B19" s="2" t="s">
        <v>29</v>
      </c>
      <c r="F19" s="6">
        <f>Output_FSL!F28</f>
        <v>1</v>
      </c>
    </row>
    <row r="20" spans="2:22">
      <c r="B20" s="407" t="s">
        <v>623</v>
      </c>
      <c r="I20" s="48">
        <f>SUM(J20:V20)</f>
        <v>2524.1144010738026</v>
      </c>
      <c r="J20" s="458">
        <f>Calculation_FSL!J38*$F$19</f>
        <v>156.43850421456</v>
      </c>
      <c r="K20" s="458">
        <f>Calculation_FSL!K38*$F$19</f>
        <v>161.1316593409968</v>
      </c>
      <c r="L20" s="23">
        <f>Calculation_FSL!L38*$F$19</f>
        <v>165.96560912122669</v>
      </c>
      <c r="M20" s="23">
        <f>Calculation_FSL!M38*$F$19</f>
        <v>170.9445773948635</v>
      </c>
      <c r="N20" s="23">
        <f>Calculation_FSL!N38*$F$19</f>
        <v>176.07291471670942</v>
      </c>
      <c r="O20" s="23">
        <f>Calculation_FSL!O38*$F$19</f>
        <v>186.79575522295704</v>
      </c>
      <c r="P20" s="23">
        <f>Calculation_FSL!P38*$F$19</f>
        <v>192.39962787964578</v>
      </c>
      <c r="Q20" s="23">
        <f>Calculation_FSL!Q38*$F$19</f>
        <v>198.17161671603515</v>
      </c>
      <c r="R20" s="23">
        <f>Calculation_FSL!R38*$F$19</f>
        <v>210.24026817404166</v>
      </c>
      <c r="S20" s="23">
        <f>Calculation_FSL!S38*$F$19</f>
        <v>216.54747621926293</v>
      </c>
      <c r="T20" s="23">
        <f>Calculation_FSL!T38*$F$19</f>
        <v>223.04390050584078</v>
      </c>
      <c r="U20" s="23">
        <f>Calculation_FSL!U38*$F$19</f>
        <v>229.73521752101607</v>
      </c>
      <c r="V20" s="23">
        <f>Calculation_FSL!V38*$F$19</f>
        <v>236.62727404664651</v>
      </c>
    </row>
    <row r="21" spans="2:22">
      <c r="B21" s="407" t="s">
        <v>473</v>
      </c>
      <c r="H21" s="21">
        <f>J21/J20</f>
        <v>-0.19134550942001663</v>
      </c>
      <c r="I21" s="48">
        <f>SUM(J21:V21)</f>
        <v>-520.42015088066546</v>
      </c>
      <c r="J21" s="458">
        <f>-Calculation_FSL!J39*$F$19</f>
        <v>-29.933805281840403</v>
      </c>
      <c r="K21" s="458">
        <f>-Calculation_FSL!K39*$F$19</f>
        <v>-31.312242106439157</v>
      </c>
      <c r="L21" s="23">
        <f>-Calculation_FSL!L39*$F$19</f>
        <v>-32.782572849455804</v>
      </c>
      <c r="M21" s="23">
        <f>-Calculation_FSL!M39*$F$19</f>
        <v>-34.306045674162597</v>
      </c>
      <c r="N21" s="23">
        <f>-Calculation_FSL!N39*$F$19</f>
        <v>-35.908036070326659</v>
      </c>
      <c r="O21" s="23">
        <f>-Calculation_FSL!O39*$F$19</f>
        <v>-37.614152958924677</v>
      </c>
      <c r="P21" s="23">
        <f>-Calculation_FSL!P39*$F$19</f>
        <v>-39.386345581558274</v>
      </c>
      <c r="Q21" s="23">
        <f>-Calculation_FSL!Q39*$F$19</f>
        <v>-41.250731961836813</v>
      </c>
      <c r="R21" s="23">
        <f>-Calculation_FSL!R39*$F$19</f>
        <v>-43.233707510867077</v>
      </c>
      <c r="S21" s="23">
        <f>-Calculation_FSL!S39*$F$19</f>
        <v>-45.298054570196072</v>
      </c>
      <c r="T21" s="23">
        <f>-Calculation_FSL!T39*$F$19</f>
        <v>-47.4707736888776</v>
      </c>
      <c r="U21" s="23">
        <f>-Calculation_FSL!U39*$F$19</f>
        <v>-49.757892912414533</v>
      </c>
      <c r="V21" s="23">
        <f>-Calculation_FSL!V39*$F$19</f>
        <v>-52.165789713765676</v>
      </c>
    </row>
    <row r="22" spans="2:22">
      <c r="B22" s="28" t="s">
        <v>1017</v>
      </c>
      <c r="C22" s="28"/>
      <c r="D22" s="28"/>
      <c r="E22" s="28"/>
      <c r="F22" s="28"/>
      <c r="G22" s="28"/>
      <c r="H22" s="28"/>
      <c r="I22" s="49">
        <f>SUM(J22:V22)</f>
        <v>2003.6942501931369</v>
      </c>
      <c r="J22" s="47">
        <f>SUM(J20:J21)</f>
        <v>126.50469893271959</v>
      </c>
      <c r="K22" s="47">
        <f t="shared" ref="K22:V22" si="6">SUM(K20:K21)</f>
        <v>129.81941723455765</v>
      </c>
      <c r="L22" s="47">
        <f t="shared" si="6"/>
        <v>133.1830362717709</v>
      </c>
      <c r="M22" s="47">
        <f t="shared" si="6"/>
        <v>136.63853172070091</v>
      </c>
      <c r="N22" s="47">
        <f t="shared" si="6"/>
        <v>140.16487864638276</v>
      </c>
      <c r="O22" s="47">
        <f t="shared" si="6"/>
        <v>149.18160226403236</v>
      </c>
      <c r="P22" s="47">
        <f t="shared" si="6"/>
        <v>153.01328229808752</v>
      </c>
      <c r="Q22" s="47">
        <f t="shared" si="6"/>
        <v>156.92088475419834</v>
      </c>
      <c r="R22" s="47">
        <f t="shared" si="6"/>
        <v>167.00656066317458</v>
      </c>
      <c r="S22" s="47">
        <f t="shared" si="6"/>
        <v>171.24942164906685</v>
      </c>
      <c r="T22" s="47">
        <f t="shared" si="6"/>
        <v>175.57312681696317</v>
      </c>
      <c r="U22" s="47">
        <f t="shared" si="6"/>
        <v>179.97732460860152</v>
      </c>
      <c r="V22" s="47">
        <f t="shared" si="6"/>
        <v>184.46148433288084</v>
      </c>
    </row>
    <row r="24" spans="2:22">
      <c r="B24" t="s">
        <v>852</v>
      </c>
      <c r="H24" s="21">
        <f>J24/J20</f>
        <v>-8.9453018963742789E-2</v>
      </c>
      <c r="I24" s="48">
        <f>SUM(J24:V24)</f>
        <v>-217.32269395115927</v>
      </c>
      <c r="J24" s="458">
        <f>-Calculation_FSL!J111*$F$19</f>
        <v>-13.993896484164592</v>
      </c>
      <c r="K24" s="458">
        <f>-Calculation_FSL!K111*$F$19</f>
        <v>-14.400581615140439</v>
      </c>
      <c r="L24" s="23">
        <f>-Calculation_FSL!L111*$F$19</f>
        <v>-14.819204664774587</v>
      </c>
      <c r="M24" s="23">
        <f>-Calculation_FSL!M111*$F$19</f>
        <v>-15.250118517921356</v>
      </c>
      <c r="N24" s="23">
        <f>-Calculation_FSL!N111*$F$19</f>
        <v>-15.693686540926596</v>
      </c>
      <c r="O24" s="23">
        <f>-Calculation_FSL!O111*$F$19</f>
        <v>-16.150282893971351</v>
      </c>
      <c r="P24" s="23">
        <f>-Calculation_FSL!P111*$F$19</f>
        <v>-16.620292852743781</v>
      </c>
      <c r="Q24" s="23">
        <f>-Calculation_FSL!Q111*$F$19</f>
        <v>-17.104113139718446</v>
      </c>
      <c r="R24" s="23">
        <f>-Calculation_FSL!R111*$F$19</f>
        <v>-17.602152265330208</v>
      </c>
      <c r="S24" s="23">
        <f>-Calculation_FSL!S111*$F$19</f>
        <v>-18.114830879338729</v>
      </c>
      <c r="T24" s="23">
        <f>-Calculation_FSL!T111*$F$19</f>
        <v>-18.642582132688467</v>
      </c>
      <c r="U24" s="23">
        <f>-Calculation_FSL!U111*$F$19</f>
        <v>-19.185852050178095</v>
      </c>
      <c r="V24" s="23">
        <f>-Calculation_FSL!V111*$F$19</f>
        <v>-19.7450999142626</v>
      </c>
    </row>
    <row r="25" spans="2:22">
      <c r="B25" s="28" t="s">
        <v>139</v>
      </c>
      <c r="C25" s="28"/>
      <c r="D25" s="28"/>
      <c r="E25" s="28"/>
      <c r="F25" s="28"/>
      <c r="G25" s="28"/>
      <c r="H25" s="28"/>
      <c r="I25" s="49">
        <f>SUM(J25:V25)</f>
        <v>1786.3715562419782</v>
      </c>
      <c r="J25" s="47">
        <f>SUM(J22,J24)</f>
        <v>112.510802448555</v>
      </c>
      <c r="K25" s="460">
        <f t="shared" ref="K25:V25" si="7">SUM(K22,K24)</f>
        <v>115.41883561941721</v>
      </c>
      <c r="L25" s="460">
        <f t="shared" si="7"/>
        <v>118.36383160699631</v>
      </c>
      <c r="M25" s="47">
        <f t="shared" si="7"/>
        <v>121.38841320277956</v>
      </c>
      <c r="N25" s="47">
        <f t="shared" si="7"/>
        <v>124.47119210545617</v>
      </c>
      <c r="O25" s="47">
        <f t="shared" si="7"/>
        <v>133.031319370061</v>
      </c>
      <c r="P25" s="47">
        <f t="shared" si="7"/>
        <v>136.39298944534374</v>
      </c>
      <c r="Q25" s="47">
        <f t="shared" si="7"/>
        <v>139.8167716144799</v>
      </c>
      <c r="R25" s="47">
        <f t="shared" si="7"/>
        <v>149.40440839784438</v>
      </c>
      <c r="S25" s="47">
        <f t="shared" si="7"/>
        <v>153.13459076972811</v>
      </c>
      <c r="T25" s="47">
        <f t="shared" si="7"/>
        <v>156.93054468427471</v>
      </c>
      <c r="U25" s="47">
        <f t="shared" si="7"/>
        <v>160.79147255842344</v>
      </c>
      <c r="V25" s="47">
        <f t="shared" si="7"/>
        <v>164.71638441861825</v>
      </c>
    </row>
    <row r="27" spans="2:22">
      <c r="B27" t="s">
        <v>1018</v>
      </c>
      <c r="H27" s="21">
        <f>J27/J20</f>
        <v>-0.26681910815679749</v>
      </c>
      <c r="I27" s="49">
        <f>SUM(J27:V27)</f>
        <v>-567.09008593583599</v>
      </c>
      <c r="J27" s="23">
        <f>-Calculation_FSL!J125*$F$19</f>
        <v>-41.740782175912301</v>
      </c>
      <c r="K27" s="23">
        <f>-Calculation_FSL!K125*$F$19</f>
        <v>-41.746256305782097</v>
      </c>
      <c r="L27" s="23">
        <f>-Calculation_FSL!L125*$F$19</f>
        <v>-42.751839918249296</v>
      </c>
      <c r="M27" s="23">
        <f>-Calculation_FSL!M125*$F$19</f>
        <v>-42.757535202965833</v>
      </c>
      <c r="N27" s="23">
        <f>-Calculation_FSL!N125*$F$19</f>
        <v>-42.763344393376705</v>
      </c>
      <c r="O27" s="23">
        <f>-Calculation_FSL!O125*$F$19</f>
        <v>-43.769269767595794</v>
      </c>
      <c r="P27" s="23">
        <f>-Calculation_FSL!P125*$F$19</f>
        <v>-43.775313649299264</v>
      </c>
      <c r="Q27" s="23">
        <f>-Calculation_FSL!Q125*$F$19</f>
        <v>-43.781478408636801</v>
      </c>
      <c r="R27" s="23">
        <f>-Calculation_FSL!R125*$F$19</f>
        <v>-44.787766463161091</v>
      </c>
      <c r="S27" s="23">
        <f>-Calculation_FSL!S125*$F$19</f>
        <v>-44.794180278775869</v>
      </c>
      <c r="T27" s="23">
        <f>-Calculation_FSL!T125*$F$19</f>
        <v>-44.800722370702942</v>
      </c>
      <c r="U27" s="23">
        <f>-Calculation_FSL!U125*$F$19</f>
        <v>-44.80739530446855</v>
      </c>
      <c r="V27" s="23">
        <f>-Calculation_FSL!V125*$F$19</f>
        <v>-44.814201696909478</v>
      </c>
    </row>
    <row r="28" spans="2:22">
      <c r="B28" s="28" t="s">
        <v>434</v>
      </c>
      <c r="C28" s="28"/>
      <c r="D28" s="28"/>
      <c r="E28" s="28"/>
      <c r="F28" s="28"/>
      <c r="G28" s="28"/>
      <c r="H28" s="28"/>
      <c r="I28" s="49">
        <f>SUM(J28:V28)</f>
        <v>1219.2814703061417</v>
      </c>
      <c r="J28" s="47">
        <f>SUM(J25,J27)</f>
        <v>70.770020272642697</v>
      </c>
      <c r="K28" s="47">
        <f t="shared" ref="K28:V28" si="8">SUM(K25,K27)</f>
        <v>73.672579313635111</v>
      </c>
      <c r="L28" s="47">
        <f t="shared" si="8"/>
        <v>75.611991688747025</v>
      </c>
      <c r="M28" s="47">
        <f t="shared" si="8"/>
        <v>78.63087799981372</v>
      </c>
      <c r="N28" s="47">
        <f t="shared" si="8"/>
        <v>81.707847712079456</v>
      </c>
      <c r="O28" s="47">
        <f t="shared" si="8"/>
        <v>89.262049602465197</v>
      </c>
      <c r="P28" s="47">
        <f t="shared" si="8"/>
        <v>92.61767579604448</v>
      </c>
      <c r="Q28" s="47">
        <f t="shared" si="8"/>
        <v>96.035293205843104</v>
      </c>
      <c r="R28" s="47">
        <f t="shared" si="8"/>
        <v>104.61664193468329</v>
      </c>
      <c r="S28" s="47">
        <f t="shared" si="8"/>
        <v>108.34041049095224</v>
      </c>
      <c r="T28" s="47">
        <f t="shared" si="8"/>
        <v>112.12982231357176</v>
      </c>
      <c r="U28" s="47">
        <f t="shared" si="8"/>
        <v>115.98407725395489</v>
      </c>
      <c r="V28" s="47">
        <f t="shared" si="8"/>
        <v>119.90218272170877</v>
      </c>
    </row>
    <row r="29" spans="2:22"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</row>
    <row r="30" spans="2:22">
      <c r="B30" t="s">
        <v>881</v>
      </c>
      <c r="I30" s="48">
        <f>SUM(J30:V30)</f>
        <v>0</v>
      </c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</row>
    <row r="31" spans="2:22">
      <c r="B31" s="28" t="s">
        <v>1019</v>
      </c>
      <c r="C31" s="28"/>
      <c r="D31" s="28"/>
      <c r="E31" s="28"/>
      <c r="F31" s="28"/>
      <c r="G31" s="28"/>
      <c r="H31" s="28"/>
      <c r="I31" s="48">
        <f>SUM(J31:V31)</f>
        <v>1219.2814703061417</v>
      </c>
      <c r="J31" s="47">
        <f>SUM(J28,J30)</f>
        <v>70.770020272642697</v>
      </c>
      <c r="K31" s="47">
        <f t="shared" ref="K31:V31" si="9">SUM(K28,K30)</f>
        <v>73.672579313635111</v>
      </c>
      <c r="L31" s="47">
        <f t="shared" si="9"/>
        <v>75.611991688747025</v>
      </c>
      <c r="M31" s="47">
        <f t="shared" si="9"/>
        <v>78.63087799981372</v>
      </c>
      <c r="N31" s="47">
        <f t="shared" si="9"/>
        <v>81.707847712079456</v>
      </c>
      <c r="O31" s="47">
        <f t="shared" si="9"/>
        <v>89.262049602465197</v>
      </c>
      <c r="P31" s="47">
        <f t="shared" si="9"/>
        <v>92.61767579604448</v>
      </c>
      <c r="Q31" s="47">
        <f t="shared" si="9"/>
        <v>96.035293205843104</v>
      </c>
      <c r="R31" s="47">
        <f t="shared" si="9"/>
        <v>104.61664193468329</v>
      </c>
      <c r="S31" s="47">
        <f t="shared" si="9"/>
        <v>108.34041049095224</v>
      </c>
      <c r="T31" s="47">
        <f t="shared" si="9"/>
        <v>112.12982231357176</v>
      </c>
      <c r="U31" s="47">
        <f t="shared" si="9"/>
        <v>115.98407725395489</v>
      </c>
      <c r="V31" s="47">
        <f t="shared" si="9"/>
        <v>119.90218272170877</v>
      </c>
    </row>
    <row r="32" spans="2:22"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</row>
    <row r="33" spans="2:22">
      <c r="B33" t="s">
        <v>759</v>
      </c>
      <c r="I33" s="48">
        <f>SUM(J33:V33)</f>
        <v>-268.24192346735117</v>
      </c>
      <c r="J33" s="23">
        <f>-IF(J31&lt;0,0,J31*22%)</f>
        <v>-15.569404459981394</v>
      </c>
      <c r="K33" s="23">
        <f t="shared" ref="K33:V33" si="10">-IF(K31&lt;0,0,K31*22%)</f>
        <v>-16.207967448999725</v>
      </c>
      <c r="L33" s="23">
        <f t="shared" si="10"/>
        <v>-16.634638171524347</v>
      </c>
      <c r="M33" s="23">
        <f t="shared" si="10"/>
        <v>-17.298793159959018</v>
      </c>
      <c r="N33" s="23">
        <f t="shared" si="10"/>
        <v>-17.975726496657479</v>
      </c>
      <c r="O33" s="23">
        <f t="shared" si="10"/>
        <v>-19.637650912542345</v>
      </c>
      <c r="P33" s="23">
        <f t="shared" si="10"/>
        <v>-20.375888675129787</v>
      </c>
      <c r="Q33" s="23">
        <f t="shared" si="10"/>
        <v>-21.127764505285484</v>
      </c>
      <c r="R33" s="23">
        <f t="shared" si="10"/>
        <v>-23.015661225630325</v>
      </c>
      <c r="S33" s="23">
        <f t="shared" si="10"/>
        <v>-23.834890308009491</v>
      </c>
      <c r="T33" s="23">
        <f t="shared" si="10"/>
        <v>-24.668560908985789</v>
      </c>
      <c r="U33" s="23">
        <f t="shared" si="10"/>
        <v>-25.516496995870078</v>
      </c>
      <c r="V33" s="23">
        <f t="shared" si="10"/>
        <v>-26.378480198775929</v>
      </c>
    </row>
    <row r="34" spans="2:22">
      <c r="B34" s="28" t="s">
        <v>1020</v>
      </c>
      <c r="C34" s="28"/>
      <c r="D34" s="28"/>
      <c r="E34" s="28"/>
      <c r="F34" s="28"/>
      <c r="G34" s="28"/>
      <c r="H34" s="28"/>
      <c r="I34" s="48">
        <f>SUM(J34:V34)</f>
        <v>951.03954683879056</v>
      </c>
      <c r="J34" s="47">
        <f>SUM(J31,J33)</f>
        <v>55.200615812661304</v>
      </c>
      <c r="K34" s="47">
        <f t="shared" ref="K34:V34" si="11">SUM(K31,K33)</f>
        <v>57.464611864635387</v>
      </c>
      <c r="L34" s="47">
        <f t="shared" si="11"/>
        <v>58.977353517222681</v>
      </c>
      <c r="M34" s="47">
        <f t="shared" si="11"/>
        <v>61.332084839854701</v>
      </c>
      <c r="N34" s="47">
        <f t="shared" si="11"/>
        <v>63.732121215421977</v>
      </c>
      <c r="O34" s="47">
        <f t="shared" si="11"/>
        <v>69.624398689922856</v>
      </c>
      <c r="P34" s="47">
        <f t="shared" si="11"/>
        <v>72.241787120914694</v>
      </c>
      <c r="Q34" s="47">
        <f t="shared" si="11"/>
        <v>74.90752870055762</v>
      </c>
      <c r="R34" s="47">
        <f t="shared" si="11"/>
        <v>81.600980709052962</v>
      </c>
      <c r="S34" s="47">
        <f t="shared" si="11"/>
        <v>84.505520182942746</v>
      </c>
      <c r="T34" s="47">
        <f t="shared" si="11"/>
        <v>87.461261404585969</v>
      </c>
      <c r="U34" s="47">
        <f t="shared" si="11"/>
        <v>90.467580258084809</v>
      </c>
      <c r="V34" s="47">
        <f t="shared" si="11"/>
        <v>93.523702522932837</v>
      </c>
    </row>
    <row r="36" spans="2:22">
      <c r="B36" s="407" t="s">
        <v>32</v>
      </c>
      <c r="C36" s="407"/>
      <c r="D36" s="407"/>
      <c r="E36" s="407"/>
      <c r="F36" s="407"/>
      <c r="G36" s="407"/>
      <c r="H36" s="407"/>
      <c r="I36" s="407"/>
      <c r="J36" s="9">
        <f>J8</f>
        <v>2024</v>
      </c>
      <c r="K36" s="9">
        <f t="shared" ref="K36:T36" si="12">K8</f>
        <v>2025</v>
      </c>
      <c r="L36" s="9">
        <f t="shared" si="12"/>
        <v>2026</v>
      </c>
      <c r="M36" s="9">
        <f t="shared" si="12"/>
        <v>2027</v>
      </c>
      <c r="N36" s="9">
        <f t="shared" si="12"/>
        <v>2028</v>
      </c>
      <c r="O36" s="9">
        <f t="shared" si="12"/>
        <v>2029</v>
      </c>
      <c r="P36" s="9">
        <f t="shared" si="12"/>
        <v>2030</v>
      </c>
      <c r="Q36" s="9">
        <f t="shared" si="12"/>
        <v>2031</v>
      </c>
      <c r="R36" s="9">
        <f t="shared" si="12"/>
        <v>2032</v>
      </c>
      <c r="S36" s="9">
        <f t="shared" si="12"/>
        <v>2033</v>
      </c>
      <c r="T36" s="9">
        <f t="shared" si="12"/>
        <v>2034</v>
      </c>
      <c r="U36" s="9">
        <f>U8</f>
        <v>2035</v>
      </c>
      <c r="V36" s="9">
        <f>V8</f>
        <v>2036</v>
      </c>
    </row>
    <row r="37" spans="2:22">
      <c r="B37" s="55" t="s">
        <v>1021</v>
      </c>
      <c r="C37" s="51"/>
      <c r="D37" s="51"/>
      <c r="E37" s="51"/>
      <c r="F37" s="51"/>
      <c r="G37" s="51"/>
      <c r="H37" s="51"/>
      <c r="I37" s="259">
        <f>100%-J37</f>
        <v>0.19134550942001671</v>
      </c>
      <c r="J37" s="56">
        <f>IFERROR(J22/J20,0)</f>
        <v>0.80865449057998329</v>
      </c>
      <c r="K37" s="56">
        <f t="shared" ref="K37:T37" si="13">IFERROR(K22/K20,0)</f>
        <v>0.80567293705966092</v>
      </c>
      <c r="L37" s="56">
        <f t="shared" si="13"/>
        <v>0.80247369908117328</v>
      </c>
      <c r="M37" s="56">
        <f t="shared" si="13"/>
        <v>0.7993148060209051</v>
      </c>
      <c r="N37" s="56">
        <f t="shared" si="13"/>
        <v>0.79606155706514825</v>
      </c>
      <c r="O37" s="56">
        <f t="shared" si="13"/>
        <v>0.7986348623713162</v>
      </c>
      <c r="P37" s="56">
        <f t="shared" si="13"/>
        <v>0.79528886819783196</v>
      </c>
      <c r="Q37" s="56">
        <f t="shared" si="13"/>
        <v>0.79184338985866998</v>
      </c>
      <c r="R37" s="56">
        <f t="shared" si="13"/>
        <v>0.79436048152736738</v>
      </c>
      <c r="S37" s="56">
        <f t="shared" si="13"/>
        <v>0.79081698221072771</v>
      </c>
      <c r="T37" s="56">
        <f t="shared" si="13"/>
        <v>0.78716847409313262</v>
      </c>
      <c r="U37" s="56">
        <f>IFERROR(U22/U20,0)</f>
        <v>0.78341199294852248</v>
      </c>
      <c r="V37" s="56">
        <f>IFERROR(V22/V20,0)</f>
        <v>0.77954447591074316</v>
      </c>
    </row>
    <row r="38" spans="2:22">
      <c r="B38" s="55" t="s">
        <v>1022</v>
      </c>
      <c r="C38" s="51"/>
      <c r="D38" s="51"/>
      <c r="E38" s="51"/>
      <c r="F38" s="51"/>
      <c r="G38" s="51"/>
      <c r="H38" s="51"/>
      <c r="I38" s="259">
        <f>J$37-J38</f>
        <v>8.9453018963742803E-2</v>
      </c>
      <c r="J38" s="56">
        <f>IFERROR(J25/J20,0)</f>
        <v>0.71920147161624048</v>
      </c>
      <c r="K38" s="56">
        <f t="shared" ref="K38:V38" si="14">IFERROR(K25/K20,0)</f>
        <v>0.71630141519960833</v>
      </c>
      <c r="L38" s="56">
        <f t="shared" si="14"/>
        <v>0.71318288309079447</v>
      </c>
      <c r="M38" s="56">
        <f t="shared" si="14"/>
        <v>0.71010391234806736</v>
      </c>
      <c r="N38" s="56">
        <f t="shared" si="14"/>
        <v>0.70692980976502107</v>
      </c>
      <c r="O38" s="56">
        <f t="shared" si="14"/>
        <v>0.71217528048898382</v>
      </c>
      <c r="P38" s="56">
        <f t="shared" si="14"/>
        <v>0.70890464263612507</v>
      </c>
      <c r="Q38" s="56">
        <f t="shared" si="14"/>
        <v>0.70553378900282526</v>
      </c>
      <c r="R38" s="56">
        <f t="shared" si="14"/>
        <v>0.71063650030242553</v>
      </c>
      <c r="S38" s="56">
        <f t="shared" si="14"/>
        <v>0.70716405216689404</v>
      </c>
      <c r="T38" s="56">
        <f t="shared" si="14"/>
        <v>0.70358590541311494</v>
      </c>
      <c r="U38" s="56">
        <f t="shared" si="14"/>
        <v>0.69989910251228382</v>
      </c>
      <c r="V38" s="56">
        <f t="shared" si="14"/>
        <v>0.69610058723047952</v>
      </c>
    </row>
    <row r="39" spans="2:22">
      <c r="B39" s="55" t="s">
        <v>1023</v>
      </c>
      <c r="C39" s="51"/>
      <c r="D39" s="51"/>
      <c r="E39" s="51"/>
      <c r="F39" s="51"/>
      <c r="G39" s="51"/>
      <c r="H39" s="51"/>
      <c r="I39" s="259"/>
      <c r="J39" s="56">
        <f>J28/J20</f>
        <v>0.45238236345944305</v>
      </c>
      <c r="K39" s="56">
        <f t="shared" ref="K39:V39" si="15">K28/K20</f>
        <v>0.45721976435260703</v>
      </c>
      <c r="L39" s="56">
        <f t="shared" si="15"/>
        <v>0.45558831187440502</v>
      </c>
      <c r="M39" s="56">
        <f t="shared" si="15"/>
        <v>0.45997877907636048</v>
      </c>
      <c r="N39" s="56">
        <f t="shared" si="15"/>
        <v>0.46405688145472229</v>
      </c>
      <c r="O39" s="56">
        <f t="shared" si="15"/>
        <v>0.47785908997730248</v>
      </c>
      <c r="P39" s="56">
        <f t="shared" si="15"/>
        <v>0.48138178237008239</v>
      </c>
      <c r="Q39" s="56">
        <f t="shared" si="15"/>
        <v>0.4846066999768911</v>
      </c>
      <c r="R39" s="56">
        <f t="shared" si="15"/>
        <v>0.49760515834235552</v>
      </c>
      <c r="S39" s="56">
        <f t="shared" si="15"/>
        <v>0.50030788805524229</v>
      </c>
      <c r="T39" s="56">
        <f t="shared" si="15"/>
        <v>0.50272534715933848</v>
      </c>
      <c r="U39" s="56">
        <f t="shared" si="15"/>
        <v>0.50485980558616239</v>
      </c>
      <c r="V39" s="56">
        <f t="shared" si="15"/>
        <v>0.50671328233309387</v>
      </c>
    </row>
    <row r="40" spans="2:22">
      <c r="B40" s="55" t="s">
        <v>990</v>
      </c>
      <c r="C40" s="51"/>
      <c r="D40" s="51"/>
      <c r="E40" s="51"/>
      <c r="F40" s="51"/>
      <c r="G40" s="51"/>
      <c r="H40" s="51"/>
      <c r="I40" s="259">
        <f>J$37-J40</f>
        <v>0.4557962470816177</v>
      </c>
      <c r="J40" s="52">
        <f>IFERROR(J34/J20,0)</f>
        <v>0.35285824349836559</v>
      </c>
      <c r="K40" s="52">
        <f t="shared" ref="K40:V40" si="16">IFERROR(K34/K20,0)</f>
        <v>0.35663141619503347</v>
      </c>
      <c r="L40" s="52">
        <f t="shared" si="16"/>
        <v>0.35535888326203591</v>
      </c>
      <c r="M40" s="52">
        <f t="shared" si="16"/>
        <v>0.35878344767956116</v>
      </c>
      <c r="N40" s="52">
        <f t="shared" si="16"/>
        <v>0.36196436753468342</v>
      </c>
      <c r="O40" s="52">
        <f t="shared" si="16"/>
        <v>0.37273009018229591</v>
      </c>
      <c r="P40" s="52">
        <f t="shared" si="16"/>
        <v>0.37547779024866423</v>
      </c>
      <c r="Q40" s="52">
        <f t="shared" si="16"/>
        <v>0.37799322598197505</v>
      </c>
      <c r="R40" s="52">
        <f t="shared" si="16"/>
        <v>0.38813202350703729</v>
      </c>
      <c r="S40" s="52">
        <f t="shared" si="16"/>
        <v>0.39024015268308898</v>
      </c>
      <c r="T40" s="52">
        <f t="shared" si="16"/>
        <v>0.39212577078428401</v>
      </c>
      <c r="U40" s="52">
        <f t="shared" si="16"/>
        <v>0.39379064835720662</v>
      </c>
      <c r="V40" s="52">
        <f t="shared" si="16"/>
        <v>0.39523636021981323</v>
      </c>
    </row>
    <row r="41" spans="2:22">
      <c r="B41" s="55"/>
      <c r="C41" s="51"/>
      <c r="D41" s="51"/>
      <c r="E41" s="51"/>
      <c r="F41" s="51"/>
      <c r="G41" s="51"/>
      <c r="H41" s="51"/>
      <c r="I41" s="259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</row>
    <row r="42" spans="2:22" ht="24" thickBot="1">
      <c r="B42" s="14" t="s">
        <v>1095</v>
      </c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</row>
    <row r="43" spans="2:22">
      <c r="B43" s="2" t="s">
        <v>29</v>
      </c>
      <c r="F43" s="6">
        <f>Output_FSL!F29</f>
        <v>1</v>
      </c>
    </row>
    <row r="44" spans="2:22">
      <c r="B44" s="407" t="s">
        <v>623</v>
      </c>
      <c r="I44" s="48">
        <f>SUM(J44:V44)</f>
        <v>132.60000000000002</v>
      </c>
      <c r="J44" s="458">
        <f>Calculation_FSL!J135</f>
        <v>0</v>
      </c>
      <c r="K44" s="458">
        <f>Calculation_FSL!K135</f>
        <v>0</v>
      </c>
      <c r="L44" s="458">
        <f>Calculation_FSL!L135</f>
        <v>0</v>
      </c>
      <c r="M44" s="458">
        <f>Calculation_FSL!M135</f>
        <v>13.26</v>
      </c>
      <c r="N44" s="458">
        <f>Calculation_FSL!N135</f>
        <v>13.26</v>
      </c>
      <c r="O44" s="458">
        <f>Calculation_FSL!O135</f>
        <v>13.26</v>
      </c>
      <c r="P44" s="458">
        <f>Calculation_FSL!P135</f>
        <v>13.26</v>
      </c>
      <c r="Q44" s="458">
        <f>Calculation_FSL!Q135</f>
        <v>13.26</v>
      </c>
      <c r="R44" s="458">
        <f>Calculation_FSL!R135</f>
        <v>13.26</v>
      </c>
      <c r="S44" s="458">
        <f>Calculation_FSL!S135</f>
        <v>13.26</v>
      </c>
      <c r="T44" s="458">
        <f>Calculation_FSL!T135</f>
        <v>13.26</v>
      </c>
      <c r="U44" s="458">
        <f>Calculation_FSL!U135</f>
        <v>13.26</v>
      </c>
      <c r="V44" s="458">
        <f>Calculation_FSL!V135</f>
        <v>13.26</v>
      </c>
    </row>
    <row r="45" spans="2:22">
      <c r="B45" s="407" t="s">
        <v>473</v>
      </c>
      <c r="H45" s="21"/>
      <c r="I45" s="48">
        <f>SUM(J45:V45)</f>
        <v>0</v>
      </c>
      <c r="J45" s="458">
        <f>-Calculation_FSL!J62*$F$19</f>
        <v>0</v>
      </c>
      <c r="K45" s="23">
        <f>-Calculation_FSL!K62*$F$19</f>
        <v>0</v>
      </c>
      <c r="L45" s="23">
        <f>-Calculation_FSL!L62*$F$19</f>
        <v>0</v>
      </c>
      <c r="M45" s="23">
        <f>-Calculation_FSL!M62*$F$19</f>
        <v>0</v>
      </c>
      <c r="N45" s="23">
        <f>-Calculation_FSL!N62*$F$19</f>
        <v>0</v>
      </c>
      <c r="O45" s="23">
        <f>-Calculation_FSL!O62*$F$19</f>
        <v>0</v>
      </c>
      <c r="P45" s="23">
        <f>-Calculation_FSL!P62*$F$19</f>
        <v>0</v>
      </c>
      <c r="Q45" s="23">
        <f>-Calculation_FSL!Q62*$F$19</f>
        <v>0</v>
      </c>
      <c r="R45" s="23">
        <f>-Calculation_FSL!R62*$F$19</f>
        <v>0</v>
      </c>
      <c r="S45" s="23">
        <f>-Calculation_FSL!S62*$F$19</f>
        <v>0</v>
      </c>
      <c r="T45" s="23">
        <f>-Calculation_FSL!T62*$F$19</f>
        <v>0</v>
      </c>
      <c r="U45" s="23">
        <f>-Calculation_FSL!U62*$F$19</f>
        <v>0</v>
      </c>
      <c r="V45" s="23">
        <f>-Calculation_FSL!V62*$F$19</f>
        <v>0</v>
      </c>
    </row>
    <row r="46" spans="2:22">
      <c r="B46" s="28" t="s">
        <v>1017</v>
      </c>
      <c r="C46" s="28"/>
      <c r="D46" s="28"/>
      <c r="E46" s="28"/>
      <c r="F46" s="28"/>
      <c r="G46" s="28"/>
      <c r="H46" s="28"/>
      <c r="I46" s="49">
        <f>SUM(J46:V46)</f>
        <v>132.60000000000002</v>
      </c>
      <c r="J46" s="47">
        <f>SUM(J44:J45)</f>
        <v>0</v>
      </c>
      <c r="K46" s="47">
        <f t="shared" ref="K46:V46" si="17">SUM(K44:K45)</f>
        <v>0</v>
      </c>
      <c r="L46" s="47">
        <f t="shared" si="17"/>
        <v>0</v>
      </c>
      <c r="M46" s="47">
        <f t="shared" si="17"/>
        <v>13.26</v>
      </c>
      <c r="N46" s="47">
        <f t="shared" si="17"/>
        <v>13.26</v>
      </c>
      <c r="O46" s="47">
        <f t="shared" si="17"/>
        <v>13.26</v>
      </c>
      <c r="P46" s="47">
        <f t="shared" si="17"/>
        <v>13.26</v>
      </c>
      <c r="Q46" s="47">
        <f t="shared" si="17"/>
        <v>13.26</v>
      </c>
      <c r="R46" s="47">
        <f t="shared" si="17"/>
        <v>13.26</v>
      </c>
      <c r="S46" s="47">
        <f t="shared" si="17"/>
        <v>13.26</v>
      </c>
      <c r="T46" s="47">
        <f t="shared" si="17"/>
        <v>13.26</v>
      </c>
      <c r="U46" s="47">
        <f t="shared" si="17"/>
        <v>13.26</v>
      </c>
      <c r="V46" s="47">
        <f t="shared" si="17"/>
        <v>13.26</v>
      </c>
    </row>
    <row r="48" spans="2:22">
      <c r="B48" t="s">
        <v>852</v>
      </c>
      <c r="H48" s="21"/>
      <c r="I48" s="48">
        <f>SUM(J48:V48)</f>
        <v>-0.61200000000000021</v>
      </c>
      <c r="J48" s="23">
        <f>Calculation_FSL!J147</f>
        <v>0</v>
      </c>
      <c r="K48" s="23">
        <f>Calculation_FSL!K147</f>
        <v>0</v>
      </c>
      <c r="L48" s="23">
        <f>Calculation_FSL!L147</f>
        <v>0</v>
      </c>
      <c r="M48" s="23">
        <f>Calculation_FSL!M147</f>
        <v>-6.1200000000000004E-2</v>
      </c>
      <c r="N48" s="23">
        <f>Calculation_FSL!N147</f>
        <v>-6.1200000000000004E-2</v>
      </c>
      <c r="O48" s="23">
        <f>Calculation_FSL!O147</f>
        <v>-6.1200000000000004E-2</v>
      </c>
      <c r="P48" s="23">
        <f>Calculation_FSL!P147</f>
        <v>-6.1200000000000004E-2</v>
      </c>
      <c r="Q48" s="23">
        <f>Calculation_FSL!Q147</f>
        <v>-6.1200000000000004E-2</v>
      </c>
      <c r="R48" s="23">
        <f>Calculation_FSL!R147</f>
        <v>-6.1200000000000004E-2</v>
      </c>
      <c r="S48" s="23">
        <f>Calculation_FSL!S147</f>
        <v>-6.1200000000000004E-2</v>
      </c>
      <c r="T48" s="23">
        <f>Calculation_FSL!T147</f>
        <v>-6.1200000000000004E-2</v>
      </c>
      <c r="U48" s="23">
        <f>Calculation_FSL!U147</f>
        <v>-6.1200000000000004E-2</v>
      </c>
      <c r="V48" s="23">
        <f>Calculation_FSL!V147</f>
        <v>-6.1200000000000004E-2</v>
      </c>
    </row>
    <row r="49" spans="2:22">
      <c r="B49" s="28" t="s">
        <v>139</v>
      </c>
      <c r="C49" s="28"/>
      <c r="D49" s="28"/>
      <c r="E49" s="28"/>
      <c r="F49" s="28"/>
      <c r="G49" s="28"/>
      <c r="H49" s="28"/>
      <c r="I49" s="49">
        <f>SUM(J49:V49)</f>
        <v>131.98800000000003</v>
      </c>
      <c r="J49" s="47">
        <f>SUM(J46,J48)</f>
        <v>0</v>
      </c>
      <c r="K49" s="47">
        <f t="shared" ref="K49:V49" si="18">SUM(K46,K48)</f>
        <v>0</v>
      </c>
      <c r="L49" s="47">
        <f t="shared" si="18"/>
        <v>0</v>
      </c>
      <c r="M49" s="47">
        <f t="shared" si="18"/>
        <v>13.1988</v>
      </c>
      <c r="N49" s="47">
        <f t="shared" si="18"/>
        <v>13.1988</v>
      </c>
      <c r="O49" s="47">
        <f t="shared" si="18"/>
        <v>13.1988</v>
      </c>
      <c r="P49" s="47">
        <f t="shared" si="18"/>
        <v>13.1988</v>
      </c>
      <c r="Q49" s="47">
        <f t="shared" si="18"/>
        <v>13.1988</v>
      </c>
      <c r="R49" s="47">
        <f t="shared" si="18"/>
        <v>13.1988</v>
      </c>
      <c r="S49" s="47">
        <f t="shared" si="18"/>
        <v>13.1988</v>
      </c>
      <c r="T49" s="47">
        <f t="shared" si="18"/>
        <v>13.1988</v>
      </c>
      <c r="U49" s="47">
        <f t="shared" si="18"/>
        <v>13.1988</v>
      </c>
      <c r="V49" s="47">
        <f t="shared" si="18"/>
        <v>13.1988</v>
      </c>
    </row>
    <row r="51" spans="2:22">
      <c r="B51" t="s">
        <v>1018</v>
      </c>
      <c r="H51" s="21"/>
      <c r="I51" s="49">
        <f>SUM(J51:V51)</f>
        <v>-41.917718750000006</v>
      </c>
      <c r="J51" s="23">
        <f>Calculation_FSL!J150</f>
        <v>0</v>
      </c>
      <c r="K51" s="23">
        <f>Calculation_FSL!K150</f>
        <v>0</v>
      </c>
      <c r="L51" s="23">
        <f>Calculation_FSL!L150</f>
        <v>0</v>
      </c>
      <c r="M51" s="23">
        <f>Calculation_FSL!M150</f>
        <v>-4.1917718750000006</v>
      </c>
      <c r="N51" s="23">
        <f>Calculation_FSL!N150</f>
        <v>-4.1917718750000006</v>
      </c>
      <c r="O51" s="23">
        <f>Calculation_FSL!O150</f>
        <v>-4.1917718750000006</v>
      </c>
      <c r="P51" s="23">
        <f>Calculation_FSL!P150</f>
        <v>-4.1917718750000006</v>
      </c>
      <c r="Q51" s="23">
        <f>Calculation_FSL!Q150</f>
        <v>-4.1917718750000006</v>
      </c>
      <c r="R51" s="23">
        <f>Calculation_FSL!R150</f>
        <v>-4.1917718750000006</v>
      </c>
      <c r="S51" s="23">
        <f>Calculation_FSL!S150</f>
        <v>-4.1917718750000006</v>
      </c>
      <c r="T51" s="23">
        <f>Calculation_FSL!T150</f>
        <v>-4.1917718750000006</v>
      </c>
      <c r="U51" s="23">
        <f>Calculation_FSL!U150</f>
        <v>-4.1917718750000006</v>
      </c>
      <c r="V51" s="23">
        <f>Calculation_FSL!V150</f>
        <v>-4.1917718750000006</v>
      </c>
    </row>
    <row r="52" spans="2:22">
      <c r="B52" s="28" t="s">
        <v>434</v>
      </c>
      <c r="C52" s="28"/>
      <c r="D52" s="28"/>
      <c r="E52" s="28"/>
      <c r="F52" s="28"/>
      <c r="G52" s="28"/>
      <c r="H52" s="28"/>
      <c r="I52" s="49">
        <f>SUM(J52:V52)</f>
        <v>90.070281250000008</v>
      </c>
      <c r="J52" s="460">
        <f>SUM(J49,J51)</f>
        <v>0</v>
      </c>
      <c r="K52" s="47">
        <f t="shared" ref="K52:V52" si="19">SUM(K49,K51)</f>
        <v>0</v>
      </c>
      <c r="L52" s="47">
        <f t="shared" si="19"/>
        <v>0</v>
      </c>
      <c r="M52" s="47">
        <f t="shared" si="19"/>
        <v>9.0070281249999997</v>
      </c>
      <c r="N52" s="47">
        <f t="shared" si="19"/>
        <v>9.0070281249999997</v>
      </c>
      <c r="O52" s="47">
        <f t="shared" si="19"/>
        <v>9.0070281249999997</v>
      </c>
      <c r="P52" s="47">
        <f t="shared" si="19"/>
        <v>9.0070281249999997</v>
      </c>
      <c r="Q52" s="47">
        <f t="shared" si="19"/>
        <v>9.0070281249999997</v>
      </c>
      <c r="R52" s="47">
        <f t="shared" si="19"/>
        <v>9.0070281249999997</v>
      </c>
      <c r="S52" s="47">
        <f t="shared" si="19"/>
        <v>9.0070281249999997</v>
      </c>
      <c r="T52" s="47">
        <f t="shared" si="19"/>
        <v>9.0070281249999997</v>
      </c>
      <c r="U52" s="47">
        <f t="shared" si="19"/>
        <v>9.0070281249999997</v>
      </c>
      <c r="V52" s="47">
        <f t="shared" si="19"/>
        <v>9.0070281249999997</v>
      </c>
    </row>
    <row r="53" spans="2:22"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</row>
    <row r="54" spans="2:22">
      <c r="B54" t="s">
        <v>881</v>
      </c>
      <c r="I54" s="48">
        <f>SUM(J54:V54)</f>
        <v>0</v>
      </c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</row>
    <row r="55" spans="2:22">
      <c r="B55" s="28" t="s">
        <v>1019</v>
      </c>
      <c r="C55" s="28"/>
      <c r="D55" s="28"/>
      <c r="E55" s="28"/>
      <c r="F55" s="28"/>
      <c r="G55" s="28"/>
      <c r="H55" s="28"/>
      <c r="I55" s="48">
        <f>SUM(J55:V55)</f>
        <v>90.070281250000008</v>
      </c>
      <c r="J55" s="47">
        <f>SUM(J52,J54)</f>
        <v>0</v>
      </c>
      <c r="K55" s="47">
        <f t="shared" ref="K55:V55" si="20">SUM(K52,K54)</f>
        <v>0</v>
      </c>
      <c r="L55" s="47">
        <f t="shared" si="20"/>
        <v>0</v>
      </c>
      <c r="M55" s="47">
        <f t="shared" si="20"/>
        <v>9.0070281249999997</v>
      </c>
      <c r="N55" s="47">
        <f t="shared" si="20"/>
        <v>9.0070281249999997</v>
      </c>
      <c r="O55" s="47">
        <f t="shared" si="20"/>
        <v>9.0070281249999997</v>
      </c>
      <c r="P55" s="47">
        <f t="shared" si="20"/>
        <v>9.0070281249999997</v>
      </c>
      <c r="Q55" s="47">
        <f t="shared" si="20"/>
        <v>9.0070281249999997</v>
      </c>
      <c r="R55" s="47">
        <f t="shared" si="20"/>
        <v>9.0070281249999997</v>
      </c>
      <c r="S55" s="47">
        <f t="shared" si="20"/>
        <v>9.0070281249999997</v>
      </c>
      <c r="T55" s="47">
        <f t="shared" si="20"/>
        <v>9.0070281249999997</v>
      </c>
      <c r="U55" s="47">
        <f t="shared" si="20"/>
        <v>9.0070281249999997</v>
      </c>
      <c r="V55" s="47">
        <f t="shared" si="20"/>
        <v>9.0070281249999997</v>
      </c>
    </row>
    <row r="56" spans="2:22"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</row>
    <row r="57" spans="2:22">
      <c r="B57" t="s">
        <v>759</v>
      </c>
      <c r="I57" s="48">
        <f>SUM(J57:V57)</f>
        <v>-19.815461875</v>
      </c>
      <c r="J57" s="23">
        <f>-IF(J55&lt;0,0,J55*22%)</f>
        <v>0</v>
      </c>
      <c r="K57" s="23">
        <f t="shared" ref="K57:V57" si="21">-IF(K55&lt;0,0,K55*22%)</f>
        <v>0</v>
      </c>
      <c r="L57" s="23">
        <f t="shared" si="21"/>
        <v>0</v>
      </c>
      <c r="M57" s="23">
        <f t="shared" si="21"/>
        <v>-1.9815461875</v>
      </c>
      <c r="N57" s="23">
        <f t="shared" si="21"/>
        <v>-1.9815461875</v>
      </c>
      <c r="O57" s="23">
        <f t="shared" si="21"/>
        <v>-1.9815461875</v>
      </c>
      <c r="P57" s="23">
        <f t="shared" si="21"/>
        <v>-1.9815461875</v>
      </c>
      <c r="Q57" s="23">
        <f t="shared" si="21"/>
        <v>-1.9815461875</v>
      </c>
      <c r="R57" s="23">
        <f t="shared" si="21"/>
        <v>-1.9815461875</v>
      </c>
      <c r="S57" s="23">
        <f t="shared" si="21"/>
        <v>-1.9815461875</v>
      </c>
      <c r="T57" s="23">
        <f t="shared" si="21"/>
        <v>-1.9815461875</v>
      </c>
      <c r="U57" s="23">
        <f t="shared" si="21"/>
        <v>-1.9815461875</v>
      </c>
      <c r="V57" s="23">
        <f t="shared" si="21"/>
        <v>-1.9815461875</v>
      </c>
    </row>
    <row r="58" spans="2:22">
      <c r="B58" s="28" t="s">
        <v>1020</v>
      </c>
      <c r="C58" s="28"/>
      <c r="D58" s="28"/>
      <c r="E58" s="28"/>
      <c r="F58" s="28"/>
      <c r="G58" s="28"/>
      <c r="H58" s="28"/>
      <c r="I58" s="48">
        <f>SUM(J58:V58)</f>
        <v>70.254819374999983</v>
      </c>
      <c r="J58" s="47">
        <f>SUM(J55,J57)</f>
        <v>0</v>
      </c>
      <c r="K58" s="47">
        <f t="shared" ref="K58:V58" si="22">SUM(K55,K57)</f>
        <v>0</v>
      </c>
      <c r="L58" s="47">
        <f t="shared" si="22"/>
        <v>0</v>
      </c>
      <c r="M58" s="47">
        <f t="shared" si="22"/>
        <v>7.0254819374999995</v>
      </c>
      <c r="N58" s="47">
        <f t="shared" si="22"/>
        <v>7.0254819374999995</v>
      </c>
      <c r="O58" s="47">
        <f t="shared" si="22"/>
        <v>7.0254819374999995</v>
      </c>
      <c r="P58" s="47">
        <f t="shared" si="22"/>
        <v>7.0254819374999995</v>
      </c>
      <c r="Q58" s="47">
        <f t="shared" si="22"/>
        <v>7.0254819374999995</v>
      </c>
      <c r="R58" s="47">
        <f t="shared" si="22"/>
        <v>7.0254819374999995</v>
      </c>
      <c r="S58" s="47">
        <f t="shared" si="22"/>
        <v>7.0254819374999995</v>
      </c>
      <c r="T58" s="47">
        <f t="shared" si="22"/>
        <v>7.0254819374999995</v>
      </c>
      <c r="U58" s="47">
        <f t="shared" si="22"/>
        <v>7.0254819374999995</v>
      </c>
      <c r="V58" s="47">
        <f t="shared" si="22"/>
        <v>7.0254819374999995</v>
      </c>
    </row>
    <row r="60" spans="2:22">
      <c r="B60" s="407" t="s">
        <v>32</v>
      </c>
      <c r="C60" s="407"/>
      <c r="D60" s="407"/>
      <c r="E60" s="407"/>
      <c r="F60" s="407"/>
      <c r="G60" s="407"/>
      <c r="H60" s="407"/>
      <c r="I60" s="407"/>
      <c r="J60" s="9">
        <f>J31</f>
        <v>70.770020272642697</v>
      </c>
      <c r="K60" s="9">
        <f t="shared" ref="K60:T60" si="23">K31</f>
        <v>73.672579313635111</v>
      </c>
      <c r="L60" s="9">
        <f t="shared" si="23"/>
        <v>75.611991688747025</v>
      </c>
      <c r="M60" s="9">
        <f t="shared" si="23"/>
        <v>78.63087799981372</v>
      </c>
      <c r="N60" s="9">
        <f t="shared" si="23"/>
        <v>81.707847712079456</v>
      </c>
      <c r="O60" s="9">
        <f t="shared" si="23"/>
        <v>89.262049602465197</v>
      </c>
      <c r="P60" s="9">
        <f t="shared" si="23"/>
        <v>92.61767579604448</v>
      </c>
      <c r="Q60" s="9">
        <f t="shared" si="23"/>
        <v>96.035293205843104</v>
      </c>
      <c r="R60" s="9">
        <f t="shared" si="23"/>
        <v>104.61664193468329</v>
      </c>
      <c r="S60" s="9">
        <f t="shared" si="23"/>
        <v>108.34041049095224</v>
      </c>
      <c r="T60" s="9">
        <f t="shared" si="23"/>
        <v>112.12982231357176</v>
      </c>
      <c r="U60" s="9">
        <f>U31</f>
        <v>115.98407725395489</v>
      </c>
      <c r="V60" s="9">
        <f>V31</f>
        <v>119.90218272170877</v>
      </c>
    </row>
    <row r="61" spans="2:22">
      <c r="B61" s="55" t="s">
        <v>1021</v>
      </c>
      <c r="C61" s="51"/>
      <c r="D61" s="51"/>
      <c r="E61" s="51"/>
      <c r="F61" s="51"/>
      <c r="G61" s="51"/>
      <c r="H61" s="51"/>
      <c r="I61" s="259">
        <f>100%-J61</f>
        <v>1</v>
      </c>
      <c r="J61" s="56">
        <f>IFERROR(J46/J44,0)</f>
        <v>0</v>
      </c>
      <c r="K61" s="56">
        <f t="shared" ref="K61:T61" si="24">IFERROR(K46/K44,0)</f>
        <v>0</v>
      </c>
      <c r="L61" s="56">
        <f t="shared" si="24"/>
        <v>0</v>
      </c>
      <c r="M61" s="56">
        <f t="shared" si="24"/>
        <v>1</v>
      </c>
      <c r="N61" s="56">
        <f t="shared" si="24"/>
        <v>1</v>
      </c>
      <c r="O61" s="56">
        <f t="shared" si="24"/>
        <v>1</v>
      </c>
      <c r="P61" s="56">
        <f t="shared" si="24"/>
        <v>1</v>
      </c>
      <c r="Q61" s="56">
        <f t="shared" si="24"/>
        <v>1</v>
      </c>
      <c r="R61" s="56">
        <f t="shared" si="24"/>
        <v>1</v>
      </c>
      <c r="S61" s="56">
        <f t="shared" si="24"/>
        <v>1</v>
      </c>
      <c r="T61" s="56">
        <f t="shared" si="24"/>
        <v>1</v>
      </c>
      <c r="U61" s="56">
        <f>IFERROR(U46/U44,0)</f>
        <v>1</v>
      </c>
      <c r="V61" s="56">
        <f>IFERROR(V46/V44,0)</f>
        <v>1</v>
      </c>
    </row>
    <row r="62" spans="2:22">
      <c r="B62" s="55" t="s">
        <v>1022</v>
      </c>
      <c r="C62" s="51"/>
      <c r="D62" s="51"/>
      <c r="E62" s="51"/>
      <c r="F62" s="51"/>
      <c r="G62" s="51"/>
      <c r="H62" s="51"/>
      <c r="I62" s="259">
        <f>J$37-J62</f>
        <v>0.80865449057998329</v>
      </c>
      <c r="J62" s="56">
        <f>IFERROR(J49/J44,0)</f>
        <v>0</v>
      </c>
      <c r="K62" s="56">
        <f t="shared" ref="K62:V62" si="25">IFERROR(K49/K44,0)</f>
        <v>0</v>
      </c>
      <c r="L62" s="56">
        <f t="shared" si="25"/>
        <v>0</v>
      </c>
      <c r="M62" s="56">
        <f t="shared" si="25"/>
        <v>0.99538461538461542</v>
      </c>
      <c r="N62" s="56">
        <f t="shared" si="25"/>
        <v>0.99538461538461542</v>
      </c>
      <c r="O62" s="56">
        <f t="shared" si="25"/>
        <v>0.99538461538461542</v>
      </c>
      <c r="P62" s="56">
        <f t="shared" si="25"/>
        <v>0.99538461538461542</v>
      </c>
      <c r="Q62" s="56">
        <f t="shared" si="25"/>
        <v>0.99538461538461542</v>
      </c>
      <c r="R62" s="56">
        <f t="shared" si="25"/>
        <v>0.99538461538461542</v>
      </c>
      <c r="S62" s="56">
        <f t="shared" si="25"/>
        <v>0.99538461538461542</v>
      </c>
      <c r="T62" s="56">
        <f t="shared" si="25"/>
        <v>0.99538461538461542</v>
      </c>
      <c r="U62" s="56">
        <f t="shared" si="25"/>
        <v>0.99538461538461542</v>
      </c>
      <c r="V62" s="56">
        <f t="shared" si="25"/>
        <v>0.99538461538461542</v>
      </c>
    </row>
    <row r="63" spans="2:22">
      <c r="B63" s="55" t="s">
        <v>1023</v>
      </c>
      <c r="C63" s="51"/>
      <c r="D63" s="51"/>
      <c r="E63" s="51"/>
      <c r="F63" s="51"/>
      <c r="G63" s="51"/>
      <c r="H63" s="51"/>
      <c r="I63" s="259"/>
      <c r="J63" s="56">
        <f>IFERROR(J52/J44,0)</f>
        <v>0</v>
      </c>
      <c r="K63" s="56">
        <f t="shared" ref="K63:V63" si="26">IFERROR(K52/K44,0)</f>
        <v>0</v>
      </c>
      <c r="L63" s="56">
        <f t="shared" si="26"/>
        <v>0</v>
      </c>
      <c r="M63" s="56">
        <f t="shared" si="26"/>
        <v>0.67926305618401206</v>
      </c>
      <c r="N63" s="56">
        <f t="shared" si="26"/>
        <v>0.67926305618401206</v>
      </c>
      <c r="O63" s="56">
        <f t="shared" si="26"/>
        <v>0.67926305618401206</v>
      </c>
      <c r="P63" s="56">
        <f t="shared" si="26"/>
        <v>0.67926305618401206</v>
      </c>
      <c r="Q63" s="56">
        <f t="shared" si="26"/>
        <v>0.67926305618401206</v>
      </c>
      <c r="R63" s="56">
        <f t="shared" si="26"/>
        <v>0.67926305618401206</v>
      </c>
      <c r="S63" s="56">
        <f t="shared" si="26"/>
        <v>0.67926305618401206</v>
      </c>
      <c r="T63" s="56">
        <f t="shared" si="26"/>
        <v>0.67926305618401206</v>
      </c>
      <c r="U63" s="56">
        <f t="shared" si="26"/>
        <v>0.67926305618401206</v>
      </c>
      <c r="V63" s="56">
        <f t="shared" si="26"/>
        <v>0.67926305618401206</v>
      </c>
    </row>
    <row r="64" spans="2:22">
      <c r="B64" s="55" t="s">
        <v>990</v>
      </c>
      <c r="C64" s="51"/>
      <c r="D64" s="51"/>
      <c r="E64" s="51"/>
      <c r="F64" s="51"/>
      <c r="G64" s="51"/>
      <c r="H64" s="51"/>
      <c r="I64" s="259">
        <f>J$37-J64</f>
        <v>0.80865449057998329</v>
      </c>
      <c r="J64" s="52">
        <f>IFERROR(J58/J44,0)</f>
        <v>0</v>
      </c>
      <c r="K64" s="52">
        <f t="shared" ref="K64:V64" si="27">IFERROR(K58/K44,0)</f>
        <v>0</v>
      </c>
      <c r="L64" s="52">
        <f t="shared" si="27"/>
        <v>0</v>
      </c>
      <c r="M64" s="52">
        <f t="shared" si="27"/>
        <v>0.52982518382352939</v>
      </c>
      <c r="N64" s="52">
        <f t="shared" si="27"/>
        <v>0.52982518382352939</v>
      </c>
      <c r="O64" s="52">
        <f t="shared" si="27"/>
        <v>0.52982518382352939</v>
      </c>
      <c r="P64" s="52">
        <f t="shared" si="27"/>
        <v>0.52982518382352939</v>
      </c>
      <c r="Q64" s="52">
        <f t="shared" si="27"/>
        <v>0.52982518382352939</v>
      </c>
      <c r="R64" s="52">
        <f t="shared" si="27"/>
        <v>0.52982518382352939</v>
      </c>
      <c r="S64" s="52">
        <f t="shared" si="27"/>
        <v>0.52982518382352939</v>
      </c>
      <c r="T64" s="52">
        <f t="shared" si="27"/>
        <v>0.52982518382352939</v>
      </c>
      <c r="U64" s="52">
        <f t="shared" si="27"/>
        <v>0.52982518382352939</v>
      </c>
      <c r="V64" s="52">
        <f t="shared" si="27"/>
        <v>0.52982518382352939</v>
      </c>
    </row>
    <row r="66" spans="1:22" ht="24" thickBot="1">
      <c r="A66" s="260"/>
      <c r="B66" s="14" t="s">
        <v>1094</v>
      </c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</row>
    <row r="67" spans="1:22">
      <c r="A67" s="260"/>
      <c r="B67" s="2" t="s">
        <v>29</v>
      </c>
      <c r="F67" s="6">
        <f>Output_FSL!F30</f>
        <v>1</v>
      </c>
    </row>
    <row r="68" spans="1:22">
      <c r="A68" s="260"/>
      <c r="B68" s="407" t="s">
        <v>623</v>
      </c>
      <c r="I68" s="48">
        <f>SUM(J68:V68)</f>
        <v>569.84319807999998</v>
      </c>
      <c r="J68" s="458">
        <f>(Calculation_FSL!J176+Calculation_FSL!J184)*$F$67</f>
        <v>0</v>
      </c>
      <c r="K68" s="23">
        <f>(Calculation_FSL!K176+Calculation_FSL!K184)*$F$67</f>
        <v>0</v>
      </c>
      <c r="L68" s="458">
        <f>(Calculation_FSL!L176+Calculation_FSL!L184)*$F$67</f>
        <v>48.1</v>
      </c>
      <c r="M68" s="23">
        <f>(Calculation_FSL!M176+Calculation_FSL!M184)*$F$67</f>
        <v>48.1</v>
      </c>
      <c r="N68" s="23">
        <f>(Calculation_FSL!N176+Calculation_FSL!N184)*$F$67</f>
        <v>48.1</v>
      </c>
      <c r="O68" s="23">
        <f>(Calculation_FSL!O176+Calculation_FSL!O184)*$F$67</f>
        <v>51.4176</v>
      </c>
      <c r="P68" s="23">
        <f>(Calculation_FSL!P176+Calculation_FSL!P184)*$F$67</f>
        <v>51.4176</v>
      </c>
      <c r="Q68" s="23">
        <f>(Calculation_FSL!Q176+Calculation_FSL!Q184)*$F$67</f>
        <v>51.4176</v>
      </c>
      <c r="R68" s="23">
        <f>(Calculation_FSL!R176+Calculation_FSL!R184)*$F$67</f>
        <v>51.4176</v>
      </c>
      <c r="S68" s="23">
        <f>(Calculation_FSL!S176+Calculation_FSL!S184)*$F$67</f>
        <v>54.968199519999999</v>
      </c>
      <c r="T68" s="23">
        <f>(Calculation_FSL!T176+Calculation_FSL!T184)*$F$67</f>
        <v>54.968199519999999</v>
      </c>
      <c r="U68" s="23">
        <f>(Calculation_FSL!U176+Calculation_FSL!U184)*$F$67</f>
        <v>54.968199519999999</v>
      </c>
      <c r="V68" s="23">
        <f>(Calculation_FSL!V176+Calculation_FSL!V184)*$F$67</f>
        <v>54.968199519999999</v>
      </c>
    </row>
    <row r="69" spans="1:22">
      <c r="A69" s="260"/>
      <c r="B69" s="407" t="s">
        <v>473</v>
      </c>
      <c r="H69" s="21"/>
      <c r="I69" s="48">
        <f>SUM(J69:V69)</f>
        <v>0</v>
      </c>
      <c r="J69" s="458">
        <f>-Calculation_FSL!J188*$F$67</f>
        <v>0</v>
      </c>
      <c r="K69" s="23">
        <f>-Calculation_FSL!K188*$F$67</f>
        <v>0</v>
      </c>
      <c r="L69" s="23">
        <f>-Calculation_FSL!L188*$F$67</f>
        <v>0</v>
      </c>
      <c r="M69" s="23">
        <f>-Calculation_FSL!M188*$F$67</f>
        <v>0</v>
      </c>
      <c r="N69" s="23">
        <f>-Calculation_FSL!N188*$F$67</f>
        <v>0</v>
      </c>
      <c r="O69" s="23">
        <f>-Calculation_FSL!O188*$F$67</f>
        <v>0</v>
      </c>
      <c r="P69" s="23">
        <f>-Calculation_FSL!P188*$F$67</f>
        <v>0</v>
      </c>
      <c r="Q69" s="23">
        <f>-Calculation_FSL!Q188*$F$67</f>
        <v>0</v>
      </c>
      <c r="R69" s="23">
        <f>-Calculation_FSL!R188*$F$67</f>
        <v>0</v>
      </c>
      <c r="S69" s="23">
        <f>-Calculation_FSL!S188*$F$67</f>
        <v>0</v>
      </c>
      <c r="T69" s="23">
        <f>-Calculation_FSL!T188*$F$67</f>
        <v>0</v>
      </c>
      <c r="U69" s="23">
        <f>-Calculation_FSL!U188*$F$67</f>
        <v>0</v>
      </c>
      <c r="V69" s="23">
        <f>-Calculation_FSL!V188*$F$67</f>
        <v>0</v>
      </c>
    </row>
    <row r="70" spans="1:22">
      <c r="A70" s="260"/>
      <c r="B70" s="28" t="s">
        <v>1017</v>
      </c>
      <c r="C70" s="28"/>
      <c r="D70" s="28"/>
      <c r="E70" s="28"/>
      <c r="F70" s="28"/>
      <c r="G70" s="28"/>
      <c r="H70" s="28"/>
      <c r="I70" s="49">
        <f>SUM(J70:V70)</f>
        <v>569.84319807999998</v>
      </c>
      <c r="J70" s="460">
        <f t="shared" ref="J70:V70" si="28">SUM(J68:J69)</f>
        <v>0</v>
      </c>
      <c r="K70" s="460">
        <f t="shared" si="28"/>
        <v>0</v>
      </c>
      <c r="L70" s="460">
        <f t="shared" si="28"/>
        <v>48.1</v>
      </c>
      <c r="M70" s="47">
        <f t="shared" si="28"/>
        <v>48.1</v>
      </c>
      <c r="N70" s="47">
        <f t="shared" si="28"/>
        <v>48.1</v>
      </c>
      <c r="O70" s="47">
        <f t="shared" si="28"/>
        <v>51.4176</v>
      </c>
      <c r="P70" s="47">
        <f t="shared" si="28"/>
        <v>51.4176</v>
      </c>
      <c r="Q70" s="47">
        <f t="shared" si="28"/>
        <v>51.4176</v>
      </c>
      <c r="R70" s="47">
        <f t="shared" si="28"/>
        <v>51.4176</v>
      </c>
      <c r="S70" s="47">
        <f t="shared" si="28"/>
        <v>54.968199519999999</v>
      </c>
      <c r="T70" s="47">
        <f t="shared" si="28"/>
        <v>54.968199519999999</v>
      </c>
      <c r="U70" s="47">
        <f t="shared" si="28"/>
        <v>54.968199519999999</v>
      </c>
      <c r="V70" s="47">
        <f t="shared" si="28"/>
        <v>54.968199519999999</v>
      </c>
    </row>
    <row r="71" spans="1:22">
      <c r="A71" s="260"/>
    </row>
    <row r="72" spans="1:22">
      <c r="A72" s="260"/>
      <c r="B72" t="s">
        <v>852</v>
      </c>
      <c r="I72" s="48">
        <f>SUM(J72:V72)</f>
        <v>-284.33191469706532</v>
      </c>
      <c r="J72" s="276">
        <f>-$F$67*SUM(Calculation_FSL!J210,Calculation_FSL!J217)</f>
        <v>0</v>
      </c>
      <c r="K72" s="276">
        <f>-$F$67*SUM(Calculation_FSL!K210,Calculation_FSL!K217)</f>
        <v>0</v>
      </c>
      <c r="L72" s="276">
        <f>-$F$67*SUM(Calculation_FSL!L210,Calculation_FSL!L217)</f>
        <v>-22.349182568122735</v>
      </c>
      <c r="M72" s="276">
        <f>-$F$67*SUM(Calculation_FSL!M210,Calculation_FSL!M217)</f>
        <v>-22.860856571580236</v>
      </c>
      <c r="N72" s="276">
        <f>-$F$67*SUM(Calculation_FSL!N210,Calculation_FSL!N217)</f>
        <v>-23.385322425124176</v>
      </c>
      <c r="O72" s="276">
        <f>-$F$67*SUM(Calculation_FSL!O210,Calculation_FSL!O217)</f>
        <v>-24.368177184432536</v>
      </c>
      <c r="P72" s="276">
        <f>-$F$67*SUM(Calculation_FSL!P210,Calculation_FSL!P217)</f>
        <v>-25.366275592338262</v>
      </c>
      <c r="Q72" s="276">
        <f>-$F$67*SUM(Calculation_FSL!Q210,Calculation_FSL!Q217)</f>
        <v>-25.721335378404898</v>
      </c>
      <c r="R72" s="276">
        <f>-$F$67*SUM(Calculation_FSL!R210,Calculation_FSL!R217)</f>
        <v>-26.309760465381437</v>
      </c>
      <c r="S72" s="276">
        <f>-$F$67*SUM(Calculation_FSL!S210,Calculation_FSL!S217)</f>
        <v>-27.413675940716342</v>
      </c>
      <c r="T72" s="276">
        <f>-$F$67*SUM(Calculation_FSL!T210,Calculation_FSL!T217)</f>
        <v>-28.042184391550666</v>
      </c>
      <c r="U72" s="276">
        <f>-$F$67*SUM(Calculation_FSL!U210,Calculation_FSL!U217)</f>
        <v>-29.124593172696333</v>
      </c>
      <c r="V72" s="276">
        <f>-$F$67*SUM(Calculation_FSL!V210,Calculation_FSL!V217)</f>
        <v>-29.390551006717725</v>
      </c>
    </row>
    <row r="73" spans="1:22">
      <c r="A73" s="260"/>
      <c r="B73" s="28" t="s">
        <v>139</v>
      </c>
      <c r="C73" s="28"/>
      <c r="D73" s="28"/>
      <c r="E73" s="28"/>
      <c r="F73" s="28"/>
      <c r="G73" s="28"/>
      <c r="H73" s="28"/>
      <c r="I73" s="49">
        <f>SUM(J73:V73)</f>
        <v>285.51128338293466</v>
      </c>
      <c r="J73" s="47">
        <f t="shared" ref="J73:V73" si="29">SUM(J70,J72)</f>
        <v>0</v>
      </c>
      <c r="K73" s="47">
        <f t="shared" si="29"/>
        <v>0</v>
      </c>
      <c r="L73" s="47">
        <f t="shared" si="29"/>
        <v>25.750817431877266</v>
      </c>
      <c r="M73" s="47">
        <f t="shared" si="29"/>
        <v>25.239143428419766</v>
      </c>
      <c r="N73" s="47">
        <f t="shared" si="29"/>
        <v>24.714677574875825</v>
      </c>
      <c r="O73" s="47">
        <f t="shared" si="29"/>
        <v>27.049422815567464</v>
      </c>
      <c r="P73" s="47">
        <f t="shared" si="29"/>
        <v>26.051324407661738</v>
      </c>
      <c r="Q73" s="47">
        <f t="shared" si="29"/>
        <v>25.696264621595102</v>
      </c>
      <c r="R73" s="47">
        <f t="shared" si="29"/>
        <v>25.107839534618563</v>
      </c>
      <c r="S73" s="47">
        <f t="shared" si="29"/>
        <v>27.554523579283657</v>
      </c>
      <c r="T73" s="47">
        <f t="shared" si="29"/>
        <v>26.926015128449333</v>
      </c>
      <c r="U73" s="47">
        <f t="shared" si="29"/>
        <v>25.843606347303666</v>
      </c>
      <c r="V73" s="47">
        <f t="shared" si="29"/>
        <v>25.577648513282274</v>
      </c>
    </row>
    <row r="74" spans="1:22">
      <c r="A74" s="260"/>
    </row>
    <row r="75" spans="1:22">
      <c r="A75" s="260"/>
      <c r="B75" t="s">
        <v>1018</v>
      </c>
      <c r="H75" s="21"/>
      <c r="I75" s="49">
        <f>SUM(J75:V75)</f>
        <v>-80.852540476190484</v>
      </c>
      <c r="J75" s="458">
        <f>-Calculation_FSL!J191*$F$67</f>
        <v>0</v>
      </c>
      <c r="K75" s="23">
        <f>-Calculation_FSL!K191*$F$67</f>
        <v>0</v>
      </c>
      <c r="L75" s="458">
        <f>-Calculation_FSL!L191*$F$67</f>
        <v>-8.860552380952381</v>
      </c>
      <c r="M75" s="23">
        <f>-Calculation_FSL!M191*$F$67</f>
        <v>-8.860552380952381</v>
      </c>
      <c r="N75" s="23">
        <f>-Calculation_FSL!N191*$F$67</f>
        <v>-8.860552380952381</v>
      </c>
      <c r="O75" s="23">
        <f>-Calculation_FSL!O191*$F$67</f>
        <v>-8.860552380952381</v>
      </c>
      <c r="P75" s="23">
        <f>-Calculation_FSL!P191*$F$67</f>
        <v>-8.860552380952381</v>
      </c>
      <c r="Q75" s="23">
        <f>-Calculation_FSL!Q191*$F$67</f>
        <v>-8.860552380952381</v>
      </c>
      <c r="R75" s="23">
        <f>-Calculation_FSL!R191*$F$67</f>
        <v>-8.860552380952381</v>
      </c>
      <c r="S75" s="23">
        <f>-Calculation_FSL!S191*$F$67</f>
        <v>-8.860552380952381</v>
      </c>
      <c r="T75" s="23">
        <f>-Calculation_FSL!T191*$F$67</f>
        <v>-3.3227071428571433</v>
      </c>
      <c r="U75" s="23">
        <f>-Calculation_FSL!U191*$F$67</f>
        <v>-3.3227071428571433</v>
      </c>
      <c r="V75" s="23">
        <f>-Calculation_FSL!V191*$F$67</f>
        <v>-3.3227071428571433</v>
      </c>
    </row>
    <row r="76" spans="1:22">
      <c r="A76" s="260"/>
      <c r="B76" s="28" t="s">
        <v>434</v>
      </c>
      <c r="C76" s="28"/>
      <c r="D76" s="28"/>
      <c r="E76" s="28"/>
      <c r="F76" s="28"/>
      <c r="G76" s="28"/>
      <c r="H76" s="28"/>
      <c r="I76" s="49">
        <f>SUM(J76:V76)</f>
        <v>204.65874290674418</v>
      </c>
      <c r="J76" s="460">
        <f t="shared" ref="J76:V76" si="30">SUM(J73,J75)</f>
        <v>0</v>
      </c>
      <c r="K76" s="47">
        <f t="shared" si="30"/>
        <v>0</v>
      </c>
      <c r="L76" s="460">
        <f t="shared" si="30"/>
        <v>16.890265050924885</v>
      </c>
      <c r="M76" s="460">
        <f t="shared" si="30"/>
        <v>16.378591047467385</v>
      </c>
      <c r="N76" s="47">
        <f t="shared" si="30"/>
        <v>15.854125193923444</v>
      </c>
      <c r="O76" s="47">
        <f t="shared" si="30"/>
        <v>18.188870434615083</v>
      </c>
      <c r="P76" s="47">
        <f t="shared" si="30"/>
        <v>17.190772026709357</v>
      </c>
      <c r="Q76" s="47">
        <f t="shared" si="30"/>
        <v>16.835712240642721</v>
      </c>
      <c r="R76" s="47">
        <f t="shared" si="30"/>
        <v>16.247287153666182</v>
      </c>
      <c r="S76" s="47">
        <f t="shared" si="30"/>
        <v>18.693971198331276</v>
      </c>
      <c r="T76" s="47">
        <f t="shared" si="30"/>
        <v>23.603307985592188</v>
      </c>
      <c r="U76" s="47">
        <f t="shared" si="30"/>
        <v>22.520899204446522</v>
      </c>
      <c r="V76" s="460">
        <f t="shared" si="30"/>
        <v>22.254941370425129</v>
      </c>
    </row>
    <row r="77" spans="1:22">
      <c r="A77" s="260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</row>
    <row r="78" spans="1:22">
      <c r="A78" s="260"/>
      <c r="B78" t="s">
        <v>881</v>
      </c>
      <c r="I78" s="48">
        <f>SUM(J78:V78)</f>
        <v>0</v>
      </c>
      <c r="J78" s="23">
        <f>-Input!K386*$F$138</f>
        <v>0</v>
      </c>
      <c r="K78" s="23">
        <f>-Input!L386*$F$138</f>
        <v>0</v>
      </c>
      <c r="L78" s="23">
        <f>-Input!M386*$F$138</f>
        <v>0</v>
      </c>
      <c r="M78" s="23">
        <f>-Input!N386*$F$138</f>
        <v>0</v>
      </c>
      <c r="N78" s="23">
        <f>-Input!O386*$F$138</f>
        <v>0</v>
      </c>
      <c r="O78" s="23">
        <f>-Input!P386*$F$138</f>
        <v>0</v>
      </c>
      <c r="P78" s="23">
        <f>-Input!Q386*$F$138</f>
        <v>0</v>
      </c>
      <c r="Q78" s="23">
        <f>-Input!R386*$F$138</f>
        <v>0</v>
      </c>
      <c r="R78" s="23">
        <f>-Input!S386*$F$138</f>
        <v>0</v>
      </c>
      <c r="S78" s="23">
        <f>-Input!T386*$F$138</f>
        <v>0</v>
      </c>
      <c r="T78" s="23">
        <f>-Input!U386*$F$138</f>
        <v>0</v>
      </c>
      <c r="U78" s="23">
        <f>-Input!V386*$F$138</f>
        <v>0</v>
      </c>
      <c r="V78" s="23">
        <f>-Input!W386*$F$138</f>
        <v>0</v>
      </c>
    </row>
    <row r="79" spans="1:22">
      <c r="A79" s="260"/>
      <c r="B79" s="28" t="s">
        <v>1019</v>
      </c>
      <c r="C79" s="28"/>
      <c r="D79" s="28"/>
      <c r="E79" s="28"/>
      <c r="F79" s="28"/>
      <c r="G79" s="28"/>
      <c r="H79" s="28"/>
      <c r="I79" s="48">
        <f>SUM(J79:V79)</f>
        <v>204.65874290674418</v>
      </c>
      <c r="J79" s="47">
        <f t="shared" ref="J79:V79" si="31">SUM(J76,J78)</f>
        <v>0</v>
      </c>
      <c r="K79" s="47">
        <f t="shared" si="31"/>
        <v>0</v>
      </c>
      <c r="L79" s="47">
        <f t="shared" si="31"/>
        <v>16.890265050924885</v>
      </c>
      <c r="M79" s="47">
        <f t="shared" si="31"/>
        <v>16.378591047467385</v>
      </c>
      <c r="N79" s="47">
        <f t="shared" si="31"/>
        <v>15.854125193923444</v>
      </c>
      <c r="O79" s="47">
        <f t="shared" si="31"/>
        <v>18.188870434615083</v>
      </c>
      <c r="P79" s="47">
        <f t="shared" si="31"/>
        <v>17.190772026709357</v>
      </c>
      <c r="Q79" s="47">
        <f t="shared" si="31"/>
        <v>16.835712240642721</v>
      </c>
      <c r="R79" s="47">
        <f t="shared" si="31"/>
        <v>16.247287153666182</v>
      </c>
      <c r="S79" s="47">
        <f t="shared" si="31"/>
        <v>18.693971198331276</v>
      </c>
      <c r="T79" s="47">
        <f t="shared" si="31"/>
        <v>23.603307985592188</v>
      </c>
      <c r="U79" s="47">
        <f t="shared" si="31"/>
        <v>22.520899204446522</v>
      </c>
      <c r="V79" s="47">
        <f t="shared" si="31"/>
        <v>22.254941370425129</v>
      </c>
    </row>
    <row r="80" spans="1:22">
      <c r="A80" s="260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</row>
    <row r="81" spans="1:22">
      <c r="A81" s="260"/>
      <c r="B81" t="s">
        <v>759</v>
      </c>
      <c r="I81" s="48">
        <f>SUM(J81:V81)</f>
        <v>-45.024923439483715</v>
      </c>
      <c r="J81" s="23">
        <f>-IF(J79&lt;0,0,J79*22%)</f>
        <v>0</v>
      </c>
      <c r="K81" s="23">
        <f t="shared" ref="K81:V81" si="32">-IF(K79&lt;0,0,K79*22%)</f>
        <v>0</v>
      </c>
      <c r="L81" s="23">
        <f t="shared" si="32"/>
        <v>-3.7158583112034749</v>
      </c>
      <c r="M81" s="23">
        <f t="shared" si="32"/>
        <v>-3.6032900304428246</v>
      </c>
      <c r="N81" s="23">
        <f t="shared" si="32"/>
        <v>-3.4879075426631578</v>
      </c>
      <c r="O81" s="23">
        <f t="shared" si="32"/>
        <v>-4.0015514956153186</v>
      </c>
      <c r="P81" s="23">
        <f t="shared" si="32"/>
        <v>-3.7819698458760587</v>
      </c>
      <c r="Q81" s="23">
        <f t="shared" si="32"/>
        <v>-3.7038566929413985</v>
      </c>
      <c r="R81" s="23">
        <f t="shared" si="32"/>
        <v>-3.57440317380656</v>
      </c>
      <c r="S81" s="23">
        <f t="shared" si="32"/>
        <v>-4.1126736636328811</v>
      </c>
      <c r="T81" s="23">
        <f t="shared" si="32"/>
        <v>-5.1927277568302816</v>
      </c>
      <c r="U81" s="23">
        <f t="shared" si="32"/>
        <v>-4.9545978249782348</v>
      </c>
      <c r="V81" s="23">
        <f t="shared" si="32"/>
        <v>-4.8960871014935288</v>
      </c>
    </row>
    <row r="82" spans="1:22">
      <c r="A82" s="260"/>
      <c r="B82" s="28" t="s">
        <v>1020</v>
      </c>
      <c r="C82" s="28"/>
      <c r="D82" s="28"/>
      <c r="E82" s="28"/>
      <c r="F82" s="28"/>
      <c r="G82" s="28"/>
      <c r="H82" s="28"/>
      <c r="I82" s="48">
        <f>SUM(J82:V82)</f>
        <v>159.63381946726045</v>
      </c>
      <c r="J82" s="47">
        <f t="shared" ref="J82:V82" si="33">SUM(J79,J81)</f>
        <v>0</v>
      </c>
      <c r="K82" s="47">
        <f t="shared" si="33"/>
        <v>0</v>
      </c>
      <c r="L82" s="47">
        <f t="shared" si="33"/>
        <v>13.174406739721411</v>
      </c>
      <c r="M82" s="47">
        <f t="shared" si="33"/>
        <v>12.77530101702456</v>
      </c>
      <c r="N82" s="47">
        <f t="shared" si="33"/>
        <v>12.366217651260285</v>
      </c>
      <c r="O82" s="47">
        <f t="shared" si="33"/>
        <v>14.187318938999764</v>
      </c>
      <c r="P82" s="47">
        <f t="shared" si="33"/>
        <v>13.408802180833298</v>
      </c>
      <c r="Q82" s="47">
        <f t="shared" si="33"/>
        <v>13.131855547701322</v>
      </c>
      <c r="R82" s="47">
        <f t="shared" si="33"/>
        <v>12.672883979859622</v>
      </c>
      <c r="S82" s="47">
        <f t="shared" si="33"/>
        <v>14.581297534698395</v>
      </c>
      <c r="T82" s="47">
        <f t="shared" si="33"/>
        <v>18.410580228761908</v>
      </c>
      <c r="U82" s="47">
        <f t="shared" si="33"/>
        <v>17.566301379468285</v>
      </c>
      <c r="V82" s="47">
        <f t="shared" si="33"/>
        <v>17.358854268931601</v>
      </c>
    </row>
    <row r="83" spans="1:22">
      <c r="A83" s="260"/>
    </row>
    <row r="84" spans="1:22">
      <c r="A84" s="260"/>
      <c r="B84" s="407" t="s">
        <v>32</v>
      </c>
      <c r="C84" s="407"/>
      <c r="D84" s="407"/>
      <c r="E84" s="407"/>
      <c r="F84" s="407"/>
      <c r="G84" s="407"/>
      <c r="H84" s="407"/>
      <c r="I84" s="407"/>
      <c r="J84" s="9">
        <f>J$8</f>
        <v>2024</v>
      </c>
      <c r="K84" s="9">
        <f t="shared" ref="K84:V84" si="34">K$8</f>
        <v>2025</v>
      </c>
      <c r="L84" s="9">
        <f t="shared" si="34"/>
        <v>2026</v>
      </c>
      <c r="M84" s="9">
        <f t="shared" si="34"/>
        <v>2027</v>
      </c>
      <c r="N84" s="9">
        <f t="shared" si="34"/>
        <v>2028</v>
      </c>
      <c r="O84" s="9">
        <f t="shared" si="34"/>
        <v>2029</v>
      </c>
      <c r="P84" s="9">
        <f t="shared" si="34"/>
        <v>2030</v>
      </c>
      <c r="Q84" s="9">
        <f t="shared" si="34"/>
        <v>2031</v>
      </c>
      <c r="R84" s="9">
        <f t="shared" si="34"/>
        <v>2032</v>
      </c>
      <c r="S84" s="9">
        <f t="shared" si="34"/>
        <v>2033</v>
      </c>
      <c r="T84" s="9">
        <f t="shared" si="34"/>
        <v>2034</v>
      </c>
      <c r="U84" s="9">
        <f t="shared" si="34"/>
        <v>2035</v>
      </c>
      <c r="V84" s="9">
        <f t="shared" si="34"/>
        <v>2036</v>
      </c>
    </row>
    <row r="85" spans="1:22">
      <c r="A85" s="260"/>
      <c r="B85" s="55" t="s">
        <v>1021</v>
      </c>
      <c r="C85" s="51"/>
      <c r="D85" s="51"/>
      <c r="E85" s="51"/>
      <c r="F85" s="51"/>
      <c r="G85" s="51"/>
      <c r="H85" s="51"/>
      <c r="I85" s="51"/>
      <c r="J85" s="56">
        <f>IFERROR(J70/J68,0)</f>
        <v>0</v>
      </c>
      <c r="K85" s="56">
        <f t="shared" ref="K85:V85" si="35">IFERROR(K70/K68,0)</f>
        <v>0</v>
      </c>
      <c r="L85" s="56">
        <f t="shared" si="35"/>
        <v>1</v>
      </c>
      <c r="M85" s="56">
        <f t="shared" si="35"/>
        <v>1</v>
      </c>
      <c r="N85" s="56">
        <f t="shared" si="35"/>
        <v>1</v>
      </c>
      <c r="O85" s="56">
        <f t="shared" si="35"/>
        <v>1</v>
      </c>
      <c r="P85" s="56">
        <f t="shared" si="35"/>
        <v>1</v>
      </c>
      <c r="Q85" s="56">
        <f t="shared" si="35"/>
        <v>1</v>
      </c>
      <c r="R85" s="56">
        <f t="shared" si="35"/>
        <v>1</v>
      </c>
      <c r="S85" s="56">
        <f t="shared" si="35"/>
        <v>1</v>
      </c>
      <c r="T85" s="56">
        <f t="shared" si="35"/>
        <v>1</v>
      </c>
      <c r="U85" s="56">
        <f t="shared" si="35"/>
        <v>1</v>
      </c>
      <c r="V85" s="56">
        <f t="shared" si="35"/>
        <v>1</v>
      </c>
    </row>
    <row r="86" spans="1:22">
      <c r="A86" s="260"/>
      <c r="B86" s="55" t="s">
        <v>1022</v>
      </c>
      <c r="C86" s="51"/>
      <c r="D86" s="51"/>
      <c r="E86" s="51"/>
      <c r="F86" s="51"/>
      <c r="G86" s="51"/>
      <c r="H86" s="51"/>
      <c r="I86" s="51"/>
      <c r="J86" s="56">
        <f>IFERROR(J73/J68,0)</f>
        <v>0</v>
      </c>
      <c r="K86" s="52">
        <f t="shared" ref="K86:T86" si="36">IFERROR(K76/K70,0)</f>
        <v>0</v>
      </c>
      <c r="L86" s="56">
        <f t="shared" si="36"/>
        <v>0.35114896155768993</v>
      </c>
      <c r="M86" s="52">
        <f t="shared" si="36"/>
        <v>0.34051124838809532</v>
      </c>
      <c r="N86" s="52">
        <f t="shared" si="36"/>
        <v>0.3296075923892608</v>
      </c>
      <c r="O86" s="52">
        <f t="shared" si="36"/>
        <v>0.35374794690174344</v>
      </c>
      <c r="P86" s="52">
        <f t="shared" si="36"/>
        <v>0.33433633671562574</v>
      </c>
      <c r="Q86" s="52">
        <f t="shared" si="36"/>
        <v>0.3274309232761296</v>
      </c>
      <c r="R86" s="52">
        <f t="shared" si="36"/>
        <v>0.31598688296743105</v>
      </c>
      <c r="S86" s="52">
        <f t="shared" si="36"/>
        <v>0.34008702052410389</v>
      </c>
      <c r="T86" s="52">
        <f t="shared" si="36"/>
        <v>0.42939932891569793</v>
      </c>
      <c r="U86" s="52">
        <f>IFERROR(U76/U70,0)</f>
        <v>0.40970778379328882</v>
      </c>
      <c r="V86" s="52">
        <f>IFERROR(V76/V70,0)</f>
        <v>0.40486938929712885</v>
      </c>
    </row>
    <row r="87" spans="1:22">
      <c r="A87" s="260"/>
      <c r="B87" s="55" t="s">
        <v>990</v>
      </c>
      <c r="C87" s="51"/>
      <c r="D87" s="51"/>
      <c r="E87" s="51"/>
      <c r="F87" s="51"/>
      <c r="G87" s="51"/>
      <c r="H87" s="51"/>
      <c r="I87" s="51"/>
      <c r="J87" s="52">
        <f>IFERROR(J82/J68,0)</f>
        <v>0</v>
      </c>
      <c r="K87" s="52">
        <f t="shared" ref="K87:V87" si="37">IFERROR(K82/K68,0)</f>
        <v>0</v>
      </c>
      <c r="L87" s="52">
        <f t="shared" si="37"/>
        <v>0.27389619001499815</v>
      </c>
      <c r="M87" s="52">
        <f t="shared" si="37"/>
        <v>0.26559877374271434</v>
      </c>
      <c r="N87" s="52">
        <f t="shared" si="37"/>
        <v>0.25709392206362341</v>
      </c>
      <c r="O87" s="52">
        <f t="shared" si="37"/>
        <v>0.27592339858335985</v>
      </c>
      <c r="P87" s="52">
        <f t="shared" si="37"/>
        <v>0.26078234263818806</v>
      </c>
      <c r="Q87" s="52">
        <f t="shared" si="37"/>
        <v>0.2553961201553811</v>
      </c>
      <c r="R87" s="52">
        <f t="shared" si="37"/>
        <v>0.24646976871459619</v>
      </c>
      <c r="S87" s="52">
        <f t="shared" si="37"/>
        <v>0.26526787600880103</v>
      </c>
      <c r="T87" s="52">
        <f t="shared" si="37"/>
        <v>0.33493147655424443</v>
      </c>
      <c r="U87" s="52">
        <f t="shared" si="37"/>
        <v>0.31957207135876525</v>
      </c>
      <c r="V87" s="52">
        <f t="shared" si="37"/>
        <v>0.31579812365176052</v>
      </c>
    </row>
    <row r="88" spans="1:22"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</row>
    <row r="89" spans="1:22"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</row>
    <row r="90" spans="1:22" ht="24" thickBot="1">
      <c r="A90" s="260"/>
      <c r="B90" s="14" t="s">
        <v>1025</v>
      </c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</row>
    <row r="91" spans="1:22">
      <c r="A91" s="260"/>
      <c r="B91" s="2" t="s">
        <v>29</v>
      </c>
      <c r="F91" s="6">
        <f>Output_FSL!F36</f>
        <v>1</v>
      </c>
    </row>
    <row r="92" spans="1:22">
      <c r="A92" s="260"/>
      <c r="B92" s="407" t="s">
        <v>623</v>
      </c>
      <c r="I92" s="48">
        <f>SUM(J92:V92)</f>
        <v>8.5852804783107644</v>
      </c>
      <c r="J92" s="23">
        <f>Calculation_FSL!J234*$F$91</f>
        <v>0</v>
      </c>
      <c r="K92" s="23">
        <f>Calculation_FSL!K234*$F$91</f>
        <v>0</v>
      </c>
      <c r="L92" s="23">
        <f>Calculation_FSL!L234*$F$91</f>
        <v>0</v>
      </c>
      <c r="M92" s="23">
        <f>Calculation_FSL!M234*$F$91</f>
        <v>0.7412366694335305</v>
      </c>
      <c r="N92" s="23">
        <f>Calculation_FSL!N234*$F$91</f>
        <v>0.76527376951653636</v>
      </c>
      <c r="O92" s="23">
        <f>Calculation_FSL!O234*$F$91</f>
        <v>0.79003198260203245</v>
      </c>
      <c r="P92" s="23">
        <f>Calculation_FSL!P234*$F$91</f>
        <v>0.81553294208009353</v>
      </c>
      <c r="Q92" s="23">
        <f>Calculation_FSL!Q234*$F$91</f>
        <v>0.84179893034249642</v>
      </c>
      <c r="R92" s="23">
        <f>Calculation_FSL!R234*$F$91</f>
        <v>0.86885289825277123</v>
      </c>
      <c r="S92" s="23">
        <f>Calculation_FSL!S234*$F$91</f>
        <v>0.89671848520035446</v>
      </c>
      <c r="T92" s="23">
        <f>Calculation_FSL!T234*$F$91</f>
        <v>0.92542003975636489</v>
      </c>
      <c r="U92" s="23">
        <f>Calculation_FSL!U234*$F$91</f>
        <v>0.95498264094905594</v>
      </c>
      <c r="V92" s="23">
        <f>Calculation_FSL!V234*$F$91</f>
        <v>0.98543212017752757</v>
      </c>
    </row>
    <row r="93" spans="1:22">
      <c r="A93" s="260"/>
      <c r="B93" s="407" t="s">
        <v>473</v>
      </c>
      <c r="H93" s="21" t="e">
        <f>L93/L92</f>
        <v>#DIV/0!</v>
      </c>
      <c r="I93" s="48">
        <f>SUM(J93:V93)</f>
        <v>0</v>
      </c>
      <c r="J93" s="276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</row>
    <row r="94" spans="1:22">
      <c r="A94" s="260"/>
      <c r="B94" s="28" t="s">
        <v>1017</v>
      </c>
      <c r="C94" s="28"/>
      <c r="D94" s="28"/>
      <c r="E94" s="28"/>
      <c r="F94" s="28"/>
      <c r="G94" s="28"/>
      <c r="H94" s="28"/>
      <c r="I94" s="49">
        <f>SUM(J94:V94)</f>
        <v>8.5852804783107644</v>
      </c>
      <c r="J94" s="47">
        <f t="shared" ref="J94:V94" si="38">SUM(J92:J93)</f>
        <v>0</v>
      </c>
      <c r="K94" s="47">
        <f t="shared" si="38"/>
        <v>0</v>
      </c>
      <c r="L94" s="47">
        <f t="shared" si="38"/>
        <v>0</v>
      </c>
      <c r="M94" s="47">
        <f t="shared" si="38"/>
        <v>0.7412366694335305</v>
      </c>
      <c r="N94" s="47">
        <f t="shared" si="38"/>
        <v>0.76527376951653636</v>
      </c>
      <c r="O94" s="47">
        <f t="shared" si="38"/>
        <v>0.79003198260203245</v>
      </c>
      <c r="P94" s="47">
        <f t="shared" si="38"/>
        <v>0.81553294208009353</v>
      </c>
      <c r="Q94" s="47">
        <f t="shared" si="38"/>
        <v>0.84179893034249642</v>
      </c>
      <c r="R94" s="47">
        <f t="shared" si="38"/>
        <v>0.86885289825277123</v>
      </c>
      <c r="S94" s="47">
        <f t="shared" si="38"/>
        <v>0.89671848520035446</v>
      </c>
      <c r="T94" s="47">
        <f t="shared" si="38"/>
        <v>0.92542003975636489</v>
      </c>
      <c r="U94" s="47">
        <f t="shared" si="38"/>
        <v>0.95498264094905594</v>
      </c>
      <c r="V94" s="47">
        <f t="shared" si="38"/>
        <v>0.98543212017752757</v>
      </c>
    </row>
    <row r="95" spans="1:22">
      <c r="A95" s="260"/>
      <c r="L95" s="1"/>
    </row>
    <row r="96" spans="1:22">
      <c r="A96" s="260"/>
      <c r="B96" t="s">
        <v>852</v>
      </c>
      <c r="I96" s="48">
        <f>SUM(J96:V96)</f>
        <v>-1.7170560956621526</v>
      </c>
      <c r="J96">
        <f>-Calculation_FSL!J239*$F$91</f>
        <v>0</v>
      </c>
      <c r="K96">
        <f>-Calculation_FSL!K239*$F$91</f>
        <v>0</v>
      </c>
      <c r="L96">
        <f>-Calculation_FSL!L239*$F$91</f>
        <v>0</v>
      </c>
      <c r="M96">
        <f>-Calculation_FSL!M239*$F$91</f>
        <v>-0.14824733388670611</v>
      </c>
      <c r="N96">
        <f>-Calculation_FSL!N239*$F$91</f>
        <v>-0.15305475390330728</v>
      </c>
      <c r="O96">
        <f>-Calculation_FSL!O239*$F$91</f>
        <v>-0.15800639652040649</v>
      </c>
      <c r="P96">
        <f>-Calculation_FSL!P239*$F$91</f>
        <v>-0.16310658841601872</v>
      </c>
      <c r="Q96">
        <f>-Calculation_FSL!Q239*$F$91</f>
        <v>-0.1683597860684993</v>
      </c>
      <c r="R96">
        <f>-Calculation_FSL!R239*$F$91</f>
        <v>-0.17377057965055426</v>
      </c>
      <c r="S96">
        <f>-Calculation_FSL!S239*$F$91</f>
        <v>-0.17934369704007092</v>
      </c>
      <c r="T96">
        <f>-Calculation_FSL!T239*$F$91</f>
        <v>-0.185084007951273</v>
      </c>
      <c r="U96">
        <f>-Calculation_FSL!U239*$F$91</f>
        <v>-0.19099652818981119</v>
      </c>
      <c r="V96">
        <f>-Calculation_FSL!V239*$F$91</f>
        <v>-0.19708642403550553</v>
      </c>
    </row>
    <row r="97" spans="1:22">
      <c r="A97" s="260"/>
      <c r="B97" s="28" t="s">
        <v>139</v>
      </c>
      <c r="C97" s="28"/>
      <c r="D97" s="28"/>
      <c r="E97" s="28"/>
      <c r="F97" s="28"/>
      <c r="G97" s="28"/>
      <c r="H97" s="28"/>
      <c r="I97" s="49">
        <f>SUM(J97:V97)</f>
        <v>6.8682243826486102</v>
      </c>
      <c r="J97" s="47">
        <f t="shared" ref="J97:V97" si="39">SUM(J94,J96)</f>
        <v>0</v>
      </c>
      <c r="K97" s="47">
        <f t="shared" si="39"/>
        <v>0</v>
      </c>
      <c r="L97" s="47">
        <f t="shared" si="39"/>
        <v>0</v>
      </c>
      <c r="M97" s="47">
        <f t="shared" si="39"/>
        <v>0.59298933554682443</v>
      </c>
      <c r="N97" s="47">
        <f t="shared" si="39"/>
        <v>0.61221901561322911</v>
      </c>
      <c r="O97" s="47">
        <f t="shared" si="39"/>
        <v>0.63202558608162596</v>
      </c>
      <c r="P97" s="47">
        <f t="shared" si="39"/>
        <v>0.65242635366407487</v>
      </c>
      <c r="Q97" s="47">
        <f t="shared" si="39"/>
        <v>0.67343914427399709</v>
      </c>
      <c r="R97" s="47">
        <f t="shared" si="39"/>
        <v>0.69508231860221703</v>
      </c>
      <c r="S97" s="47">
        <f t="shared" si="39"/>
        <v>0.71737478816028355</v>
      </c>
      <c r="T97" s="47">
        <f t="shared" si="39"/>
        <v>0.74033603180509189</v>
      </c>
      <c r="U97" s="47">
        <f t="shared" si="39"/>
        <v>0.76398611275924477</v>
      </c>
      <c r="V97" s="47">
        <f t="shared" si="39"/>
        <v>0.7883456961420221</v>
      </c>
    </row>
    <row r="98" spans="1:22">
      <c r="A98" s="260"/>
    </row>
    <row r="99" spans="1:22">
      <c r="A99" s="260"/>
      <c r="B99" t="s">
        <v>1018</v>
      </c>
      <c r="I99" s="49">
        <f>SUM(J99:V99)</f>
        <v>-1.3012000000000001</v>
      </c>
      <c r="J99" s="23">
        <f>-Calculation_FSL!J244*$F$91</f>
        <v>0</v>
      </c>
      <c r="K99" s="23">
        <f>-Calculation_FSL!K244*$F$91</f>
        <v>0</v>
      </c>
      <c r="L99" s="23">
        <f>-Calculation_FSL!L244*$F$91</f>
        <v>0</v>
      </c>
      <c r="M99" s="23">
        <f>-Calculation_FSL!M244*$F$91</f>
        <v>-0.13012000000000001</v>
      </c>
      <c r="N99" s="23">
        <f>-Calculation_FSL!N244*$F$91</f>
        <v>-0.13012000000000001</v>
      </c>
      <c r="O99" s="23">
        <f>-Calculation_FSL!O244*$F$91</f>
        <v>-0.13012000000000001</v>
      </c>
      <c r="P99" s="23">
        <f>-Calculation_FSL!P244*$F$91</f>
        <v>-0.13012000000000001</v>
      </c>
      <c r="Q99" s="23">
        <f>-Calculation_FSL!Q244*$F$91</f>
        <v>-0.13012000000000001</v>
      </c>
      <c r="R99" s="23">
        <f>-Calculation_FSL!R244*$F$91</f>
        <v>-0.13012000000000001</v>
      </c>
      <c r="S99" s="23">
        <f>-Calculation_FSL!S244*$F$91</f>
        <v>-0.13012000000000001</v>
      </c>
      <c r="T99" s="23">
        <f>-Calculation_FSL!T244*$F$91</f>
        <v>-0.13012000000000001</v>
      </c>
      <c r="U99" s="23">
        <f>-Calculation_FSL!U244*$F$91</f>
        <v>-0.13012000000000001</v>
      </c>
      <c r="V99" s="23">
        <f>-Calculation_FSL!V244*$F$91</f>
        <v>-0.13012000000000001</v>
      </c>
    </row>
    <row r="100" spans="1:22">
      <c r="A100" s="260"/>
      <c r="B100" s="28" t="s">
        <v>434</v>
      </c>
      <c r="C100" s="28"/>
      <c r="D100" s="28"/>
      <c r="E100" s="28"/>
      <c r="F100" s="28"/>
      <c r="G100" s="28"/>
      <c r="H100" s="28"/>
      <c r="I100" s="49">
        <f>SUM(J100:V100)</f>
        <v>5.5670243826486105</v>
      </c>
      <c r="J100" s="47">
        <f t="shared" ref="J100:V100" si="40">SUM(J97,J99)</f>
        <v>0</v>
      </c>
      <c r="K100" s="47">
        <f t="shared" si="40"/>
        <v>0</v>
      </c>
      <c r="L100" s="47">
        <f t="shared" si="40"/>
        <v>0</v>
      </c>
      <c r="M100" s="47">
        <f t="shared" si="40"/>
        <v>0.46286933554682441</v>
      </c>
      <c r="N100" s="47">
        <f t="shared" si="40"/>
        <v>0.4820990156132291</v>
      </c>
      <c r="O100" s="47">
        <f t="shared" si="40"/>
        <v>0.50190558608162594</v>
      </c>
      <c r="P100" s="47">
        <f t="shared" si="40"/>
        <v>0.52230635366407485</v>
      </c>
      <c r="Q100" s="47">
        <f t="shared" si="40"/>
        <v>0.54331914427399708</v>
      </c>
      <c r="R100" s="47">
        <f t="shared" si="40"/>
        <v>0.56496231860221702</v>
      </c>
      <c r="S100" s="47">
        <f t="shared" si="40"/>
        <v>0.58725478816028354</v>
      </c>
      <c r="T100" s="47">
        <f t="shared" si="40"/>
        <v>0.61021603180509187</v>
      </c>
      <c r="U100" s="47">
        <f t="shared" si="40"/>
        <v>0.63386611275924476</v>
      </c>
      <c r="V100" s="47">
        <f t="shared" si="40"/>
        <v>0.65822569614202209</v>
      </c>
    </row>
    <row r="101" spans="1:22">
      <c r="A101" s="260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</row>
    <row r="102" spans="1:22">
      <c r="A102" s="260"/>
      <c r="B102" t="s">
        <v>881</v>
      </c>
      <c r="I102" s="48">
        <f>SUM(J102:V102)</f>
        <v>0</v>
      </c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</row>
    <row r="103" spans="1:22">
      <c r="A103" s="260"/>
      <c r="B103" s="28" t="s">
        <v>1019</v>
      </c>
      <c r="C103" s="28"/>
      <c r="D103" s="28"/>
      <c r="E103" s="28"/>
      <c r="F103" s="28"/>
      <c r="G103" s="28"/>
      <c r="H103" s="28"/>
      <c r="I103" s="48">
        <f>SUM(J103:V103)</f>
        <v>5.5670243826486105</v>
      </c>
      <c r="J103" s="47">
        <f t="shared" ref="J103:V103" si="41">SUM(J100,J102)</f>
        <v>0</v>
      </c>
      <c r="K103" s="47">
        <f t="shared" si="41"/>
        <v>0</v>
      </c>
      <c r="L103" s="47">
        <f t="shared" si="41"/>
        <v>0</v>
      </c>
      <c r="M103" s="47">
        <f t="shared" si="41"/>
        <v>0.46286933554682441</v>
      </c>
      <c r="N103" s="47">
        <f t="shared" si="41"/>
        <v>0.4820990156132291</v>
      </c>
      <c r="O103" s="47">
        <f t="shared" si="41"/>
        <v>0.50190558608162594</v>
      </c>
      <c r="P103" s="47">
        <f t="shared" si="41"/>
        <v>0.52230635366407485</v>
      </c>
      <c r="Q103" s="47">
        <f t="shared" si="41"/>
        <v>0.54331914427399708</v>
      </c>
      <c r="R103" s="47">
        <f t="shared" si="41"/>
        <v>0.56496231860221702</v>
      </c>
      <c r="S103" s="47">
        <f t="shared" si="41"/>
        <v>0.58725478816028354</v>
      </c>
      <c r="T103" s="47">
        <f t="shared" si="41"/>
        <v>0.61021603180509187</v>
      </c>
      <c r="U103" s="47">
        <f t="shared" si="41"/>
        <v>0.63386611275924476</v>
      </c>
      <c r="V103" s="47">
        <f t="shared" si="41"/>
        <v>0.65822569614202209</v>
      </c>
    </row>
    <row r="104" spans="1:22">
      <c r="A104" s="260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</row>
    <row r="105" spans="1:22">
      <c r="A105" s="260"/>
      <c r="B105" t="s">
        <v>759</v>
      </c>
      <c r="I105" s="48">
        <f>SUM(J105:V105)</f>
        <v>-1.2247453641826942</v>
      </c>
      <c r="J105" s="23">
        <f>-IF(J103&lt;0,0,J103*22%)</f>
        <v>0</v>
      </c>
      <c r="K105" s="23">
        <f t="shared" ref="K105:V105" si="42">-IF(K103&lt;0,0,K103*22%)</f>
        <v>0</v>
      </c>
      <c r="L105" s="23">
        <f t="shared" si="42"/>
        <v>0</v>
      </c>
      <c r="M105" s="23">
        <f t="shared" si="42"/>
        <v>-0.10183125382030137</v>
      </c>
      <c r="N105" s="23">
        <f t="shared" si="42"/>
        <v>-0.10606178343491041</v>
      </c>
      <c r="O105" s="23">
        <f t="shared" si="42"/>
        <v>-0.11041922893795771</v>
      </c>
      <c r="P105" s="23">
        <f t="shared" si="42"/>
        <v>-0.11490739780609646</v>
      </c>
      <c r="Q105" s="23">
        <f t="shared" si="42"/>
        <v>-0.11953021174027936</v>
      </c>
      <c r="R105" s="23">
        <f t="shared" si="42"/>
        <v>-0.12429171009248774</v>
      </c>
      <c r="S105" s="23">
        <f t="shared" si="42"/>
        <v>-0.12919605339526238</v>
      </c>
      <c r="T105" s="23">
        <f t="shared" si="42"/>
        <v>-0.13424752699712023</v>
      </c>
      <c r="U105" s="23">
        <f t="shared" si="42"/>
        <v>-0.13945054480703384</v>
      </c>
      <c r="V105" s="23">
        <f t="shared" si="42"/>
        <v>-0.14480965315124486</v>
      </c>
    </row>
    <row r="106" spans="1:22">
      <c r="A106" s="260"/>
      <c r="B106" s="28" t="s">
        <v>1020</v>
      </c>
      <c r="C106" s="28"/>
      <c r="D106" s="28"/>
      <c r="E106" s="28"/>
      <c r="F106" s="28"/>
      <c r="G106" s="28"/>
      <c r="H106" s="28"/>
      <c r="I106" s="48">
        <f>SUM(J106:V106)</f>
        <v>4.3422790184659164</v>
      </c>
      <c r="J106" s="47">
        <f t="shared" ref="J106:V106" si="43">SUM(J103,J105)</f>
        <v>0</v>
      </c>
      <c r="K106" s="47">
        <f t="shared" si="43"/>
        <v>0</v>
      </c>
      <c r="L106" s="47">
        <f t="shared" si="43"/>
        <v>0</v>
      </c>
      <c r="M106" s="47">
        <f t="shared" si="43"/>
        <v>0.36103808172652307</v>
      </c>
      <c r="N106" s="47">
        <f t="shared" si="43"/>
        <v>0.37603723217831869</v>
      </c>
      <c r="O106" s="47">
        <f t="shared" si="43"/>
        <v>0.39148635714366825</v>
      </c>
      <c r="P106" s="47">
        <f t="shared" si="43"/>
        <v>0.40739895585797836</v>
      </c>
      <c r="Q106" s="47">
        <f t="shared" si="43"/>
        <v>0.42378893253371774</v>
      </c>
      <c r="R106" s="47">
        <f t="shared" si="43"/>
        <v>0.44067060850972928</v>
      </c>
      <c r="S106" s="47">
        <f t="shared" si="43"/>
        <v>0.45805873476502112</v>
      </c>
      <c r="T106" s="47">
        <f t="shared" si="43"/>
        <v>0.47596850480797165</v>
      </c>
      <c r="U106" s="47">
        <f t="shared" si="43"/>
        <v>0.49441556795221092</v>
      </c>
      <c r="V106" s="47">
        <f t="shared" si="43"/>
        <v>0.51341604299077725</v>
      </c>
    </row>
    <row r="107" spans="1:22">
      <c r="A107" s="260"/>
    </row>
    <row r="108" spans="1:22">
      <c r="A108" s="260"/>
      <c r="B108" s="407" t="s">
        <v>32</v>
      </c>
      <c r="C108" s="407"/>
      <c r="D108" s="407"/>
      <c r="E108" s="407"/>
      <c r="F108" s="407"/>
      <c r="G108" s="407"/>
      <c r="H108" s="407"/>
      <c r="I108" s="407"/>
      <c r="J108" s="9">
        <f>J$8</f>
        <v>2024</v>
      </c>
      <c r="K108" s="9">
        <f t="shared" ref="K108:V108" si="44">K$8</f>
        <v>2025</v>
      </c>
      <c r="L108" s="9">
        <f t="shared" si="44"/>
        <v>2026</v>
      </c>
      <c r="M108" s="9">
        <f t="shared" si="44"/>
        <v>2027</v>
      </c>
      <c r="N108" s="9">
        <f t="shared" si="44"/>
        <v>2028</v>
      </c>
      <c r="O108" s="9">
        <f t="shared" si="44"/>
        <v>2029</v>
      </c>
      <c r="P108" s="9">
        <f t="shared" si="44"/>
        <v>2030</v>
      </c>
      <c r="Q108" s="9">
        <f t="shared" si="44"/>
        <v>2031</v>
      </c>
      <c r="R108" s="9">
        <f t="shared" si="44"/>
        <v>2032</v>
      </c>
      <c r="S108" s="9">
        <f t="shared" si="44"/>
        <v>2033</v>
      </c>
      <c r="T108" s="9">
        <f t="shared" si="44"/>
        <v>2034</v>
      </c>
      <c r="U108" s="9">
        <f t="shared" si="44"/>
        <v>2035</v>
      </c>
      <c r="V108" s="9">
        <f t="shared" si="44"/>
        <v>2036</v>
      </c>
    </row>
    <row r="109" spans="1:22">
      <c r="A109" s="260"/>
      <c r="B109" s="55" t="s">
        <v>1021</v>
      </c>
      <c r="C109" s="51"/>
      <c r="D109" s="51"/>
      <c r="E109" s="51"/>
      <c r="F109" s="51"/>
      <c r="G109" s="51"/>
      <c r="H109" s="51"/>
      <c r="I109" s="51"/>
      <c r="J109" s="56">
        <f>IFERROR(J94/J92,0)</f>
        <v>0</v>
      </c>
      <c r="K109" s="56">
        <f t="shared" ref="K109:V109" si="45">IFERROR(K94/K92,0)</f>
        <v>0</v>
      </c>
      <c r="L109" s="56">
        <f t="shared" si="45"/>
        <v>0</v>
      </c>
      <c r="M109" s="56">
        <f t="shared" si="45"/>
        <v>1</v>
      </c>
      <c r="N109" s="56">
        <f t="shared" si="45"/>
        <v>1</v>
      </c>
      <c r="O109" s="56">
        <f t="shared" si="45"/>
        <v>1</v>
      </c>
      <c r="P109" s="56">
        <f t="shared" si="45"/>
        <v>1</v>
      </c>
      <c r="Q109" s="56">
        <f t="shared" si="45"/>
        <v>1</v>
      </c>
      <c r="R109" s="56">
        <f t="shared" si="45"/>
        <v>1</v>
      </c>
      <c r="S109" s="56">
        <f t="shared" si="45"/>
        <v>1</v>
      </c>
      <c r="T109" s="56">
        <f t="shared" si="45"/>
        <v>1</v>
      </c>
      <c r="U109" s="56">
        <f t="shared" si="45"/>
        <v>1</v>
      </c>
      <c r="V109" s="56">
        <f t="shared" si="45"/>
        <v>1</v>
      </c>
    </row>
    <row r="110" spans="1:22">
      <c r="A110" s="260"/>
      <c r="B110" s="55" t="s">
        <v>1022</v>
      </c>
      <c r="C110" s="51"/>
      <c r="D110" s="51"/>
      <c r="E110" s="51"/>
      <c r="F110" s="51"/>
      <c r="G110" s="51"/>
      <c r="H110" s="51"/>
      <c r="I110" s="51"/>
      <c r="J110" s="56">
        <f>IFERROR(J97/J92,0)</f>
        <v>0</v>
      </c>
      <c r="K110" s="52">
        <f t="shared" ref="K110:T110" si="46">IFERROR(K100/K94,0)</f>
        <v>0</v>
      </c>
      <c r="L110" s="52">
        <f t="shared" si="46"/>
        <v>0</v>
      </c>
      <c r="M110" s="52">
        <f t="shared" si="46"/>
        <v>0.62445552767992363</v>
      </c>
      <c r="N110" s="52">
        <f t="shared" si="46"/>
        <v>0.62996934537269766</v>
      </c>
      <c r="O110" s="52">
        <f t="shared" si="46"/>
        <v>0.63529780709454375</v>
      </c>
      <c r="P110" s="52">
        <f t="shared" si="46"/>
        <v>0.64044789206415542</v>
      </c>
      <c r="Q110" s="52">
        <f t="shared" si="46"/>
        <v>0.64542627068074421</v>
      </c>
      <c r="R110" s="52">
        <f t="shared" si="46"/>
        <v>0.65023932099246473</v>
      </c>
      <c r="S110" s="52">
        <f t="shared" si="46"/>
        <v>0.65489314411654265</v>
      </c>
      <c r="T110" s="52">
        <f t="shared" si="46"/>
        <v>0.65939357868859561</v>
      </c>
      <c r="U110" s="52">
        <f>IFERROR(U100/U94,0)</f>
        <v>0.66374621441214099</v>
      </c>
      <c r="V110" s="52">
        <f>IFERROR(V100/V94,0)</f>
        <v>0.66795640477341189</v>
      </c>
    </row>
    <row r="111" spans="1:22">
      <c r="A111" s="260"/>
      <c r="B111" s="55" t="s">
        <v>990</v>
      </c>
      <c r="C111" s="51"/>
      <c r="D111" s="51"/>
      <c r="E111" s="51"/>
      <c r="F111" s="51"/>
      <c r="G111" s="51"/>
      <c r="H111" s="51"/>
      <c r="I111" s="51"/>
      <c r="J111" s="52">
        <f>IFERROR(J106/J92,0)</f>
        <v>0</v>
      </c>
      <c r="K111" s="52">
        <f t="shared" ref="K111:V111" si="47">IFERROR(K106/K92,0)</f>
        <v>0</v>
      </c>
      <c r="L111" s="52">
        <f t="shared" si="47"/>
        <v>0</v>
      </c>
      <c r="M111" s="52">
        <f t="shared" si="47"/>
        <v>0.48707531159034045</v>
      </c>
      <c r="N111" s="52">
        <f t="shared" si="47"/>
        <v>0.49137608939070415</v>
      </c>
      <c r="O111" s="52">
        <f t="shared" si="47"/>
        <v>0.49553228953374412</v>
      </c>
      <c r="P111" s="52">
        <f t="shared" si="47"/>
        <v>0.49954935581004117</v>
      </c>
      <c r="Q111" s="52">
        <f t="shared" si="47"/>
        <v>0.50343249113098054</v>
      </c>
      <c r="R111" s="52">
        <f t="shared" si="47"/>
        <v>0.50718667037412246</v>
      </c>
      <c r="S111" s="52">
        <f t="shared" si="47"/>
        <v>0.51081665241090324</v>
      </c>
      <c r="T111" s="52">
        <f t="shared" si="47"/>
        <v>0.51432699137710458</v>
      </c>
      <c r="U111" s="52">
        <f t="shared" si="47"/>
        <v>0.51772204724146997</v>
      </c>
      <c r="V111" s="52">
        <f t="shared" si="47"/>
        <v>0.52100599572326134</v>
      </c>
    </row>
    <row r="113" spans="2:22" ht="24" thickBot="1">
      <c r="B113" s="14" t="s">
        <v>1026</v>
      </c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</row>
    <row r="114" spans="2:22">
      <c r="B114" s="2" t="s">
        <v>29</v>
      </c>
      <c r="F114" s="6">
        <f>Output_FSL!F31</f>
        <v>1</v>
      </c>
    </row>
    <row r="115" spans="2:22">
      <c r="B115" s="407" t="s">
        <v>623</v>
      </c>
      <c r="I115" s="48">
        <f>SUM(J115:V115)</f>
        <v>914.58892898383533</v>
      </c>
      <c r="J115" s="458">
        <f>Calculation_FSL!J260*$F$114</f>
        <v>38.657960000000003</v>
      </c>
      <c r="K115" s="23">
        <f>Calculation_FSL!K260*$F$114</f>
        <v>46.389552000000002</v>
      </c>
      <c r="L115" s="458">
        <f>Calculation_FSL!L260*$F$114</f>
        <v>47.781238559999998</v>
      </c>
      <c r="M115" s="23">
        <f>Calculation_FSL!M260*$F$114</f>
        <v>59.057610860160011</v>
      </c>
      <c r="N115" s="23">
        <f>Calculation_FSL!N260*$F$114</f>
        <v>60.829339185964805</v>
      </c>
      <c r="O115" s="23">
        <f>Calculation_FSL!O260*$F$114</f>
        <v>68.919641297698121</v>
      </c>
      <c r="P115" s="23">
        <f>Calculation_FSL!P260*$F$114</f>
        <v>70.98723053662907</v>
      </c>
      <c r="Q115" s="23">
        <f>Calculation_FSL!Q260*$F$114</f>
        <v>77.503858299891618</v>
      </c>
      <c r="R115" s="23">
        <f>Calculation_FSL!R260*$F$114</f>
        <v>79.828974048888384</v>
      </c>
      <c r="S115" s="23">
        <f>Calculation_FSL!S260*$F$114</f>
        <v>87.157273866576347</v>
      </c>
      <c r="T115" s="23">
        <f>Calculation_FSL!T260*$F$114</f>
        <v>89.771992082573618</v>
      </c>
      <c r="U115" s="23">
        <f>Calculation_FSL!U260*$F$114</f>
        <v>92.465151845050841</v>
      </c>
      <c r="V115" s="23">
        <f>Calculation_FSL!V260*$F$114</f>
        <v>95.239106400402363</v>
      </c>
    </row>
    <row r="116" spans="2:22">
      <c r="B116" s="407" t="s">
        <v>473</v>
      </c>
      <c r="H116" s="21">
        <f>J116/J115</f>
        <v>-0.3471912523898229</v>
      </c>
      <c r="I116" s="48">
        <f>SUM(J116:V116)</f>
        <v>-224.6660108661371</v>
      </c>
      <c r="J116" s="458">
        <f>-Calculation_FSL!J264*$F$114</f>
        <v>-13.42170554723568</v>
      </c>
      <c r="K116" s="23">
        <f>-Calculation_FSL!K264*$F$114</f>
        <v>-13.950545135917947</v>
      </c>
      <c r="L116" s="23">
        <f>-Calculation_FSL!L264*$F$114</f>
        <v>-14.537513823246512</v>
      </c>
      <c r="M116" s="23">
        <f>-Calculation_FSL!M264*$F$114</f>
        <v>-15.117541872077076</v>
      </c>
      <c r="N116" s="23">
        <f>-Calculation_FSL!N264*$F$114</f>
        <v>-15.72513022083748</v>
      </c>
      <c r="O116" s="23">
        <f>-Calculation_FSL!O264*$F$114</f>
        <v>-16.394851740185832</v>
      </c>
      <c r="P116" s="23">
        <f>-Calculation_FSL!P264*$F$114</f>
        <v>-17.061852712242107</v>
      </c>
      <c r="Q116" s="23">
        <f>-Calculation_FSL!Q264*$F$114</f>
        <v>-17.760862275827424</v>
      </c>
      <c r="R116" s="23">
        <f>-Calculation_FSL!R264*$F$114</f>
        <v>-18.526694391194042</v>
      </c>
      <c r="S116" s="23">
        <f>-Calculation_FSL!S264*$F$114</f>
        <v>-19.294750069310872</v>
      </c>
      <c r="T116" s="23">
        <f>-Calculation_FSL!T264*$F$114</f>
        <v>-20.100027611659119</v>
      </c>
      <c r="U116" s="23">
        <f>-Calculation_FSL!U264*$F$114</f>
        <v>-20.944457891111337</v>
      </c>
      <c r="V116" s="23">
        <f>-Calculation_FSL!V264*$F$114</f>
        <v>-21.830077575291654</v>
      </c>
    </row>
    <row r="117" spans="2:22">
      <c r="B117" s="28" t="s">
        <v>1017</v>
      </c>
      <c r="C117" s="28"/>
      <c r="D117" s="28"/>
      <c r="E117" s="28"/>
      <c r="F117" s="28"/>
      <c r="G117" s="28"/>
      <c r="H117" s="235"/>
      <c r="I117" s="49">
        <f>SUM(J117:V117)</f>
        <v>689.92291811769815</v>
      </c>
      <c r="J117" s="47">
        <f t="shared" ref="J117:V117" si="48">SUM(J115:J116)</f>
        <v>25.236254452764321</v>
      </c>
      <c r="K117" s="47">
        <f t="shared" si="48"/>
        <v>32.439006864082053</v>
      </c>
      <c r="L117" s="47">
        <f t="shared" si="48"/>
        <v>33.243724736753485</v>
      </c>
      <c r="M117" s="47">
        <f t="shared" si="48"/>
        <v>43.940068988082935</v>
      </c>
      <c r="N117" s="47">
        <f t="shared" si="48"/>
        <v>45.104208965127327</v>
      </c>
      <c r="O117" s="47">
        <f t="shared" si="48"/>
        <v>52.524789557512293</v>
      </c>
      <c r="P117" s="47">
        <f t="shared" si="48"/>
        <v>53.925377824386963</v>
      </c>
      <c r="Q117" s="47">
        <f t="shared" si="48"/>
        <v>59.742996024064198</v>
      </c>
      <c r="R117" s="47">
        <f t="shared" si="48"/>
        <v>61.302279657694342</v>
      </c>
      <c r="S117" s="47">
        <f t="shared" si="48"/>
        <v>67.862523797265482</v>
      </c>
      <c r="T117" s="47">
        <f t="shared" si="48"/>
        <v>69.671964470914503</v>
      </c>
      <c r="U117" s="47">
        <f t="shared" si="48"/>
        <v>71.520693953939499</v>
      </c>
      <c r="V117" s="47">
        <f t="shared" si="48"/>
        <v>73.40902882511071</v>
      </c>
    </row>
    <row r="118" spans="2:22">
      <c r="H118" s="21"/>
    </row>
    <row r="119" spans="2:22">
      <c r="B119" t="s">
        <v>852</v>
      </c>
      <c r="H119" s="21">
        <f>J119/J115</f>
        <v>-0.23676024766467196</v>
      </c>
      <c r="I119" s="48">
        <f>SUM(J119:V119)</f>
        <v>-145.08652779165138</v>
      </c>
      <c r="J119" s="23">
        <f>-Calculation_FSL!J340*$F$114</f>
        <v>-9.1526681838109827</v>
      </c>
      <c r="K119" s="23">
        <f>-Calculation_FSL!K340*$F$114</f>
        <v>-9.4488472204361074</v>
      </c>
      <c r="L119" s="23">
        <f>-Calculation_FSL!L340*$F$114</f>
        <v>-9.7546753384197089</v>
      </c>
      <c r="M119" s="23">
        <f>-Calculation_FSL!M340*$F$114</f>
        <v>-10.07046889497304</v>
      </c>
      <c r="N119" s="23">
        <f>-Calculation_FSL!N340*$F$114</f>
        <v>-10.396554682088896</v>
      </c>
      <c r="O119" s="23">
        <f>-Calculation_FSL!O340*$F$114</f>
        <v>-10.7332702726893</v>
      </c>
      <c r="P119" s="23">
        <f>-Calculation_FSL!P340*$F$114</f>
        <v>-11.080964378317505</v>
      </c>
      <c r="Q119" s="23">
        <f>-Calculation_FSL!Q340*$F$114</f>
        <v>-11.439997218761295</v>
      </c>
      <c r="R119" s="23">
        <f>-Calculation_FSL!R340*$F$114</f>
        <v>-11.810740904007488</v>
      </c>
      <c r="S119" s="23">
        <f>-Calculation_FSL!S340*$F$114</f>
        <v>-12.193579828941196</v>
      </c>
      <c r="T119" s="23">
        <f>-Calculation_FSL!T340*$F$114</f>
        <v>-12.588911081217123</v>
      </c>
      <c r="U119" s="23">
        <f>-Calculation_FSL!U340*$F$114</f>
        <v>-12.997144862744745</v>
      </c>
      <c r="V119" s="23">
        <f>-Calculation_FSL!V340*$F$114</f>
        <v>-13.418704925244013</v>
      </c>
    </row>
    <row r="120" spans="2:22">
      <c r="B120" s="28" t="s">
        <v>139</v>
      </c>
      <c r="C120" s="28"/>
      <c r="D120" s="28"/>
      <c r="E120" s="28"/>
      <c r="F120" s="28"/>
      <c r="G120" s="28"/>
      <c r="H120" s="235"/>
      <c r="I120" s="49">
        <f>SUM(J120:V120)</f>
        <v>544.83639032604674</v>
      </c>
      <c r="J120" s="47">
        <f t="shared" ref="J120:V120" si="49">SUM(J117,J119)</f>
        <v>16.08358626895334</v>
      </c>
      <c r="K120" s="47">
        <f t="shared" si="49"/>
        <v>22.990159643645946</v>
      </c>
      <c r="L120" s="460">
        <f t="shared" si="49"/>
        <v>23.489049398333776</v>
      </c>
      <c r="M120" s="47">
        <f t="shared" si="49"/>
        <v>33.869600093109895</v>
      </c>
      <c r="N120" s="47">
        <f t="shared" si="49"/>
        <v>34.70765428303843</v>
      </c>
      <c r="O120" s="47">
        <f t="shared" si="49"/>
        <v>41.791519284822996</v>
      </c>
      <c r="P120" s="47">
        <f t="shared" si="49"/>
        <v>42.84441344606946</v>
      </c>
      <c r="Q120" s="47">
        <f t="shared" si="49"/>
        <v>48.302998805302906</v>
      </c>
      <c r="R120" s="47">
        <f t="shared" si="49"/>
        <v>49.491538753686854</v>
      </c>
      <c r="S120" s="47">
        <f t="shared" si="49"/>
        <v>55.668943968324285</v>
      </c>
      <c r="T120" s="47">
        <f t="shared" si="49"/>
        <v>57.083053389697383</v>
      </c>
      <c r="U120" s="47">
        <f t="shared" si="49"/>
        <v>58.523549091194752</v>
      </c>
      <c r="V120" s="47">
        <f t="shared" si="49"/>
        <v>59.990323899866695</v>
      </c>
    </row>
    <row r="121" spans="2:22">
      <c r="H121" s="21"/>
    </row>
    <row r="122" spans="2:22">
      <c r="B122" t="s">
        <v>1018</v>
      </c>
      <c r="H122" s="21">
        <f>J122/J115</f>
        <v>-1.0595185468721837</v>
      </c>
      <c r="I122" s="49">
        <f>SUM(J122:V122)</f>
        <v>-556.68258572895365</v>
      </c>
      <c r="J122" s="23">
        <f>-Calculation_FSL!J353*$F$114</f>
        <v>-40.958825604243003</v>
      </c>
      <c r="K122" s="23">
        <f>-Calculation_FSL!K353*$F$114</f>
        <v>-40.961418579151264</v>
      </c>
      <c r="L122" s="23">
        <f>-Calculation_FSL!L353*$F$114</f>
        <v>-41.964063413557689</v>
      </c>
      <c r="M122" s="23">
        <f>-Calculation_FSL!M353*$F$114</f>
        <v>-41.966761144652239</v>
      </c>
      <c r="N122" s="23">
        <f>-Calculation_FSL!N353*$F$114</f>
        <v>-41.969512830368686</v>
      </c>
      <c r="O122" s="23">
        <f>-Calculation_FSL!O353*$F$114</f>
        <v>-42.972319549799458</v>
      </c>
      <c r="P122" s="23">
        <f>-Calculation_FSL!P353*$F$114</f>
        <v>-42.975182403618852</v>
      </c>
      <c r="Q122" s="23">
        <f>-Calculation_FSL!Q353*$F$114</f>
        <v>-42.978102514514624</v>
      </c>
      <c r="R122" s="23">
        <f>-Calculation_FSL!R353*$F$114</f>
        <v>-43.981081027628321</v>
      </c>
      <c r="S122" s="23">
        <f>-Calculation_FSL!S353*$F$114</f>
        <v>-43.984119111004283</v>
      </c>
      <c r="T122" s="23">
        <f>-Calculation_FSL!T353*$F$114</f>
        <v>-43.987217956047772</v>
      </c>
      <c r="U122" s="23">
        <f>-Calculation_FSL!U353*$F$114</f>
        <v>-43.990378777992127</v>
      </c>
      <c r="V122" s="23">
        <f>-Calculation_FSL!V353*$F$114</f>
        <v>-43.993602816375372</v>
      </c>
    </row>
    <row r="123" spans="2:22">
      <c r="B123" s="28" t="s">
        <v>434</v>
      </c>
      <c r="C123" s="28"/>
      <c r="D123" s="28"/>
      <c r="E123" s="28"/>
      <c r="F123" s="28"/>
      <c r="G123" s="28"/>
      <c r="H123" s="28"/>
      <c r="I123" s="49">
        <f>SUM(J123:V123)</f>
        <v>-11.846195402906972</v>
      </c>
      <c r="J123" s="47">
        <f t="shared" ref="J123:V123" si="50">SUM(J120,J122)</f>
        <v>-24.875239335289663</v>
      </c>
      <c r="K123" s="47">
        <f t="shared" si="50"/>
        <v>-17.971258935505318</v>
      </c>
      <c r="L123" s="47">
        <f t="shared" si="50"/>
        <v>-18.475014015223913</v>
      </c>
      <c r="M123" s="47">
        <f t="shared" si="50"/>
        <v>-8.0971610515423436</v>
      </c>
      <c r="N123" s="47">
        <f t="shared" si="50"/>
        <v>-7.2618585473302559</v>
      </c>
      <c r="O123" s="47">
        <f t="shared" si="50"/>
        <v>-1.1808002649764617</v>
      </c>
      <c r="P123" s="47">
        <f t="shared" si="50"/>
        <v>-0.13076895754939244</v>
      </c>
      <c r="Q123" s="47">
        <f t="shared" si="50"/>
        <v>5.3248962907882813</v>
      </c>
      <c r="R123" s="47">
        <f t="shared" si="50"/>
        <v>5.510457726058533</v>
      </c>
      <c r="S123" s="47">
        <f t="shared" si="50"/>
        <v>11.684824857320002</v>
      </c>
      <c r="T123" s="47">
        <f t="shared" si="50"/>
        <v>13.095835433649611</v>
      </c>
      <c r="U123" s="47">
        <f t="shared" si="50"/>
        <v>14.533170313202625</v>
      </c>
      <c r="V123" s="47">
        <f t="shared" si="50"/>
        <v>15.996721083491323</v>
      </c>
    </row>
    <row r="124" spans="2:22"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</row>
    <row r="125" spans="2:22">
      <c r="B125" t="s">
        <v>881</v>
      </c>
      <c r="I125" s="48">
        <f>SUM(J125:V125)</f>
        <v>-7.4130769764306557</v>
      </c>
      <c r="J125" s="23">
        <f>-Input!K388*$F$114</f>
        <v>-5.4709055176610004</v>
      </c>
      <c r="K125" s="23">
        <f>-Input!L388*$F$114</f>
        <v>-1.942171458769655</v>
      </c>
      <c r="L125" s="23">
        <f>-Input!M388*$F$114</f>
        <v>0</v>
      </c>
      <c r="M125" s="23">
        <f>-Input!N388*$F$114</f>
        <v>0</v>
      </c>
      <c r="N125" s="23">
        <f>-Input!O388*$F$114</f>
        <v>0</v>
      </c>
      <c r="O125" s="23">
        <f>-Input!P388*$F$114</f>
        <v>0</v>
      </c>
      <c r="P125" s="23">
        <f>-Input!Q388*$F$114</f>
        <v>0</v>
      </c>
      <c r="Q125" s="23">
        <f>-Input!R388*$F$114</f>
        <v>0</v>
      </c>
      <c r="R125" s="23">
        <f>-Input!S388*$F$114</f>
        <v>0</v>
      </c>
      <c r="S125" s="23">
        <f>-Input!T388*$F$114</f>
        <v>0</v>
      </c>
      <c r="T125" s="23">
        <f>-Input!U388*$F$114</f>
        <v>0</v>
      </c>
      <c r="U125" s="23">
        <f>-Input!V388*$F$114</f>
        <v>0</v>
      </c>
      <c r="V125" s="23">
        <f>-Input!W388*$F$114</f>
        <v>0</v>
      </c>
    </row>
    <row r="126" spans="2:22">
      <c r="B126" s="28" t="s">
        <v>1019</v>
      </c>
      <c r="C126" s="28"/>
      <c r="D126" s="28"/>
      <c r="E126" s="28"/>
      <c r="F126" s="28"/>
      <c r="G126" s="28"/>
      <c r="H126" s="28"/>
      <c r="I126" s="48">
        <f>SUM(J126:V126)</f>
        <v>-19.259272379337631</v>
      </c>
      <c r="J126" s="47">
        <f t="shared" ref="J126:V126" si="51">SUM(J123,J125)</f>
        <v>-30.346144852950665</v>
      </c>
      <c r="K126" s="47">
        <f t="shared" si="51"/>
        <v>-19.913430394274972</v>
      </c>
      <c r="L126" s="47">
        <f t="shared" si="51"/>
        <v>-18.475014015223913</v>
      </c>
      <c r="M126" s="47">
        <f t="shared" si="51"/>
        <v>-8.0971610515423436</v>
      </c>
      <c r="N126" s="47">
        <f t="shared" si="51"/>
        <v>-7.2618585473302559</v>
      </c>
      <c r="O126" s="47">
        <f t="shared" si="51"/>
        <v>-1.1808002649764617</v>
      </c>
      <c r="P126" s="47">
        <f t="shared" si="51"/>
        <v>-0.13076895754939244</v>
      </c>
      <c r="Q126" s="47">
        <f t="shared" si="51"/>
        <v>5.3248962907882813</v>
      </c>
      <c r="R126" s="47">
        <f t="shared" si="51"/>
        <v>5.510457726058533</v>
      </c>
      <c r="S126" s="47">
        <f t="shared" si="51"/>
        <v>11.684824857320002</v>
      </c>
      <c r="T126" s="47">
        <f t="shared" si="51"/>
        <v>13.095835433649611</v>
      </c>
      <c r="U126" s="47">
        <f t="shared" si="51"/>
        <v>14.533170313202625</v>
      </c>
      <c r="V126" s="47">
        <f t="shared" si="51"/>
        <v>15.996721083491323</v>
      </c>
    </row>
    <row r="127" spans="2:22"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</row>
    <row r="128" spans="2:22">
      <c r="B128" t="s">
        <v>759</v>
      </c>
      <c r="I128" s="48">
        <f>SUM(J128:V128)</f>
        <v>-14.552099254992283</v>
      </c>
      <c r="J128" s="23">
        <f>-IF(J126&lt;0,0,J126*22%)</f>
        <v>0</v>
      </c>
      <c r="K128" s="23">
        <f t="shared" ref="K128:V128" si="52">-IF(K126&lt;0,0,K126*22%)</f>
        <v>0</v>
      </c>
      <c r="L128" s="23">
        <f t="shared" si="52"/>
        <v>0</v>
      </c>
      <c r="M128" s="23">
        <f t="shared" si="52"/>
        <v>0</v>
      </c>
      <c r="N128" s="23">
        <f t="shared" si="52"/>
        <v>0</v>
      </c>
      <c r="O128" s="23">
        <f t="shared" si="52"/>
        <v>0</v>
      </c>
      <c r="P128" s="23">
        <f t="shared" si="52"/>
        <v>0</v>
      </c>
      <c r="Q128" s="23">
        <f t="shared" si="52"/>
        <v>-1.1714771839734219</v>
      </c>
      <c r="R128" s="23">
        <f t="shared" si="52"/>
        <v>-1.2123006997328774</v>
      </c>
      <c r="S128" s="23">
        <f t="shared" si="52"/>
        <v>-2.5706614686104006</v>
      </c>
      <c r="T128" s="23">
        <f t="shared" si="52"/>
        <v>-2.8810837954029145</v>
      </c>
      <c r="U128" s="23">
        <f t="shared" si="52"/>
        <v>-3.1972974689045777</v>
      </c>
      <c r="V128" s="23">
        <f t="shared" si="52"/>
        <v>-3.5192786383680912</v>
      </c>
    </row>
    <row r="129" spans="2:22">
      <c r="B129" s="28" t="s">
        <v>1020</v>
      </c>
      <c r="C129" s="28"/>
      <c r="D129" s="28"/>
      <c r="E129" s="28"/>
      <c r="F129" s="28"/>
      <c r="G129" s="28"/>
      <c r="H129" s="28"/>
      <c r="I129" s="48">
        <f>SUM(J129:V129)</f>
        <v>-33.811371634329923</v>
      </c>
      <c r="J129" s="47">
        <f t="shared" ref="J129:V129" si="53">SUM(J126,J128)</f>
        <v>-30.346144852950665</v>
      </c>
      <c r="K129" s="47">
        <f t="shared" si="53"/>
        <v>-19.913430394274972</v>
      </c>
      <c r="L129" s="47">
        <f t="shared" si="53"/>
        <v>-18.475014015223913</v>
      </c>
      <c r="M129" s="47">
        <f t="shared" si="53"/>
        <v>-8.0971610515423436</v>
      </c>
      <c r="N129" s="47">
        <f t="shared" si="53"/>
        <v>-7.2618585473302559</v>
      </c>
      <c r="O129" s="47">
        <f t="shared" si="53"/>
        <v>-1.1808002649764617</v>
      </c>
      <c r="P129" s="47">
        <f t="shared" si="53"/>
        <v>-0.13076895754939244</v>
      </c>
      <c r="Q129" s="47">
        <f t="shared" si="53"/>
        <v>4.1534191068148596</v>
      </c>
      <c r="R129" s="47">
        <f t="shared" si="53"/>
        <v>4.2981570263256561</v>
      </c>
      <c r="S129" s="47">
        <f t="shared" si="53"/>
        <v>9.1141633887096027</v>
      </c>
      <c r="T129" s="47">
        <f t="shared" si="53"/>
        <v>10.214751638246696</v>
      </c>
      <c r="U129" s="47">
        <f t="shared" si="53"/>
        <v>11.335872844298047</v>
      </c>
      <c r="V129" s="47">
        <f t="shared" si="53"/>
        <v>12.477442445123232</v>
      </c>
    </row>
    <row r="131" spans="2:22">
      <c r="B131" s="407" t="s">
        <v>32</v>
      </c>
      <c r="C131" s="407"/>
      <c r="D131" s="407"/>
      <c r="E131" s="407"/>
      <c r="F131" s="407"/>
      <c r="G131" s="407"/>
      <c r="H131" s="407"/>
      <c r="I131" s="407"/>
      <c r="J131" s="9">
        <f>J$8</f>
        <v>2024</v>
      </c>
      <c r="K131" s="9">
        <f t="shared" ref="K131:V131" si="54">K$8</f>
        <v>2025</v>
      </c>
      <c r="L131" s="9">
        <f t="shared" si="54"/>
        <v>2026</v>
      </c>
      <c r="M131" s="9">
        <f t="shared" si="54"/>
        <v>2027</v>
      </c>
      <c r="N131" s="9">
        <f t="shared" si="54"/>
        <v>2028</v>
      </c>
      <c r="O131" s="9">
        <f t="shared" si="54"/>
        <v>2029</v>
      </c>
      <c r="P131" s="9">
        <f t="shared" si="54"/>
        <v>2030</v>
      </c>
      <c r="Q131" s="9">
        <f t="shared" si="54"/>
        <v>2031</v>
      </c>
      <c r="R131" s="9">
        <f t="shared" si="54"/>
        <v>2032</v>
      </c>
      <c r="S131" s="9">
        <f t="shared" si="54"/>
        <v>2033</v>
      </c>
      <c r="T131" s="9">
        <f t="shared" si="54"/>
        <v>2034</v>
      </c>
      <c r="U131" s="9">
        <f t="shared" si="54"/>
        <v>2035</v>
      </c>
      <c r="V131" s="9">
        <f t="shared" si="54"/>
        <v>2036</v>
      </c>
    </row>
    <row r="132" spans="2:22">
      <c r="B132" s="55" t="s">
        <v>1021</v>
      </c>
      <c r="C132" s="51"/>
      <c r="D132" s="51"/>
      <c r="E132" s="51"/>
      <c r="F132" s="51"/>
      <c r="G132" s="51"/>
      <c r="H132" s="51"/>
      <c r="I132" s="51"/>
      <c r="J132" s="56">
        <f>IFERROR(J117/J115,0)</f>
        <v>0.65280874761017704</v>
      </c>
      <c r="K132" s="56">
        <f t="shared" ref="K132:V132" si="55">IFERROR(K117/K115,0)</f>
        <v>0.69927398445412992</v>
      </c>
      <c r="L132" s="56">
        <f t="shared" si="55"/>
        <v>0.69574849331309352</v>
      </c>
      <c r="M132" s="56">
        <f t="shared" si="55"/>
        <v>0.74402042934189705</v>
      </c>
      <c r="N132" s="56">
        <f t="shared" si="55"/>
        <v>0.74148773550271041</v>
      </c>
      <c r="O132" s="56">
        <f t="shared" si="55"/>
        <v>0.76211640932128</v>
      </c>
      <c r="P132" s="56">
        <f t="shared" si="55"/>
        <v>0.75964898780720469</v>
      </c>
      <c r="Q132" s="56">
        <f t="shared" si="55"/>
        <v>0.77083899220727881</v>
      </c>
      <c r="R132" s="56">
        <f t="shared" si="55"/>
        <v>0.76792017419830505</v>
      </c>
      <c r="S132" s="56">
        <f t="shared" si="55"/>
        <v>0.77862145965180141</v>
      </c>
      <c r="T132" s="56">
        <f t="shared" si="55"/>
        <v>0.77609912462262387</v>
      </c>
      <c r="U132" s="56">
        <f t="shared" si="55"/>
        <v>0.77348809283080866</v>
      </c>
      <c r="V132" s="56">
        <f t="shared" si="55"/>
        <v>0.77078661906471413</v>
      </c>
    </row>
    <row r="133" spans="2:22">
      <c r="B133" s="55" t="s">
        <v>1022</v>
      </c>
      <c r="C133" s="51"/>
      <c r="D133" s="51"/>
      <c r="E133" s="51"/>
      <c r="F133" s="51"/>
      <c r="G133" s="51"/>
      <c r="H133" s="51"/>
      <c r="I133" s="51"/>
      <c r="J133" s="56">
        <f>IFERROR(J120/J115,0)</f>
        <v>0.41604849994550513</v>
      </c>
      <c r="K133" s="56">
        <f t="shared" ref="K133:V133" si="56">IFERROR(K120/K115,0)</f>
        <v>0.49558917153685694</v>
      </c>
      <c r="L133" s="56">
        <f t="shared" si="56"/>
        <v>0.49159565775671632</v>
      </c>
      <c r="M133" s="56">
        <f t="shared" si="56"/>
        <v>0.57350102044101092</v>
      </c>
      <c r="N133" s="56">
        <f t="shared" si="56"/>
        <v>0.5705742450519099</v>
      </c>
      <c r="O133" s="56">
        <f t="shared" si="56"/>
        <v>0.6063803945859888</v>
      </c>
      <c r="P133" s="56">
        <f t="shared" si="56"/>
        <v>0.60355099251212441</v>
      </c>
      <c r="Q133" s="56">
        <f t="shared" si="56"/>
        <v>0.62323347333755197</v>
      </c>
      <c r="R133" s="56">
        <f t="shared" si="56"/>
        <v>0.61996962059637073</v>
      </c>
      <c r="S133" s="56">
        <f t="shared" si="56"/>
        <v>0.63871827902217793</v>
      </c>
      <c r="T133" s="56">
        <f t="shared" si="56"/>
        <v>0.63586706795134429</v>
      </c>
      <c r="U133" s="56">
        <f t="shared" si="56"/>
        <v>0.63292546352236589</v>
      </c>
      <c r="V133" s="56">
        <f t="shared" si="56"/>
        <v>0.62989171325964111</v>
      </c>
    </row>
    <row r="134" spans="2:22">
      <c r="B134" s="55" t="s">
        <v>1027</v>
      </c>
      <c r="C134" s="51"/>
      <c r="D134" s="51"/>
      <c r="E134" s="51"/>
      <c r="F134" s="51"/>
      <c r="G134" s="51"/>
      <c r="H134" s="51"/>
      <c r="I134" s="51"/>
      <c r="J134" s="56">
        <f>J123/J115</f>
        <v>-0.64347004692667853</v>
      </c>
      <c r="K134" s="56">
        <f t="shared" ref="K134:V134" si="57">K123/K115</f>
        <v>-0.38739884652271095</v>
      </c>
      <c r="L134" s="56">
        <f t="shared" si="57"/>
        <v>-0.3866583322662181</v>
      </c>
      <c r="M134" s="56">
        <f t="shared" si="57"/>
        <v>-0.13710613981177236</v>
      </c>
      <c r="N134" s="56">
        <f t="shared" si="57"/>
        <v>-0.11938085543112047</v>
      </c>
      <c r="O134" s="56">
        <f t="shared" si="57"/>
        <v>-1.7133000734522102E-2</v>
      </c>
      <c r="P134" s="56">
        <f t="shared" si="57"/>
        <v>-1.8421476167029263E-3</v>
      </c>
      <c r="Q134" s="56">
        <f t="shared" si="57"/>
        <v>6.870491879493601E-2</v>
      </c>
      <c r="R134" s="56">
        <f t="shared" si="57"/>
        <v>6.9028291941768558E-2</v>
      </c>
      <c r="S134" s="56">
        <f t="shared" si="57"/>
        <v>0.13406597451874844</v>
      </c>
      <c r="T134" s="56">
        <f t="shared" si="57"/>
        <v>0.14587885519577048</v>
      </c>
      <c r="U134" s="56">
        <f t="shared" si="57"/>
        <v>0.15717456818279704</v>
      </c>
      <c r="V134" s="56">
        <f t="shared" si="57"/>
        <v>0.16796378807081858</v>
      </c>
    </row>
    <row r="135" spans="2:22">
      <c r="B135" s="55" t="s">
        <v>990</v>
      </c>
      <c r="C135" s="51"/>
      <c r="D135" s="51"/>
      <c r="E135" s="51"/>
      <c r="F135" s="51"/>
      <c r="G135" s="51"/>
      <c r="H135" s="51"/>
      <c r="I135" s="51"/>
      <c r="J135" s="52">
        <f>IFERROR(J129/J115,0)</f>
        <v>-0.78499084930893048</v>
      </c>
      <c r="K135" s="52">
        <f t="shared" ref="K135:V135" si="58">IFERROR(K129/K115,0)</f>
        <v>-0.42926541722746042</v>
      </c>
      <c r="L135" s="52">
        <f t="shared" si="58"/>
        <v>-0.3866583322662181</v>
      </c>
      <c r="M135" s="52">
        <f t="shared" si="58"/>
        <v>-0.13710613981177236</v>
      </c>
      <c r="N135" s="52">
        <f t="shared" si="58"/>
        <v>-0.11938085543112047</v>
      </c>
      <c r="O135" s="52">
        <f t="shared" si="58"/>
        <v>-1.7133000734522102E-2</v>
      </c>
      <c r="P135" s="52">
        <f t="shared" si="58"/>
        <v>-1.8421476167029263E-3</v>
      </c>
      <c r="Q135" s="52">
        <f t="shared" si="58"/>
        <v>5.3589836660050093E-2</v>
      </c>
      <c r="R135" s="52">
        <f t="shared" si="58"/>
        <v>5.3842067714579479E-2</v>
      </c>
      <c r="S135" s="52">
        <f t="shared" si="58"/>
        <v>0.10457146012462377</v>
      </c>
      <c r="T135" s="52">
        <f t="shared" si="58"/>
        <v>0.11378550705270098</v>
      </c>
      <c r="U135" s="52">
        <f t="shared" si="58"/>
        <v>0.12259616318258168</v>
      </c>
      <c r="V135" s="52">
        <f t="shared" si="58"/>
        <v>0.13101175469523849</v>
      </c>
    </row>
    <row r="137" spans="2:22" ht="24" thickBot="1">
      <c r="B137" s="14" t="s">
        <v>1028</v>
      </c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</row>
    <row r="138" spans="2:22">
      <c r="B138" s="2" t="s">
        <v>29</v>
      </c>
      <c r="F138" s="6">
        <f>Output_FSL!$F$32</f>
        <v>1</v>
      </c>
    </row>
    <row r="139" spans="2:22">
      <c r="B139" s="407" t="s">
        <v>623</v>
      </c>
      <c r="I139" s="48">
        <f>SUM(J139:V139)</f>
        <v>1894.1025883271418</v>
      </c>
      <c r="J139" s="458">
        <f>Calculation_FSL!J363*$F$138</f>
        <v>0</v>
      </c>
      <c r="K139" s="23">
        <f>Calculation_FSL!K363*$F$138</f>
        <v>100.31220909619201</v>
      </c>
      <c r="L139" s="23">
        <f>Calculation_FSL!L363*$F$138</f>
        <v>103.32157536907776</v>
      </c>
      <c r="M139" s="23">
        <f>Calculation_FSL!M363*$F$138</f>
        <v>127.70546715618015</v>
      </c>
      <c r="N139" s="23">
        <f>Calculation_FSL!N363*$F$138</f>
        <v>131.53663117086555</v>
      </c>
      <c r="O139" s="23">
        <f>Calculation_FSL!O363*$F$138</f>
        <v>149.03100311659063</v>
      </c>
      <c r="P139" s="23">
        <f>Calculation_FSL!P363*$F$138</f>
        <v>153.50193321008834</v>
      </c>
      <c r="Q139" s="23">
        <f>Calculation_FSL!Q363*$F$138</f>
        <v>167.59341067877452</v>
      </c>
      <c r="R139" s="23">
        <f>Calculation_FSL!R363*$F$138</f>
        <v>172.62121299913773</v>
      </c>
      <c r="S139" s="23">
        <f>Calculation_FSL!S363*$F$138</f>
        <v>188.46784035245858</v>
      </c>
      <c r="T139" s="23">
        <f>Calculation_FSL!T363*$F$138</f>
        <v>194.12187556303238</v>
      </c>
      <c r="U139" s="23">
        <f>Calculation_FSL!U363*$F$138</f>
        <v>199.94553182992331</v>
      </c>
      <c r="V139" s="23">
        <f>Calculation_FSL!V363*$F$138</f>
        <v>205.94389778482102</v>
      </c>
    </row>
    <row r="140" spans="2:22">
      <c r="B140" s="407" t="s">
        <v>473</v>
      </c>
      <c r="H140" s="21">
        <f>K140/K139</f>
        <v>-9.4853286575082754E-2</v>
      </c>
      <c r="I140" s="48">
        <f>SUM(J140:V140)</f>
        <v>-156.20054147332229</v>
      </c>
      <c r="J140" s="23">
        <f>-Calculation_FSL!J367*$F$138</f>
        <v>0</v>
      </c>
      <c r="K140" s="458">
        <f>-Calculation_FSL!K367*$F$138</f>
        <v>-9.5149427163807232</v>
      </c>
      <c r="L140" s="458">
        <f>-Calculation_FSL!L367*$F$138</f>
        <v>-10.031008263808308</v>
      </c>
      <c r="M140" s="23">
        <f>-Calculation_FSL!M367*$F$138</f>
        <v>-10.578502203074235</v>
      </c>
      <c r="N140" s="23">
        <f>-Calculation_FSL!N367*$F$138</f>
        <v>-11.159338523241455</v>
      </c>
      <c r="O140" s="23">
        <f>-Calculation_FSL!O367*$F$138</f>
        <v>-11.775547775306862</v>
      </c>
      <c r="P140" s="23">
        <f>-Calculation_FSL!P367*$F$138</f>
        <v>-12.429284170823049</v>
      </c>
      <c r="Q140" s="23">
        <f>-Calculation_FSL!Q367*$F$138</f>
        <v>-13.122833112826175</v>
      </c>
      <c r="R140" s="23">
        <f>-Calculation_FSL!R367*$F$138</f>
        <v>-13.85861918539729</v>
      </c>
      <c r="S140" s="23">
        <f>-Calculation_FSL!S367*$F$138</f>
        <v>-14.639214629787984</v>
      </c>
      <c r="T140" s="23">
        <f>-Calculation_FSL!T367*$F$138</f>
        <v>-15.467348336742075</v>
      </c>
      <c r="U140" s="23">
        <f>-Calculation_FSL!U367*$F$138</f>
        <v>-16.345915386449665</v>
      </c>
      <c r="V140" s="23">
        <f>-Calculation_FSL!V367*$F$138</f>
        <v>-17.277987169484451</v>
      </c>
    </row>
    <row r="141" spans="2:22">
      <c r="B141" s="28" t="s">
        <v>1017</v>
      </c>
      <c r="C141" s="28"/>
      <c r="D141" s="28"/>
      <c r="E141" s="28"/>
      <c r="F141" s="28"/>
      <c r="G141" s="28"/>
      <c r="H141" s="28"/>
      <c r="I141" s="49">
        <f>SUM(J141:V141)</f>
        <v>1737.9020468538199</v>
      </c>
      <c r="J141" s="47">
        <f t="shared" ref="J141:V141" si="59">SUM(J139:J140)</f>
        <v>0</v>
      </c>
      <c r="K141" s="47">
        <f t="shared" si="59"/>
        <v>90.797266379811276</v>
      </c>
      <c r="L141" s="47">
        <f t="shared" si="59"/>
        <v>93.29056710526946</v>
      </c>
      <c r="M141" s="47">
        <f t="shared" si="59"/>
        <v>117.12696495310591</v>
      </c>
      <c r="N141" s="47">
        <f t="shared" si="59"/>
        <v>120.37729264762409</v>
      </c>
      <c r="O141" s="47">
        <f t="shared" si="59"/>
        <v>137.25545534128378</v>
      </c>
      <c r="P141" s="47">
        <f t="shared" si="59"/>
        <v>141.07264903926529</v>
      </c>
      <c r="Q141" s="47">
        <f t="shared" si="59"/>
        <v>154.47057756594833</v>
      </c>
      <c r="R141" s="47">
        <f t="shared" si="59"/>
        <v>158.76259381374044</v>
      </c>
      <c r="S141" s="47">
        <f t="shared" si="59"/>
        <v>173.82862572267061</v>
      </c>
      <c r="T141" s="47">
        <f t="shared" si="59"/>
        <v>178.6545272262903</v>
      </c>
      <c r="U141" s="47">
        <f t="shared" si="59"/>
        <v>183.59961644347365</v>
      </c>
      <c r="V141" s="47">
        <f t="shared" si="59"/>
        <v>188.66591061533657</v>
      </c>
    </row>
    <row r="143" spans="2:22">
      <c r="B143" t="s">
        <v>852</v>
      </c>
      <c r="H143" t="e">
        <f>J143/J139</f>
        <v>#DIV/0!</v>
      </c>
      <c r="I143" s="48">
        <f>SUM(J143:V143)</f>
        <v>-378.82051766542844</v>
      </c>
      <c r="J143">
        <f>Calculation_FSL!J366</f>
        <v>0</v>
      </c>
      <c r="K143">
        <f>Calculation_FSL!K366</f>
        <v>-20.062441819238401</v>
      </c>
      <c r="L143">
        <f>Calculation_FSL!L366</f>
        <v>-20.664315073815555</v>
      </c>
      <c r="M143">
        <f>Calculation_FSL!M366</f>
        <v>-25.541093431236032</v>
      </c>
      <c r="N143">
        <f>Calculation_FSL!N366</f>
        <v>-26.307326234173111</v>
      </c>
      <c r="O143">
        <f>Calculation_FSL!O366</f>
        <v>-29.806200623318126</v>
      </c>
      <c r="P143">
        <f>Calculation_FSL!P366</f>
        <v>-30.700386642017669</v>
      </c>
      <c r="Q143">
        <f>Calculation_FSL!Q366</f>
        <v>-33.518682135754908</v>
      </c>
      <c r="R143">
        <f>Calculation_FSL!R366</f>
        <v>-34.524242599827545</v>
      </c>
      <c r="S143">
        <f>Calculation_FSL!S366</f>
        <v>-37.693568070491715</v>
      </c>
      <c r="T143">
        <f>Calculation_FSL!T366</f>
        <v>-38.824375112606475</v>
      </c>
      <c r="U143">
        <f>Calculation_FSL!U366</f>
        <v>-39.989106365984668</v>
      </c>
      <c r="V143">
        <f>Calculation_FSL!V366</f>
        <v>-41.188779556964207</v>
      </c>
    </row>
    <row r="144" spans="2:22">
      <c r="B144" s="28" t="s">
        <v>139</v>
      </c>
      <c r="C144" s="28"/>
      <c r="D144" s="28"/>
      <c r="E144" s="28"/>
      <c r="F144" s="28"/>
      <c r="G144" s="28"/>
      <c r="H144" s="28"/>
      <c r="I144" s="49">
        <f>SUM(J144:V144)</f>
        <v>1359.0815291883912</v>
      </c>
      <c r="J144" s="47">
        <f t="shared" ref="J144:V144" si="60">SUM(J141,J143)</f>
        <v>0</v>
      </c>
      <c r="K144" s="460">
        <f t="shared" si="60"/>
        <v>70.734824560572875</v>
      </c>
      <c r="L144" s="460">
        <f t="shared" si="60"/>
        <v>72.626252031453902</v>
      </c>
      <c r="M144" s="47">
        <f t="shared" si="60"/>
        <v>91.585871521869876</v>
      </c>
      <c r="N144" s="47">
        <f t="shared" si="60"/>
        <v>94.06996641345097</v>
      </c>
      <c r="O144" s="47">
        <f t="shared" si="60"/>
        <v>107.44925471796566</v>
      </c>
      <c r="P144" s="47">
        <f t="shared" si="60"/>
        <v>110.37226239724762</v>
      </c>
      <c r="Q144" s="47">
        <f t="shared" si="60"/>
        <v>120.95189543019342</v>
      </c>
      <c r="R144" s="47">
        <f t="shared" si="60"/>
        <v>124.23835121391289</v>
      </c>
      <c r="S144" s="47">
        <f t="shared" si="60"/>
        <v>136.13505765217889</v>
      </c>
      <c r="T144" s="47">
        <f t="shared" si="60"/>
        <v>139.83015211368382</v>
      </c>
      <c r="U144" s="47">
        <f t="shared" si="60"/>
        <v>143.61051007748898</v>
      </c>
      <c r="V144" s="47">
        <f t="shared" si="60"/>
        <v>147.47713105837238</v>
      </c>
    </row>
    <row r="146" spans="2:22">
      <c r="B146" t="s">
        <v>1018</v>
      </c>
      <c r="H146" s="21">
        <f>K146/K139</f>
        <v>-0.17743140165574961</v>
      </c>
      <c r="I146" s="49">
        <f>SUM(J146:V146)</f>
        <v>-213.58243035746375</v>
      </c>
      <c r="J146" s="23">
        <f>-SUM(Calculation_FSL!J371,Calculation_FSL!J376)*$F$138</f>
        <v>0</v>
      </c>
      <c r="K146" s="23">
        <f>-SUM(Calculation_FSL!K371,Calculation_FSL!K376)*$F$138</f>
        <v>-17.798535863121984</v>
      </c>
      <c r="L146" s="23">
        <f>-SUM(Calculation_FSL!L371,Calculation_FSL!L376)*$F$138</f>
        <v>-17.798535863121984</v>
      </c>
      <c r="M146" s="23">
        <f>-SUM(Calculation_FSL!M371,Calculation_FSL!M376)*$F$138</f>
        <v>-17.798535863121984</v>
      </c>
      <c r="N146" s="23">
        <f>-SUM(Calculation_FSL!N371,Calculation_FSL!N376)*$F$138</f>
        <v>-17.798535863121984</v>
      </c>
      <c r="O146" s="23">
        <f>-SUM(Calculation_FSL!O371,Calculation_FSL!O376)*$F$138</f>
        <v>-17.798535863121984</v>
      </c>
      <c r="P146" s="23">
        <f>-SUM(Calculation_FSL!P371,Calculation_FSL!P376)*$F$138</f>
        <v>-17.798535863121984</v>
      </c>
      <c r="Q146" s="23">
        <f>-SUM(Calculation_FSL!Q371,Calculation_FSL!Q376)*$F$138</f>
        <v>-17.798535863121984</v>
      </c>
      <c r="R146" s="23">
        <f>-SUM(Calculation_FSL!R371,Calculation_FSL!R376)*$F$138</f>
        <v>-17.798535863121984</v>
      </c>
      <c r="S146" s="23">
        <f>-SUM(Calculation_FSL!S371,Calculation_FSL!S376)*$F$138</f>
        <v>-17.798535863121984</v>
      </c>
      <c r="T146" s="23">
        <f>-SUM(Calculation_FSL!T371,Calculation_FSL!T376)*$F$138</f>
        <v>-17.798535863121984</v>
      </c>
      <c r="U146" s="23">
        <f>-SUM(Calculation_FSL!U371,Calculation_FSL!U376)*$F$138</f>
        <v>-17.798535863121984</v>
      </c>
      <c r="V146" s="23">
        <f>-SUM(Calculation_FSL!V371,Calculation_FSL!V376)*$F$138</f>
        <v>-17.798535863121984</v>
      </c>
    </row>
    <row r="147" spans="2:22">
      <c r="B147" s="28" t="s">
        <v>434</v>
      </c>
      <c r="C147" s="28"/>
      <c r="D147" s="28"/>
      <c r="E147" s="28"/>
      <c r="F147" s="28"/>
      <c r="G147" s="28"/>
      <c r="H147" s="28"/>
      <c r="I147" s="49">
        <f>SUM(J147:V147)</f>
        <v>1145.4990988309273</v>
      </c>
      <c r="J147" s="47">
        <f t="shared" ref="J147:V147" si="61">SUM(J144,J146)</f>
        <v>0</v>
      </c>
      <c r="K147" s="47">
        <f t="shared" si="61"/>
        <v>52.936288697450891</v>
      </c>
      <c r="L147" s="47">
        <f t="shared" si="61"/>
        <v>54.827716168331918</v>
      </c>
      <c r="M147" s="47">
        <f t="shared" si="61"/>
        <v>73.787335658747892</v>
      </c>
      <c r="N147" s="47">
        <f t="shared" si="61"/>
        <v>76.271430550328986</v>
      </c>
      <c r="O147" s="47">
        <f t="shared" si="61"/>
        <v>89.650718854843674</v>
      </c>
      <c r="P147" s="47">
        <f t="shared" si="61"/>
        <v>92.57372653412564</v>
      </c>
      <c r="Q147" s="47">
        <f t="shared" si="61"/>
        <v>103.15335956707143</v>
      </c>
      <c r="R147" s="47">
        <f t="shared" si="61"/>
        <v>106.43981535079091</v>
      </c>
      <c r="S147" s="47">
        <f t="shared" si="61"/>
        <v>118.3365217890569</v>
      </c>
      <c r="T147" s="47">
        <f t="shared" si="61"/>
        <v>122.03161625056184</v>
      </c>
      <c r="U147" s="47">
        <f t="shared" si="61"/>
        <v>125.811974214367</v>
      </c>
      <c r="V147" s="47">
        <f t="shared" si="61"/>
        <v>129.67859519525041</v>
      </c>
    </row>
    <row r="148" spans="2:22"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</row>
    <row r="149" spans="2:22">
      <c r="B149" t="s">
        <v>881</v>
      </c>
      <c r="I149" s="48">
        <f>SUM(J149:V149)</f>
        <v>-13.331278719000002</v>
      </c>
      <c r="J149" s="23">
        <f>-Input!K433*$F$138</f>
        <v>0</v>
      </c>
      <c r="K149" s="23">
        <f>-Input!L433*$F$138</f>
        <v>-13.331278719000002</v>
      </c>
      <c r="L149" s="23">
        <f>-Input!M433*$F$138</f>
        <v>0</v>
      </c>
      <c r="M149" s="23">
        <f>-Input!N433*$F$138</f>
        <v>0</v>
      </c>
      <c r="N149" s="23">
        <f>-Input!O433*$F$138</f>
        <v>0</v>
      </c>
      <c r="O149" s="23">
        <f>-Input!P433*$F$138</f>
        <v>0</v>
      </c>
      <c r="P149" s="23">
        <f>-Input!Q433*$F$138</f>
        <v>0</v>
      </c>
      <c r="Q149" s="23">
        <f>-Input!R433*$F$138</f>
        <v>0</v>
      </c>
      <c r="R149" s="23">
        <f>-Input!S433*$F$138</f>
        <v>0</v>
      </c>
      <c r="S149" s="23">
        <f>-Input!T433*$F$138</f>
        <v>0</v>
      </c>
      <c r="T149" s="23">
        <f>-Input!U433*$F$138</f>
        <v>0</v>
      </c>
      <c r="U149" s="23">
        <f>-Input!V433*$F$138</f>
        <v>0</v>
      </c>
      <c r="V149" s="23">
        <f>-Input!W433*$F$138</f>
        <v>0</v>
      </c>
    </row>
    <row r="150" spans="2:22">
      <c r="B150" s="28" t="s">
        <v>1019</v>
      </c>
      <c r="C150" s="28"/>
      <c r="D150" s="28"/>
      <c r="E150" s="28"/>
      <c r="F150" s="28"/>
      <c r="G150" s="28"/>
      <c r="H150" s="28"/>
      <c r="I150" s="48">
        <f>SUM(J150:V150)</f>
        <v>1132.1678201119273</v>
      </c>
      <c r="J150" s="47">
        <f t="shared" ref="J150:V150" si="62">SUM(J147,J149)</f>
        <v>0</v>
      </c>
      <c r="K150" s="47">
        <f t="shared" si="62"/>
        <v>39.605009978450887</v>
      </c>
      <c r="L150" s="47">
        <f t="shared" si="62"/>
        <v>54.827716168331918</v>
      </c>
      <c r="M150" s="47">
        <f t="shared" si="62"/>
        <v>73.787335658747892</v>
      </c>
      <c r="N150" s="47">
        <f t="shared" si="62"/>
        <v>76.271430550328986</v>
      </c>
      <c r="O150" s="47">
        <f t="shared" si="62"/>
        <v>89.650718854843674</v>
      </c>
      <c r="P150" s="47">
        <f t="shared" si="62"/>
        <v>92.57372653412564</v>
      </c>
      <c r="Q150" s="47">
        <f t="shared" si="62"/>
        <v>103.15335956707143</v>
      </c>
      <c r="R150" s="47">
        <f t="shared" si="62"/>
        <v>106.43981535079091</v>
      </c>
      <c r="S150" s="47">
        <f t="shared" si="62"/>
        <v>118.3365217890569</v>
      </c>
      <c r="T150" s="47">
        <f t="shared" si="62"/>
        <v>122.03161625056184</v>
      </c>
      <c r="U150" s="47">
        <f t="shared" si="62"/>
        <v>125.811974214367</v>
      </c>
      <c r="V150" s="47">
        <f t="shared" si="62"/>
        <v>129.67859519525041</v>
      </c>
    </row>
    <row r="151" spans="2:22"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</row>
    <row r="152" spans="2:22">
      <c r="B152" t="s">
        <v>759</v>
      </c>
      <c r="I152" s="48">
        <f>SUM(J152:V152)</f>
        <v>-249.07692042462409</v>
      </c>
      <c r="J152" s="23">
        <f>-IF(J150&lt;0,0,J150*22%)</f>
        <v>0</v>
      </c>
      <c r="K152" s="23">
        <f t="shared" ref="K152:V152" si="63">-IF(K150&lt;0,0,K150*22%)</f>
        <v>-8.7131021952591947</v>
      </c>
      <c r="L152" s="23">
        <f t="shared" si="63"/>
        <v>-12.062097557033022</v>
      </c>
      <c r="M152" s="23">
        <f t="shared" si="63"/>
        <v>-16.233213844924535</v>
      </c>
      <c r="N152" s="23">
        <f t="shared" si="63"/>
        <v>-16.779714721072377</v>
      </c>
      <c r="O152" s="23">
        <f t="shared" si="63"/>
        <v>-19.723158148065608</v>
      </c>
      <c r="P152" s="23">
        <f t="shared" si="63"/>
        <v>-20.366219837507639</v>
      </c>
      <c r="Q152" s="23">
        <f t="shared" si="63"/>
        <v>-22.693739104755714</v>
      </c>
      <c r="R152" s="23">
        <f t="shared" si="63"/>
        <v>-23.416759377173999</v>
      </c>
      <c r="S152" s="23">
        <f t="shared" si="63"/>
        <v>-26.034034793592518</v>
      </c>
      <c r="T152" s="23">
        <f t="shared" si="63"/>
        <v>-26.846955575123605</v>
      </c>
      <c r="U152" s="23">
        <f t="shared" si="63"/>
        <v>-27.67863432716074</v>
      </c>
      <c r="V152" s="23">
        <f t="shared" si="63"/>
        <v>-28.52929094295509</v>
      </c>
    </row>
    <row r="153" spans="2:22">
      <c r="B153" s="28" t="s">
        <v>1020</v>
      </c>
      <c r="C153" s="28"/>
      <c r="D153" s="28"/>
      <c r="E153" s="28"/>
      <c r="F153" s="28"/>
      <c r="G153" s="28"/>
      <c r="H153" s="28"/>
      <c r="I153" s="48">
        <f>SUM(J153:V153)</f>
        <v>883.09089968730336</v>
      </c>
      <c r="J153" s="47">
        <f t="shared" ref="J153:V153" si="64">SUM(J150,J152)</f>
        <v>0</v>
      </c>
      <c r="K153" s="47">
        <f t="shared" si="64"/>
        <v>30.891907783191691</v>
      </c>
      <c r="L153" s="47">
        <f t="shared" si="64"/>
        <v>42.765618611298898</v>
      </c>
      <c r="M153" s="47">
        <f t="shared" si="64"/>
        <v>57.554121813823357</v>
      </c>
      <c r="N153" s="47">
        <f t="shared" si="64"/>
        <v>59.491715829256606</v>
      </c>
      <c r="O153" s="47">
        <f t="shared" si="64"/>
        <v>69.927560706778067</v>
      </c>
      <c r="P153" s="47">
        <f t="shared" si="64"/>
        <v>72.207506696617997</v>
      </c>
      <c r="Q153" s="47">
        <f t="shared" si="64"/>
        <v>80.459620462315712</v>
      </c>
      <c r="R153" s="47">
        <f t="shared" si="64"/>
        <v>83.023055973616906</v>
      </c>
      <c r="S153" s="47">
        <f t="shared" si="64"/>
        <v>92.302486995464392</v>
      </c>
      <c r="T153" s="47">
        <f t="shared" si="64"/>
        <v>95.184660675438238</v>
      </c>
      <c r="U153" s="47">
        <f t="shared" si="64"/>
        <v>98.133339887206262</v>
      </c>
      <c r="V153" s="47">
        <f t="shared" si="64"/>
        <v>101.14930425229532</v>
      </c>
    </row>
    <row r="155" spans="2:22">
      <c r="B155" s="407" t="s">
        <v>32</v>
      </c>
      <c r="C155" s="407"/>
      <c r="D155" s="407"/>
      <c r="E155" s="407"/>
      <c r="F155" s="407"/>
      <c r="G155" s="407"/>
      <c r="H155" s="407"/>
      <c r="I155" s="407"/>
      <c r="J155" s="9">
        <f>J$8</f>
        <v>2024</v>
      </c>
      <c r="K155" s="9">
        <f t="shared" ref="K155:V155" si="65">K$8</f>
        <v>2025</v>
      </c>
      <c r="L155" s="9">
        <f t="shared" si="65"/>
        <v>2026</v>
      </c>
      <c r="M155" s="9">
        <f t="shared" si="65"/>
        <v>2027</v>
      </c>
      <c r="N155" s="9">
        <f t="shared" si="65"/>
        <v>2028</v>
      </c>
      <c r="O155" s="9">
        <f t="shared" si="65"/>
        <v>2029</v>
      </c>
      <c r="P155" s="9">
        <f t="shared" si="65"/>
        <v>2030</v>
      </c>
      <c r="Q155" s="9">
        <f t="shared" si="65"/>
        <v>2031</v>
      </c>
      <c r="R155" s="9">
        <f t="shared" si="65"/>
        <v>2032</v>
      </c>
      <c r="S155" s="9">
        <f t="shared" si="65"/>
        <v>2033</v>
      </c>
      <c r="T155" s="9">
        <f t="shared" si="65"/>
        <v>2034</v>
      </c>
      <c r="U155" s="9">
        <f t="shared" si="65"/>
        <v>2035</v>
      </c>
      <c r="V155" s="9">
        <f t="shared" si="65"/>
        <v>2036</v>
      </c>
    </row>
    <row r="156" spans="2:22">
      <c r="B156" s="55" t="s">
        <v>1021</v>
      </c>
      <c r="C156" s="51"/>
      <c r="D156" s="51"/>
      <c r="E156" s="51"/>
      <c r="F156" s="51"/>
      <c r="G156" s="51"/>
      <c r="H156" s="51"/>
      <c r="I156" s="51"/>
      <c r="J156" s="56">
        <f>IFERROR(J141/J139,0)</f>
        <v>0</v>
      </c>
      <c r="K156" s="56">
        <f t="shared" ref="K156:V156" si="66">IFERROR(K141/K139,0)</f>
        <v>0.90514671342491715</v>
      </c>
      <c r="L156" s="56">
        <f t="shared" si="66"/>
        <v>0.90291467945609361</v>
      </c>
      <c r="M156" s="56">
        <f t="shared" si="66"/>
        <v>0.91716484471148729</v>
      </c>
      <c r="N156" s="56">
        <f t="shared" si="66"/>
        <v>0.91516174297678698</v>
      </c>
      <c r="O156" s="56">
        <f t="shared" si="66"/>
        <v>0.92098591884203751</v>
      </c>
      <c r="P156" s="56">
        <f t="shared" si="66"/>
        <v>0.9190284844568577</v>
      </c>
      <c r="Q156" s="56">
        <f t="shared" si="66"/>
        <v>0.92169839458677372</v>
      </c>
      <c r="R156" s="56">
        <f t="shared" si="66"/>
        <v>0.91971659250554272</v>
      </c>
      <c r="S156" s="56">
        <f t="shared" si="66"/>
        <v>0.92232513195667332</v>
      </c>
      <c r="T156" s="56">
        <f t="shared" si="66"/>
        <v>0.92032145634344154</v>
      </c>
      <c r="U156" s="56">
        <f t="shared" si="66"/>
        <v>0.91824815870177212</v>
      </c>
      <c r="V156" s="56">
        <f t="shared" si="66"/>
        <v>0.91610342741236628</v>
      </c>
    </row>
    <row r="157" spans="2:22">
      <c r="B157" s="55" t="s">
        <v>1022</v>
      </c>
      <c r="C157" s="51"/>
      <c r="D157" s="51"/>
      <c r="E157" s="51"/>
      <c r="F157" s="51"/>
      <c r="G157" s="51"/>
      <c r="H157" s="51"/>
      <c r="I157" s="51"/>
      <c r="J157" s="56">
        <f>IFERROR(J144/J139,0)</f>
        <v>0</v>
      </c>
      <c r="K157" s="52">
        <f t="shared" ref="K157:T157" si="67">IFERROR(K147/K141,0)</f>
        <v>0.58301632646091694</v>
      </c>
      <c r="L157" s="52">
        <f t="shared" si="67"/>
        <v>0.58770911003750359</v>
      </c>
      <c r="M157" s="52">
        <f t="shared" si="67"/>
        <v>0.62997735566946611</v>
      </c>
      <c r="N157" s="52">
        <f t="shared" si="67"/>
        <v>0.63360313953558889</v>
      </c>
      <c r="O157" s="52">
        <f t="shared" si="67"/>
        <v>0.65316688966517511</v>
      </c>
      <c r="P157" s="52">
        <f t="shared" si="67"/>
        <v>0.65621314382747031</v>
      </c>
      <c r="Q157" s="52">
        <f t="shared" si="67"/>
        <v>0.66778645611674514</v>
      </c>
      <c r="R157" s="52">
        <f t="shared" si="67"/>
        <v>0.67043383957096103</v>
      </c>
      <c r="S157" s="52">
        <f t="shared" si="67"/>
        <v>0.68076544526016769</v>
      </c>
      <c r="T157" s="52">
        <f t="shared" si="67"/>
        <v>0.68305918772487739</v>
      </c>
      <c r="U157" s="52">
        <f>IFERROR(U147/U141,0)</f>
        <v>0.68525183576895865</v>
      </c>
      <c r="V157" s="52">
        <f>IFERROR(V147/V141,0)</f>
        <v>0.68734513178507883</v>
      </c>
    </row>
    <row r="158" spans="2:22">
      <c r="B158" s="55" t="s">
        <v>990</v>
      </c>
      <c r="C158" s="51"/>
      <c r="D158" s="51"/>
      <c r="E158" s="51"/>
      <c r="F158" s="51"/>
      <c r="G158" s="51"/>
      <c r="H158" s="51"/>
      <c r="I158" s="51"/>
      <c r="J158" s="52">
        <f>IFERROR(J153/J139,0)</f>
        <v>0</v>
      </c>
      <c r="K158" s="52">
        <f t="shared" ref="K158:V158" si="68">IFERROR(K153/K139,0)</f>
        <v>0.30795760617302953</v>
      </c>
      <c r="L158" s="52">
        <f t="shared" si="68"/>
        <v>0.41390792250829206</v>
      </c>
      <c r="M158" s="52">
        <f t="shared" si="68"/>
        <v>0.45067860519578468</v>
      </c>
      <c r="N158" s="52">
        <f t="shared" si="68"/>
        <v>0.45228249575570406</v>
      </c>
      <c r="O158" s="52">
        <f t="shared" si="68"/>
        <v>0.46921485626767212</v>
      </c>
      <c r="P158" s="52">
        <f t="shared" si="68"/>
        <v>0.47040128542089549</v>
      </c>
      <c r="Q158" s="52">
        <f t="shared" si="68"/>
        <v>0.48008820953308406</v>
      </c>
      <c r="R158" s="52">
        <f t="shared" si="68"/>
        <v>0.48095511861587731</v>
      </c>
      <c r="S158" s="52">
        <f t="shared" si="68"/>
        <v>0.48975192172227966</v>
      </c>
      <c r="T158" s="52">
        <f t="shared" si="68"/>
        <v>0.4903345406042674</v>
      </c>
      <c r="U158" s="52">
        <f t="shared" si="68"/>
        <v>0.4908003644246472</v>
      </c>
      <c r="V158" s="52">
        <f t="shared" si="68"/>
        <v>0.49114980021394194</v>
      </c>
    </row>
    <row r="160" spans="2:22" ht="24" thickBot="1">
      <c r="B160" s="14" t="s">
        <v>1029</v>
      </c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</row>
    <row r="161" spans="2:22">
      <c r="B161" s="2" t="s">
        <v>29</v>
      </c>
      <c r="F161" s="6">
        <f>Output_FSL!$F$33</f>
        <v>1</v>
      </c>
    </row>
    <row r="162" spans="2:22">
      <c r="B162" s="407" t="s">
        <v>623</v>
      </c>
      <c r="I162" s="48">
        <f>SUM(J162:V162)</f>
        <v>447.04893118848793</v>
      </c>
      <c r="J162" s="23">
        <f>Calculation_FSL!J406*$F$161</f>
        <v>0</v>
      </c>
      <c r="K162" s="23">
        <f>Calculation_FSL!K406*$F$161</f>
        <v>31.5</v>
      </c>
      <c r="L162" s="23">
        <f>Calculation_FSL!L406*$F$161</f>
        <v>32.445</v>
      </c>
      <c r="M162" s="23">
        <f>Calculation_FSL!M406*$F$161</f>
        <v>33.418349999999997</v>
      </c>
      <c r="N162" s="23">
        <f>Calculation_FSL!N406*$F$161</f>
        <v>34.420900500000002</v>
      </c>
      <c r="O162" s="23">
        <f>Calculation_FSL!O406*$F$161</f>
        <v>35.453527514999998</v>
      </c>
      <c r="P162" s="23">
        <f>Calculation_FSL!P406*$F$161</f>
        <v>36.517133340450002</v>
      </c>
      <c r="Q162" s="23">
        <f>Calculation_FSL!Q406*$F$161</f>
        <v>37.6126473406635</v>
      </c>
      <c r="R162" s="23">
        <f>Calculation_FSL!R406*$F$161</f>
        <v>38.741026760883415</v>
      </c>
      <c r="S162" s="23">
        <f>Calculation_FSL!S406*$F$161</f>
        <v>39.903257563709914</v>
      </c>
      <c r="T162" s="23">
        <f>Calculation_FSL!T406*$F$161</f>
        <v>41.100355290621216</v>
      </c>
      <c r="U162" s="23">
        <f>Calculation_FSL!U406*$F$161</f>
        <v>42.33336594933985</v>
      </c>
      <c r="V162" s="23">
        <f>Calculation_FSL!V406*$F$161</f>
        <v>43.603366927820048</v>
      </c>
    </row>
    <row r="163" spans="2:22">
      <c r="B163" s="407" t="s">
        <v>473</v>
      </c>
      <c r="H163" s="21">
        <f>L163/L162</f>
        <v>-7.8141916209950896E-2</v>
      </c>
      <c r="I163" s="48">
        <f>SUM(J163:V163)</f>
        <v>-37.935010718932219</v>
      </c>
      <c r="J163" s="23">
        <f>-Calculation_FSL!J410*$F$161</f>
        <v>0</v>
      </c>
      <c r="K163" s="23">
        <f>-Calculation_FSL!K410*$F$161</f>
        <v>-2.4271241506568542</v>
      </c>
      <c r="L163" s="23">
        <f>-Calculation_FSL!L410*$F$161</f>
        <v>-2.5353144714318567</v>
      </c>
      <c r="M163" s="23">
        <f>-Calculation_FSL!M410*$F$161</f>
        <v>-2.6500935827420573</v>
      </c>
      <c r="N163" s="23">
        <f>-Calculation_FSL!N410*$F$161</f>
        <v>-2.7718627419310486</v>
      </c>
      <c r="O163" s="23">
        <f>-Calculation_FSL!O410*$F$161</f>
        <v>-2.9010476429146492</v>
      </c>
      <c r="P163" s="23">
        <f>-Calculation_FSL!P410*$F$161</f>
        <v>-3.0380999043681518</v>
      </c>
      <c r="Q163" s="23">
        <f>-Calculation_FSL!Q410*$F$161</f>
        <v>-3.1834986485441723</v>
      </c>
      <c r="R163" s="23">
        <f>-Calculation_FSL!R410*$F$161</f>
        <v>-3.3377521762405129</v>
      </c>
      <c r="S163" s="23">
        <f>-Calculation_FSL!S410*$F$161</f>
        <v>-3.5013997437735593</v>
      </c>
      <c r="T163" s="23">
        <f>-Calculation_FSL!T410*$F$161</f>
        <v>-3.6750134481693699</v>
      </c>
      <c r="U163" s="23">
        <f>-Calculation_FSL!U410*$F$161</f>
        <v>-3.8592002271628845</v>
      </c>
      <c r="V163" s="23">
        <f>-Calculation_FSL!V410*$F$161</f>
        <v>-4.0546039809971042</v>
      </c>
    </row>
    <row r="164" spans="2:22">
      <c r="B164" s="28" t="s">
        <v>1017</v>
      </c>
      <c r="C164" s="28"/>
      <c r="D164" s="28"/>
      <c r="E164" s="28"/>
      <c r="F164" s="28"/>
      <c r="G164" s="28"/>
      <c r="H164" s="28"/>
      <c r="I164" s="49">
        <f>SUM(J164:V164)</f>
        <v>409.11392046955569</v>
      </c>
      <c r="J164" s="47">
        <f t="shared" ref="J164:V164" si="69">SUM(J162:J163)</f>
        <v>0</v>
      </c>
      <c r="K164" s="47">
        <f t="shared" si="69"/>
        <v>29.072875849343145</v>
      </c>
      <c r="L164" s="47">
        <f t="shared" si="69"/>
        <v>29.909685528568144</v>
      </c>
      <c r="M164" s="47">
        <f t="shared" si="69"/>
        <v>30.768256417257938</v>
      </c>
      <c r="N164" s="47">
        <f t="shared" si="69"/>
        <v>31.649037758068953</v>
      </c>
      <c r="O164" s="47">
        <f t="shared" si="69"/>
        <v>32.55247987208535</v>
      </c>
      <c r="P164" s="47">
        <f t="shared" si="69"/>
        <v>33.479033436081849</v>
      </c>
      <c r="Q164" s="47">
        <f t="shared" si="69"/>
        <v>34.429148692119327</v>
      </c>
      <c r="R164" s="47">
        <f t="shared" si="69"/>
        <v>35.403274584642901</v>
      </c>
      <c r="S164" s="47">
        <f t="shared" si="69"/>
        <v>36.401857819936353</v>
      </c>
      <c r="T164" s="47">
        <f t="shared" si="69"/>
        <v>37.425341842451843</v>
      </c>
      <c r="U164" s="47">
        <f t="shared" si="69"/>
        <v>38.474165722176963</v>
      </c>
      <c r="V164" s="47">
        <f t="shared" si="69"/>
        <v>39.548762946822947</v>
      </c>
    </row>
    <row r="165" spans="2:22">
      <c r="L165" s="1"/>
    </row>
    <row r="166" spans="2:22">
      <c r="B166" t="s">
        <v>852</v>
      </c>
      <c r="I166" s="48">
        <f>SUM(J166:V166)</f>
        <v>0</v>
      </c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</row>
    <row r="167" spans="2:22">
      <c r="B167" s="28" t="s">
        <v>139</v>
      </c>
      <c r="C167" s="28"/>
      <c r="D167" s="28"/>
      <c r="E167" s="28"/>
      <c r="F167" s="28"/>
      <c r="G167" s="28"/>
      <c r="H167" s="28"/>
      <c r="I167" s="49">
        <f>SUM(J167:V167)</f>
        <v>409.11392046955569</v>
      </c>
      <c r="J167" s="47">
        <f t="shared" ref="J167:V167" si="70">SUM(J164,J166)</f>
        <v>0</v>
      </c>
      <c r="K167" s="47">
        <f t="shared" si="70"/>
        <v>29.072875849343145</v>
      </c>
      <c r="L167" s="47">
        <f t="shared" si="70"/>
        <v>29.909685528568144</v>
      </c>
      <c r="M167" s="47">
        <f t="shared" si="70"/>
        <v>30.768256417257938</v>
      </c>
      <c r="N167" s="47">
        <f t="shared" si="70"/>
        <v>31.649037758068953</v>
      </c>
      <c r="O167" s="47">
        <f t="shared" si="70"/>
        <v>32.55247987208535</v>
      </c>
      <c r="P167" s="47">
        <f t="shared" si="70"/>
        <v>33.479033436081849</v>
      </c>
      <c r="Q167" s="47">
        <f t="shared" si="70"/>
        <v>34.429148692119327</v>
      </c>
      <c r="R167" s="47">
        <f t="shared" si="70"/>
        <v>35.403274584642901</v>
      </c>
      <c r="S167" s="47">
        <f t="shared" si="70"/>
        <v>36.401857819936353</v>
      </c>
      <c r="T167" s="47">
        <f t="shared" si="70"/>
        <v>37.425341842451843</v>
      </c>
      <c r="U167" s="47">
        <f t="shared" si="70"/>
        <v>38.474165722176963</v>
      </c>
      <c r="V167" s="47">
        <f t="shared" si="70"/>
        <v>39.548762946822947</v>
      </c>
    </row>
    <row r="169" spans="2:22">
      <c r="B169" t="s">
        <v>1018</v>
      </c>
      <c r="I169" s="49">
        <f>SUM(J169:V169)</f>
        <v>-89.040237661994425</v>
      </c>
      <c r="J169" s="23">
        <f>-SUM(Calculation_FSL!J414,Calculation_FSL!J419)*$F$161</f>
        <v>0</v>
      </c>
      <c r="K169" s="23">
        <f>-SUM(Calculation_FSL!K414,Calculation_FSL!K419)*$F$161</f>
        <v>-7.4200198051662012</v>
      </c>
      <c r="L169" s="23">
        <f>-SUM(Calculation_FSL!L414,Calculation_FSL!L419)*$F$161</f>
        <v>-7.4200198051662012</v>
      </c>
      <c r="M169" s="23">
        <f>-SUM(Calculation_FSL!M414,Calculation_FSL!M419)*$F$161</f>
        <v>-7.4200198051662012</v>
      </c>
      <c r="N169" s="23">
        <f>-SUM(Calculation_FSL!N414,Calculation_FSL!N419)*$F$161</f>
        <v>-7.4200198051662012</v>
      </c>
      <c r="O169" s="23">
        <f>-SUM(Calculation_FSL!O414,Calculation_FSL!O419)*$F$161</f>
        <v>-7.4200198051662012</v>
      </c>
      <c r="P169" s="23">
        <f>-SUM(Calculation_FSL!P414,Calculation_FSL!P419)*$F$161</f>
        <v>-7.4200198051662012</v>
      </c>
      <c r="Q169" s="23">
        <f>-SUM(Calculation_FSL!Q414,Calculation_FSL!Q419)*$F$161</f>
        <v>-7.4200198051662012</v>
      </c>
      <c r="R169" s="23">
        <f>-SUM(Calculation_FSL!R414,Calculation_FSL!R419)*$F$161</f>
        <v>-7.4200198051662012</v>
      </c>
      <c r="S169" s="23">
        <f>-SUM(Calculation_FSL!S414,Calculation_FSL!S419)*$F$161</f>
        <v>-7.4200198051662012</v>
      </c>
      <c r="T169" s="23">
        <f>-SUM(Calculation_FSL!T414,Calculation_FSL!T419)*$F$161</f>
        <v>-7.4200198051662012</v>
      </c>
      <c r="U169" s="23">
        <f>-SUM(Calculation_FSL!U414,Calculation_FSL!U419)*$F$161</f>
        <v>-7.4200198051662012</v>
      </c>
      <c r="V169" s="23">
        <f>-SUM(Calculation_FSL!V414,Calculation_FSL!V419)*$F$161</f>
        <v>-7.4200198051662012</v>
      </c>
    </row>
    <row r="170" spans="2:22">
      <c r="B170" s="28" t="s">
        <v>434</v>
      </c>
      <c r="C170" s="28"/>
      <c r="D170" s="28"/>
      <c r="E170" s="28"/>
      <c r="F170" s="28"/>
      <c r="G170" s="28"/>
      <c r="H170" s="28"/>
      <c r="I170" s="49">
        <f>SUM(J170:V170)</f>
        <v>320.07368280756134</v>
      </c>
      <c r="J170" s="47">
        <f t="shared" ref="J170:V170" si="71">SUM(J167,J169)</f>
        <v>0</v>
      </c>
      <c r="K170" s="47">
        <f t="shared" si="71"/>
        <v>21.652856044176943</v>
      </c>
      <c r="L170" s="47">
        <f t="shared" si="71"/>
        <v>22.489665723401941</v>
      </c>
      <c r="M170" s="47">
        <f t="shared" si="71"/>
        <v>23.348236612091736</v>
      </c>
      <c r="N170" s="47">
        <f t="shared" si="71"/>
        <v>24.229017952902751</v>
      </c>
      <c r="O170" s="47">
        <f t="shared" si="71"/>
        <v>25.132460066919148</v>
      </c>
      <c r="P170" s="47">
        <f t="shared" si="71"/>
        <v>26.059013630915647</v>
      </c>
      <c r="Q170" s="47">
        <f t="shared" si="71"/>
        <v>27.009128886953125</v>
      </c>
      <c r="R170" s="47">
        <f t="shared" si="71"/>
        <v>27.983254779476699</v>
      </c>
      <c r="S170" s="47">
        <f t="shared" si="71"/>
        <v>28.981838014770151</v>
      </c>
      <c r="T170" s="47">
        <f t="shared" si="71"/>
        <v>30.005322037285641</v>
      </c>
      <c r="U170" s="47">
        <f t="shared" si="71"/>
        <v>31.054145917010761</v>
      </c>
      <c r="V170" s="47">
        <f t="shared" si="71"/>
        <v>32.128743141656749</v>
      </c>
    </row>
    <row r="171" spans="2:22"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</row>
    <row r="172" spans="2:22">
      <c r="B172" t="s">
        <v>881</v>
      </c>
      <c r="I172" s="48">
        <f>SUM(J172:V172)</f>
        <v>0</v>
      </c>
      <c r="J172" s="23">
        <f>-Input!K477*$F$161</f>
        <v>0</v>
      </c>
      <c r="K172" s="23">
        <f>-Input!L477*$F$161</f>
        <v>0</v>
      </c>
      <c r="L172" s="23">
        <f>-Input!M477*$F$161</f>
        <v>0</v>
      </c>
      <c r="M172" s="23">
        <f>-Input!N477*$F$161</f>
        <v>0</v>
      </c>
      <c r="N172" s="23">
        <f>-Input!O477*$F$161</f>
        <v>0</v>
      </c>
      <c r="O172" s="23">
        <f>-Input!P477*$F$161</f>
        <v>0</v>
      </c>
      <c r="P172" s="23">
        <f>-Input!Q477*$F$161</f>
        <v>0</v>
      </c>
      <c r="Q172" s="23">
        <f>-Input!R477*$F$161</f>
        <v>0</v>
      </c>
      <c r="R172" s="23">
        <f>-Input!S477*$F$161</f>
        <v>0</v>
      </c>
      <c r="S172" s="23">
        <f>-Input!T477*$F$161</f>
        <v>0</v>
      </c>
      <c r="T172" s="23">
        <f>-Input!U477*$F$161</f>
        <v>0</v>
      </c>
      <c r="U172" s="23">
        <f>-Input!V477*$F$161</f>
        <v>0</v>
      </c>
      <c r="V172" s="23">
        <f>-Input!W477*$F$161</f>
        <v>0</v>
      </c>
    </row>
    <row r="173" spans="2:22">
      <c r="B173" s="28" t="s">
        <v>1019</v>
      </c>
      <c r="C173" s="28"/>
      <c r="D173" s="28"/>
      <c r="E173" s="28"/>
      <c r="F173" s="28"/>
      <c r="G173" s="28"/>
      <c r="H173" s="28"/>
      <c r="I173" s="48">
        <f>SUM(J173:V173)</f>
        <v>320.07368280756134</v>
      </c>
      <c r="J173" s="47">
        <f t="shared" ref="J173:V173" si="72">SUM(J170,J172)</f>
        <v>0</v>
      </c>
      <c r="K173" s="47">
        <f t="shared" si="72"/>
        <v>21.652856044176943</v>
      </c>
      <c r="L173" s="47">
        <f t="shared" si="72"/>
        <v>22.489665723401941</v>
      </c>
      <c r="M173" s="47">
        <f t="shared" si="72"/>
        <v>23.348236612091736</v>
      </c>
      <c r="N173" s="47">
        <f t="shared" si="72"/>
        <v>24.229017952902751</v>
      </c>
      <c r="O173" s="47">
        <f t="shared" si="72"/>
        <v>25.132460066919148</v>
      </c>
      <c r="P173" s="47">
        <f t="shared" si="72"/>
        <v>26.059013630915647</v>
      </c>
      <c r="Q173" s="47">
        <f t="shared" si="72"/>
        <v>27.009128886953125</v>
      </c>
      <c r="R173" s="47">
        <f t="shared" si="72"/>
        <v>27.983254779476699</v>
      </c>
      <c r="S173" s="47">
        <f t="shared" si="72"/>
        <v>28.981838014770151</v>
      </c>
      <c r="T173" s="47">
        <f t="shared" si="72"/>
        <v>30.005322037285641</v>
      </c>
      <c r="U173" s="47">
        <f t="shared" si="72"/>
        <v>31.054145917010761</v>
      </c>
      <c r="V173" s="47">
        <f t="shared" si="72"/>
        <v>32.128743141656749</v>
      </c>
    </row>
    <row r="174" spans="2:22"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</row>
    <row r="175" spans="2:22">
      <c r="B175" t="s">
        <v>759</v>
      </c>
      <c r="I175" s="48">
        <f>SUM(J175:V175)</f>
        <v>-70.41621021766349</v>
      </c>
      <c r="J175" s="23">
        <f>-IF(J173&lt;0,0,J173*22%)</f>
        <v>0</v>
      </c>
      <c r="K175" s="23">
        <f t="shared" ref="K175:V175" si="73">-IF(K173&lt;0,0,K173*22%)</f>
        <v>-4.7636283297189275</v>
      </c>
      <c r="L175" s="23">
        <f t="shared" si="73"/>
        <v>-4.9477264591484271</v>
      </c>
      <c r="M175" s="23">
        <f t="shared" si="73"/>
        <v>-5.1366120546601817</v>
      </c>
      <c r="N175" s="23">
        <f t="shared" si="73"/>
        <v>-5.3303839496386054</v>
      </c>
      <c r="O175" s="23">
        <f t="shared" si="73"/>
        <v>-5.5291412147222125</v>
      </c>
      <c r="P175" s="23">
        <f t="shared" si="73"/>
        <v>-5.7329829988014422</v>
      </c>
      <c r="Q175" s="23">
        <f t="shared" si="73"/>
        <v>-5.9420083551296878</v>
      </c>
      <c r="R175" s="23">
        <f t="shared" si="73"/>
        <v>-6.1563160514848736</v>
      </c>
      <c r="S175" s="23">
        <f t="shared" si="73"/>
        <v>-6.3760043632494332</v>
      </c>
      <c r="T175" s="23">
        <f t="shared" si="73"/>
        <v>-6.6011708482028411</v>
      </c>
      <c r="U175" s="23">
        <f t="shared" si="73"/>
        <v>-6.8319121017423674</v>
      </c>
      <c r="V175" s="23">
        <f t="shared" si="73"/>
        <v>-7.0683234911644846</v>
      </c>
    </row>
    <row r="176" spans="2:22">
      <c r="B176" s="28" t="s">
        <v>1020</v>
      </c>
      <c r="C176" s="28"/>
      <c r="D176" s="28"/>
      <c r="E176" s="28"/>
      <c r="F176" s="28"/>
      <c r="G176" s="28"/>
      <c r="H176" s="28"/>
      <c r="I176" s="48">
        <f>SUM(J176:V176)</f>
        <v>249.65747258989782</v>
      </c>
      <c r="J176" s="47">
        <f t="shared" ref="J176:V176" si="74">SUM(J173,J175)</f>
        <v>0</v>
      </c>
      <c r="K176" s="47">
        <f t="shared" si="74"/>
        <v>16.889227714458016</v>
      </c>
      <c r="L176" s="47">
        <f t="shared" si="74"/>
        <v>17.541939264253514</v>
      </c>
      <c r="M176" s="47">
        <f t="shared" si="74"/>
        <v>18.211624557431556</v>
      </c>
      <c r="N176" s="47">
        <f t="shared" si="74"/>
        <v>18.898634003264146</v>
      </c>
      <c r="O176" s="47">
        <f t="shared" si="74"/>
        <v>19.603318852196935</v>
      </c>
      <c r="P176" s="47">
        <f t="shared" si="74"/>
        <v>20.326030632114204</v>
      </c>
      <c r="Q176" s="47">
        <f t="shared" si="74"/>
        <v>21.067120531823438</v>
      </c>
      <c r="R176" s="47">
        <f t="shared" si="74"/>
        <v>21.826938727991823</v>
      </c>
      <c r="S176" s="47">
        <f t="shared" si="74"/>
        <v>22.605833651520719</v>
      </c>
      <c r="T176" s="47">
        <f t="shared" si="74"/>
        <v>23.4041511890828</v>
      </c>
      <c r="U176" s="47">
        <f t="shared" si="74"/>
        <v>24.222233815268392</v>
      </c>
      <c r="V176" s="47">
        <f t="shared" si="74"/>
        <v>25.060419650492264</v>
      </c>
    </row>
    <row r="178" spans="1:22">
      <c r="B178" s="407" t="s">
        <v>32</v>
      </c>
      <c r="C178" s="407"/>
      <c r="D178" s="407"/>
      <c r="E178" s="407"/>
      <c r="F178" s="407"/>
      <c r="G178" s="407"/>
      <c r="H178" s="407"/>
      <c r="I178" s="407"/>
      <c r="J178" s="9">
        <f>J$8</f>
        <v>2024</v>
      </c>
      <c r="K178" s="9">
        <f t="shared" ref="K178:V178" si="75">K$8</f>
        <v>2025</v>
      </c>
      <c r="L178" s="9">
        <f t="shared" si="75"/>
        <v>2026</v>
      </c>
      <c r="M178" s="9">
        <f t="shared" si="75"/>
        <v>2027</v>
      </c>
      <c r="N178" s="9">
        <f t="shared" si="75"/>
        <v>2028</v>
      </c>
      <c r="O178" s="9">
        <f t="shared" si="75"/>
        <v>2029</v>
      </c>
      <c r="P178" s="9">
        <f t="shared" si="75"/>
        <v>2030</v>
      </c>
      <c r="Q178" s="9">
        <f t="shared" si="75"/>
        <v>2031</v>
      </c>
      <c r="R178" s="9">
        <f t="shared" si="75"/>
        <v>2032</v>
      </c>
      <c r="S178" s="9">
        <f t="shared" si="75"/>
        <v>2033</v>
      </c>
      <c r="T178" s="9">
        <f t="shared" si="75"/>
        <v>2034</v>
      </c>
      <c r="U178" s="9">
        <f t="shared" si="75"/>
        <v>2035</v>
      </c>
      <c r="V178" s="9">
        <f t="shared" si="75"/>
        <v>2036</v>
      </c>
    </row>
    <row r="179" spans="1:22">
      <c r="B179" s="55" t="s">
        <v>1021</v>
      </c>
      <c r="C179" s="51"/>
      <c r="D179" s="51"/>
      <c r="E179" s="51"/>
      <c r="F179" s="51"/>
      <c r="G179" s="51"/>
      <c r="H179" s="51"/>
      <c r="I179" s="51"/>
      <c r="J179" s="56">
        <f>IFERROR(J164/J162,0)</f>
        <v>0</v>
      </c>
      <c r="K179" s="56">
        <f t="shared" ref="K179:V179" si="76">IFERROR(K164/K162,0)</f>
        <v>0.92294843966168716</v>
      </c>
      <c r="L179" s="56">
        <f t="shared" si="76"/>
        <v>0.92185808379004908</v>
      </c>
      <c r="M179" s="56">
        <f t="shared" si="76"/>
        <v>0.92069944857414987</v>
      </c>
      <c r="N179" s="56">
        <f t="shared" si="76"/>
        <v>0.91947152161428636</v>
      </c>
      <c r="O179" s="56">
        <f t="shared" si="76"/>
        <v>0.91817322996457129</v>
      </c>
      <c r="P179" s="56">
        <f t="shared" si="76"/>
        <v>0.91680343919540774</v>
      </c>
      <c r="Q179" s="56">
        <f t="shared" si="76"/>
        <v>0.91536095240224014</v>
      </c>
      <c r="R179" s="56">
        <f t="shared" si="76"/>
        <v>0.91384450915971538</v>
      </c>
      <c r="S179" s="56">
        <f t="shared" si="76"/>
        <v>0.91225278442033975</v>
      </c>
      <c r="T179" s="56">
        <f t="shared" si="76"/>
        <v>0.91058438735667124</v>
      </c>
      <c r="U179" s="56">
        <f t="shared" si="76"/>
        <v>0.90883786014603296</v>
      </c>
      <c r="V179" s="56">
        <f t="shared" si="76"/>
        <v>0.90701167669668736</v>
      </c>
    </row>
    <row r="180" spans="1:22">
      <c r="B180" s="55" t="s">
        <v>1022</v>
      </c>
      <c r="C180" s="51"/>
      <c r="D180" s="51"/>
      <c r="E180" s="51"/>
      <c r="F180" s="51"/>
      <c r="G180" s="51"/>
      <c r="H180" s="51"/>
      <c r="I180" s="51"/>
      <c r="J180" s="56">
        <f>IFERROR(J167/J162,0)</f>
        <v>0</v>
      </c>
      <c r="K180" s="52">
        <f t="shared" ref="K180:T180" si="77">IFERROR(K170/K164,0)</f>
        <v>0.74477860932585227</v>
      </c>
      <c r="L180" s="52">
        <f t="shared" si="77"/>
        <v>0.75191916350711907</v>
      </c>
      <c r="M180" s="52">
        <f t="shared" si="77"/>
        <v>0.75884171970809799</v>
      </c>
      <c r="N180" s="52">
        <f t="shared" si="77"/>
        <v>0.7655530679357081</v>
      </c>
      <c r="O180" s="52">
        <f t="shared" si="77"/>
        <v>0.77205976827808209</v>
      </c>
      <c r="P180" s="52">
        <f t="shared" si="77"/>
        <v>0.77836815930386705</v>
      </c>
      <c r="Q180" s="52">
        <f t="shared" si="77"/>
        <v>0.78448436609573768</v>
      </c>
      <c r="R180" s="52">
        <f t="shared" si="77"/>
        <v>0.79041430793566114</v>
      </c>
      <c r="S180" s="52">
        <f t="shared" si="77"/>
        <v>0.79616370565838401</v>
      </c>
      <c r="T180" s="52">
        <f t="shared" si="77"/>
        <v>0.80173808868862173</v>
      </c>
      <c r="U180" s="52">
        <f>IFERROR(U170/U164,0)</f>
        <v>0.80714280177648623</v>
      </c>
      <c r="V180" s="52">
        <f>IFERROR(V170/V164,0)</f>
        <v>0.81238301144480507</v>
      </c>
    </row>
    <row r="181" spans="1:22">
      <c r="B181" s="55" t="s">
        <v>990</v>
      </c>
      <c r="C181" s="51"/>
      <c r="D181" s="51"/>
      <c r="E181" s="51"/>
      <c r="F181" s="51"/>
      <c r="G181" s="51"/>
      <c r="H181" s="51"/>
      <c r="I181" s="51"/>
      <c r="J181" s="52">
        <f>IFERROR(J176/J162,0)</f>
        <v>0</v>
      </c>
      <c r="K181" s="52">
        <f t="shared" ref="K181:V181" si="78">IFERROR(K176/K162,0)</f>
        <v>0.53616595918914334</v>
      </c>
      <c r="L181" s="52">
        <f t="shared" si="78"/>
        <v>0.54066695220383765</v>
      </c>
      <c r="M181" s="52">
        <f t="shared" si="78"/>
        <v>0.54495881925443823</v>
      </c>
      <c r="N181" s="52">
        <f t="shared" si="78"/>
        <v>0.54904531051603789</v>
      </c>
      <c r="O181" s="52">
        <f t="shared" si="78"/>
        <v>0.55292999670915643</v>
      </c>
      <c r="P181" s="52">
        <f t="shared" si="78"/>
        <v>0.55661627221978771</v>
      </c>
      <c r="Q181" s="52">
        <f t="shared" si="78"/>
        <v>0.56010735806536838</v>
      </c>
      <c r="R181" s="52">
        <f t="shared" si="78"/>
        <v>0.56340630470925857</v>
      </c>
      <c r="S181" s="52">
        <f t="shared" si="78"/>
        <v>0.56651599472619585</v>
      </c>
      <c r="T181" s="52">
        <f t="shared" si="78"/>
        <v>0.569439145321049</v>
      </c>
      <c r="U181" s="52">
        <f t="shared" si="78"/>
        <v>0.5721783107030759</v>
      </c>
      <c r="V181" s="52">
        <f t="shared" si="78"/>
        <v>0.57473588431775635</v>
      </c>
    </row>
    <row r="183" spans="1:22" ht="24" thickBot="1">
      <c r="A183" s="260"/>
      <c r="B183" s="14" t="s">
        <v>1030</v>
      </c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</row>
    <row r="184" spans="1:22">
      <c r="A184" s="260"/>
      <c r="B184" s="2" t="s">
        <v>29</v>
      </c>
      <c r="F184" s="6">
        <f>Output_FSL!F35</f>
        <v>1</v>
      </c>
    </row>
    <row r="185" spans="1:22">
      <c r="A185" s="260"/>
      <c r="B185" s="407" t="s">
        <v>623</v>
      </c>
      <c r="I185" s="48">
        <f>SUM(J185:V185)</f>
        <v>1681.1824294139951</v>
      </c>
      <c r="J185" s="276"/>
      <c r="K185" s="43"/>
      <c r="L185" s="458">
        <f>SUM(Calculation_FSL!L1417,Calculation_FSL!L1427,Calculation_FSL!L1437)*$F$184</f>
        <v>127.49380734818932</v>
      </c>
      <c r="M185" s="23">
        <f>SUM(Calculation_FSL!M1417,Calculation_FSL!M1427,Calculation_FSL!M1437)*$F$184</f>
        <v>134.53647443892012</v>
      </c>
      <c r="N185" s="23">
        <f>SUM(Calculation_FSL!N1417,Calculation_FSL!N1427,Calculation_FSL!N1437)*$F$184</f>
        <v>139.28049630355048</v>
      </c>
      <c r="O185" s="23">
        <f>SUM(Calculation_FSL!O1417,Calculation_FSL!O1427,Calculation_FSL!O1437)*$F$184</f>
        <v>144.14270492759258</v>
      </c>
      <c r="P185" s="23">
        <f>SUM(Calculation_FSL!P1417,Calculation_FSL!P1427,Calculation_FSL!P1437)*$F$184</f>
        <v>149.12664591382881</v>
      </c>
      <c r="Q185" s="23">
        <f>SUM(Calculation_FSL!Q1417,Calculation_FSL!Q1427,Calculation_FSL!Q1437)*$F$184</f>
        <v>154.23597123312499</v>
      </c>
      <c r="R185" s="23">
        <f>SUM(Calculation_FSL!R1417,Calculation_FSL!R1427,Calculation_FSL!R1437)*$F$184</f>
        <v>159.47444241547288</v>
      </c>
      <c r="S185" s="23">
        <f>SUM(Calculation_FSL!S1417,Calculation_FSL!S1427,Calculation_FSL!S1437)*$F$184</f>
        <v>164.84593383676412</v>
      </c>
      <c r="T185" s="23">
        <f>SUM(Calculation_FSL!T1417,Calculation_FSL!T1427,Calculation_FSL!T1437)*$F$184</f>
        <v>170.35443610416695</v>
      </c>
      <c r="U185" s="23">
        <f>SUM(Calculation_FSL!U1417,Calculation_FSL!U1427,Calculation_FSL!U1437)*$F$184</f>
        <v>166.35050093220934</v>
      </c>
      <c r="V185" s="23">
        <f>SUM(Calculation_FSL!V1417,Calculation_FSL!V1427,Calculation_FSL!V1437)*$F$184</f>
        <v>171.34101596017564</v>
      </c>
    </row>
    <row r="186" spans="1:22">
      <c r="A186" s="260"/>
      <c r="B186" s="407" t="s">
        <v>473</v>
      </c>
      <c r="H186" s="21">
        <f>L186/L185</f>
        <v>0</v>
      </c>
      <c r="I186" s="48">
        <f>SUM(J186:V186)</f>
        <v>0</v>
      </c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</row>
    <row r="187" spans="1:22">
      <c r="A187" s="260"/>
      <c r="B187" s="28" t="s">
        <v>1017</v>
      </c>
      <c r="C187" s="28"/>
      <c r="D187" s="28"/>
      <c r="E187" s="28"/>
      <c r="F187" s="28"/>
      <c r="G187" s="28"/>
      <c r="H187" s="28"/>
      <c r="I187" s="49">
        <f>SUM(J187:V187)</f>
        <v>1681.1824294139951</v>
      </c>
      <c r="J187" s="47">
        <f t="shared" ref="J187:V187" si="79">SUM(J185:J186)</f>
        <v>0</v>
      </c>
      <c r="K187" s="47">
        <f t="shared" si="79"/>
        <v>0</v>
      </c>
      <c r="L187" s="47">
        <f t="shared" si="79"/>
        <v>127.49380734818932</v>
      </c>
      <c r="M187" s="47">
        <f t="shared" si="79"/>
        <v>134.53647443892012</v>
      </c>
      <c r="N187" s="47">
        <f t="shared" si="79"/>
        <v>139.28049630355048</v>
      </c>
      <c r="O187" s="47">
        <f t="shared" si="79"/>
        <v>144.14270492759258</v>
      </c>
      <c r="P187" s="47">
        <f t="shared" si="79"/>
        <v>149.12664591382881</v>
      </c>
      <c r="Q187" s="47">
        <f t="shared" si="79"/>
        <v>154.23597123312499</v>
      </c>
      <c r="R187" s="47">
        <f t="shared" si="79"/>
        <v>159.47444241547288</v>
      </c>
      <c r="S187" s="47">
        <f t="shared" si="79"/>
        <v>164.84593383676412</v>
      </c>
      <c r="T187" s="47">
        <f t="shared" si="79"/>
        <v>170.35443610416695</v>
      </c>
      <c r="U187" s="47">
        <f t="shared" si="79"/>
        <v>166.35050093220934</v>
      </c>
      <c r="V187" s="47">
        <f t="shared" si="79"/>
        <v>171.34101596017564</v>
      </c>
    </row>
    <row r="188" spans="1:22">
      <c r="A188" s="260"/>
      <c r="L188" s="1"/>
    </row>
    <row r="189" spans="1:22">
      <c r="A189" s="260"/>
      <c r="B189" t="s">
        <v>852</v>
      </c>
      <c r="I189" s="48">
        <f>SUM(J189:V189)</f>
        <v>-913.50003291610074</v>
      </c>
      <c r="J189" s="43"/>
      <c r="K189" s="43"/>
      <c r="L189">
        <f>-Calculation_FSL!L1445*$F$184</f>
        <v>-69.175634298300935</v>
      </c>
      <c r="M189">
        <f>-Calculation_FSL!M1445*$F$184</f>
        <v>-73.085079463312482</v>
      </c>
      <c r="N189">
        <f>-Calculation_FSL!N1445*$F$184</f>
        <v>-75.681150597145631</v>
      </c>
      <c r="O189">
        <f>-Calculation_FSL!O1445*$F$184</f>
        <v>-78.341347543973285</v>
      </c>
      <c r="P189">
        <f>-Calculation_FSL!P1445*$F$184</f>
        <v>-81.067594078185266</v>
      </c>
      <c r="Q189">
        <f>-Calculation_FSL!Q1445*$F$184</f>
        <v>-83.861871687403195</v>
      </c>
      <c r="R189">
        <f>-Calculation_FSL!R1445*$F$184</f>
        <v>-86.726221303877168</v>
      </c>
      <c r="S189">
        <f>-Calculation_FSL!S1445*$F$184</f>
        <v>-89.662745087824902</v>
      </c>
      <c r="T189">
        <f>-Calculation_FSL!T1445*$F$184</f>
        <v>-92.673608264270584</v>
      </c>
      <c r="U189">
        <f>-Calculation_FSL!U1445*$F$184</f>
        <v>-90.258512606801631</v>
      </c>
      <c r="V189">
        <f>-Calculation_FSL!V1445*$F$184</f>
        <v>-92.966267985005658</v>
      </c>
    </row>
    <row r="190" spans="1:22">
      <c r="A190" s="260"/>
      <c r="B190" s="28" t="s">
        <v>139</v>
      </c>
      <c r="C190" s="28"/>
      <c r="D190" s="28"/>
      <c r="E190" s="28"/>
      <c r="F190" s="28"/>
      <c r="G190" s="28"/>
      <c r="H190" s="28"/>
      <c r="I190" s="49">
        <f>SUM(J190:V190)</f>
        <v>767.68239649789427</v>
      </c>
      <c r="J190" s="47">
        <f t="shared" ref="J190:V190" si="80">SUM(J187,J189)</f>
        <v>0</v>
      </c>
      <c r="K190" s="47">
        <f t="shared" si="80"/>
        <v>0</v>
      </c>
      <c r="L190" s="47">
        <f t="shared" si="80"/>
        <v>58.318173049888387</v>
      </c>
      <c r="M190" s="47">
        <f t="shared" si="80"/>
        <v>61.451394975607641</v>
      </c>
      <c r="N190" s="47">
        <f t="shared" si="80"/>
        <v>63.599345706404847</v>
      </c>
      <c r="O190" s="47">
        <f t="shared" si="80"/>
        <v>65.80135738361929</v>
      </c>
      <c r="P190" s="47">
        <f t="shared" si="80"/>
        <v>68.059051835643544</v>
      </c>
      <c r="Q190" s="47">
        <f t="shared" si="80"/>
        <v>70.374099545721791</v>
      </c>
      <c r="R190" s="47">
        <f t="shared" si="80"/>
        <v>72.748221111595711</v>
      </c>
      <c r="S190" s="47">
        <f t="shared" si="80"/>
        <v>75.183188748939216</v>
      </c>
      <c r="T190" s="47">
        <f t="shared" si="80"/>
        <v>77.680827839896367</v>
      </c>
      <c r="U190" s="47">
        <f t="shared" si="80"/>
        <v>76.091988325407712</v>
      </c>
      <c r="V190" s="47">
        <f t="shared" si="80"/>
        <v>78.374747975169981</v>
      </c>
    </row>
    <row r="191" spans="1:22">
      <c r="A191" s="260"/>
    </row>
    <row r="192" spans="1:22">
      <c r="A192" s="260"/>
      <c r="B192" t="s">
        <v>1018</v>
      </c>
      <c r="I192" s="49">
        <f>SUM(J192:V192)</f>
        <v>0</v>
      </c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</row>
    <row r="193" spans="1:22">
      <c r="A193" s="260"/>
      <c r="B193" s="28" t="s">
        <v>434</v>
      </c>
      <c r="C193" s="28"/>
      <c r="D193" s="28"/>
      <c r="E193" s="28"/>
      <c r="F193" s="28"/>
      <c r="G193" s="28"/>
      <c r="H193" s="28"/>
      <c r="I193" s="49">
        <f>SUM(J193:V193)</f>
        <v>767.68239649789427</v>
      </c>
      <c r="J193" s="47">
        <f t="shared" ref="J193:V193" si="81">SUM(J190,J192)</f>
        <v>0</v>
      </c>
      <c r="K193" s="47">
        <f t="shared" si="81"/>
        <v>0</v>
      </c>
      <c r="L193" s="47">
        <f t="shared" si="81"/>
        <v>58.318173049888387</v>
      </c>
      <c r="M193" s="47">
        <f t="shared" si="81"/>
        <v>61.451394975607641</v>
      </c>
      <c r="N193" s="47">
        <f t="shared" si="81"/>
        <v>63.599345706404847</v>
      </c>
      <c r="O193" s="47">
        <f t="shared" si="81"/>
        <v>65.80135738361929</v>
      </c>
      <c r="P193" s="47">
        <f t="shared" si="81"/>
        <v>68.059051835643544</v>
      </c>
      <c r="Q193" s="47">
        <f t="shared" si="81"/>
        <v>70.374099545721791</v>
      </c>
      <c r="R193" s="47">
        <f t="shared" si="81"/>
        <v>72.748221111595711</v>
      </c>
      <c r="S193" s="47">
        <f t="shared" si="81"/>
        <v>75.183188748939216</v>
      </c>
      <c r="T193" s="47">
        <f t="shared" si="81"/>
        <v>77.680827839896367</v>
      </c>
      <c r="U193" s="47">
        <f t="shared" si="81"/>
        <v>76.091988325407712</v>
      </c>
      <c r="V193" s="47">
        <f t="shared" si="81"/>
        <v>78.374747975169981</v>
      </c>
    </row>
    <row r="194" spans="1:22">
      <c r="A194" s="260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</row>
    <row r="195" spans="1:22">
      <c r="A195" s="260"/>
      <c r="B195" t="s">
        <v>881</v>
      </c>
      <c r="I195" s="48">
        <f>SUM(J195:V195)</f>
        <v>0</v>
      </c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</row>
    <row r="196" spans="1:22">
      <c r="A196" s="260"/>
      <c r="B196" s="28" t="s">
        <v>1019</v>
      </c>
      <c r="C196" s="28"/>
      <c r="D196" s="28"/>
      <c r="E196" s="28"/>
      <c r="F196" s="28"/>
      <c r="G196" s="28"/>
      <c r="H196" s="28"/>
      <c r="I196" s="48">
        <f>SUM(J196:V196)</f>
        <v>767.68239649789427</v>
      </c>
      <c r="J196" s="47">
        <f t="shared" ref="J196:V196" si="82">SUM(J193,J195)</f>
        <v>0</v>
      </c>
      <c r="K196" s="47">
        <f t="shared" si="82"/>
        <v>0</v>
      </c>
      <c r="L196" s="47">
        <f t="shared" si="82"/>
        <v>58.318173049888387</v>
      </c>
      <c r="M196" s="47">
        <f t="shared" si="82"/>
        <v>61.451394975607641</v>
      </c>
      <c r="N196" s="47">
        <f t="shared" si="82"/>
        <v>63.599345706404847</v>
      </c>
      <c r="O196" s="47">
        <f t="shared" si="82"/>
        <v>65.80135738361929</v>
      </c>
      <c r="P196" s="47">
        <f t="shared" si="82"/>
        <v>68.059051835643544</v>
      </c>
      <c r="Q196" s="47">
        <f t="shared" si="82"/>
        <v>70.374099545721791</v>
      </c>
      <c r="R196" s="47">
        <f t="shared" si="82"/>
        <v>72.748221111595711</v>
      </c>
      <c r="S196" s="47">
        <f t="shared" si="82"/>
        <v>75.183188748939216</v>
      </c>
      <c r="T196" s="47">
        <f t="shared" si="82"/>
        <v>77.680827839896367</v>
      </c>
      <c r="U196" s="47">
        <f t="shared" si="82"/>
        <v>76.091988325407712</v>
      </c>
      <c r="V196" s="47">
        <f t="shared" si="82"/>
        <v>78.374747975169981</v>
      </c>
    </row>
    <row r="197" spans="1:22">
      <c r="A197" s="260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</row>
    <row r="198" spans="1:22">
      <c r="A198" s="260"/>
      <c r="B198" t="s">
        <v>759</v>
      </c>
      <c r="I198" s="48">
        <f>SUM(J198:V198)</f>
        <v>-168.8901272295368</v>
      </c>
      <c r="J198" s="23">
        <f>-IF(J196&lt;0,0,J196*22%)</f>
        <v>0</v>
      </c>
      <c r="K198" s="23">
        <f t="shared" ref="K198:V198" si="83">-IF(K196&lt;0,0,K196*22%)</f>
        <v>0</v>
      </c>
      <c r="L198" s="23">
        <f t="shared" si="83"/>
        <v>-12.829998070975446</v>
      </c>
      <c r="M198" s="23">
        <f t="shared" si="83"/>
        <v>-13.519306894633681</v>
      </c>
      <c r="N198" s="23">
        <f t="shared" si="83"/>
        <v>-13.991856055409066</v>
      </c>
      <c r="O198" s="23">
        <f t="shared" si="83"/>
        <v>-14.476298624396245</v>
      </c>
      <c r="P198" s="23">
        <f t="shared" si="83"/>
        <v>-14.972991403841579</v>
      </c>
      <c r="Q198" s="23">
        <f t="shared" si="83"/>
        <v>-15.482301900058793</v>
      </c>
      <c r="R198" s="23">
        <f t="shared" si="83"/>
        <v>-16.004608644551055</v>
      </c>
      <c r="S198" s="23">
        <f t="shared" si="83"/>
        <v>-16.540301524766626</v>
      </c>
      <c r="T198" s="23">
        <f t="shared" si="83"/>
        <v>-17.089782124777201</v>
      </c>
      <c r="U198" s="23">
        <f t="shared" si="83"/>
        <v>-16.740237431589698</v>
      </c>
      <c r="V198" s="23">
        <f t="shared" si="83"/>
        <v>-17.242444554537396</v>
      </c>
    </row>
    <row r="199" spans="1:22">
      <c r="A199" s="260"/>
      <c r="B199" s="28" t="s">
        <v>1020</v>
      </c>
      <c r="C199" s="28"/>
      <c r="D199" s="28"/>
      <c r="E199" s="28"/>
      <c r="F199" s="28"/>
      <c r="G199" s="28"/>
      <c r="H199" s="28"/>
      <c r="I199" s="48">
        <f>SUM(J199:V199)</f>
        <v>598.79226926835781</v>
      </c>
      <c r="J199" s="47">
        <f t="shared" ref="J199:V199" si="84">SUM(J196,J198)</f>
        <v>0</v>
      </c>
      <c r="K199" s="47">
        <f t="shared" si="84"/>
        <v>0</v>
      </c>
      <c r="L199" s="47">
        <f t="shared" si="84"/>
        <v>45.488174978912937</v>
      </c>
      <c r="M199" s="47">
        <f t="shared" si="84"/>
        <v>47.932088080973962</v>
      </c>
      <c r="N199" s="47">
        <f t="shared" si="84"/>
        <v>49.607489650995781</v>
      </c>
      <c r="O199" s="47">
        <f t="shared" si="84"/>
        <v>51.325058759223047</v>
      </c>
      <c r="P199" s="47">
        <f t="shared" si="84"/>
        <v>53.086060431801968</v>
      </c>
      <c r="Q199" s="47">
        <f t="shared" si="84"/>
        <v>54.891797645662997</v>
      </c>
      <c r="R199" s="47">
        <f t="shared" si="84"/>
        <v>56.743612467044656</v>
      </c>
      <c r="S199" s="47">
        <f t="shared" si="84"/>
        <v>58.64288722417259</v>
      </c>
      <c r="T199" s="47">
        <f t="shared" si="84"/>
        <v>60.591045715119165</v>
      </c>
      <c r="U199" s="47">
        <f t="shared" si="84"/>
        <v>59.351750893818014</v>
      </c>
      <c r="V199" s="47">
        <f t="shared" si="84"/>
        <v>61.132303420632581</v>
      </c>
    </row>
    <row r="200" spans="1:22">
      <c r="A200" s="260"/>
    </row>
    <row r="201" spans="1:22">
      <c r="A201" s="260"/>
      <c r="B201" s="407" t="s">
        <v>32</v>
      </c>
      <c r="C201" s="407"/>
      <c r="D201" s="407"/>
      <c r="E201" s="407"/>
      <c r="F201" s="407"/>
      <c r="G201" s="407"/>
      <c r="H201" s="407"/>
      <c r="I201" s="407"/>
      <c r="J201" s="9">
        <f>J$8</f>
        <v>2024</v>
      </c>
      <c r="K201" s="9">
        <f t="shared" ref="K201:V201" si="85">K$8</f>
        <v>2025</v>
      </c>
      <c r="L201" s="9">
        <f t="shared" si="85"/>
        <v>2026</v>
      </c>
      <c r="M201" s="9">
        <f t="shared" si="85"/>
        <v>2027</v>
      </c>
      <c r="N201" s="9">
        <f t="shared" si="85"/>
        <v>2028</v>
      </c>
      <c r="O201" s="9">
        <f t="shared" si="85"/>
        <v>2029</v>
      </c>
      <c r="P201" s="9">
        <f t="shared" si="85"/>
        <v>2030</v>
      </c>
      <c r="Q201" s="9">
        <f t="shared" si="85"/>
        <v>2031</v>
      </c>
      <c r="R201" s="9">
        <f t="shared" si="85"/>
        <v>2032</v>
      </c>
      <c r="S201" s="9">
        <f t="shared" si="85"/>
        <v>2033</v>
      </c>
      <c r="T201" s="9">
        <f t="shared" si="85"/>
        <v>2034</v>
      </c>
      <c r="U201" s="9">
        <f t="shared" si="85"/>
        <v>2035</v>
      </c>
      <c r="V201" s="9">
        <f t="shared" si="85"/>
        <v>2036</v>
      </c>
    </row>
    <row r="202" spans="1:22">
      <c r="A202" s="260"/>
      <c r="B202" s="55" t="s">
        <v>1021</v>
      </c>
      <c r="C202" s="51"/>
      <c r="D202" s="51"/>
      <c r="E202" s="51"/>
      <c r="F202" s="51"/>
      <c r="G202" s="51"/>
      <c r="H202" s="51"/>
      <c r="I202" s="51"/>
      <c r="J202" s="56">
        <f>IFERROR(J187/J185,0)</f>
        <v>0</v>
      </c>
      <c r="K202" s="56">
        <f t="shared" ref="K202:V202" si="86">IFERROR(K187/K185,0)</f>
        <v>0</v>
      </c>
      <c r="L202" s="56">
        <f t="shared" si="86"/>
        <v>1</v>
      </c>
      <c r="M202" s="56">
        <f t="shared" si="86"/>
        <v>1</v>
      </c>
      <c r="N202" s="56">
        <f t="shared" si="86"/>
        <v>1</v>
      </c>
      <c r="O202" s="56">
        <f t="shared" si="86"/>
        <v>1</v>
      </c>
      <c r="P202" s="56">
        <f t="shared" si="86"/>
        <v>1</v>
      </c>
      <c r="Q202" s="56">
        <f t="shared" si="86"/>
        <v>1</v>
      </c>
      <c r="R202" s="56">
        <f t="shared" si="86"/>
        <v>1</v>
      </c>
      <c r="S202" s="56">
        <f t="shared" si="86"/>
        <v>1</v>
      </c>
      <c r="T202" s="56">
        <f t="shared" si="86"/>
        <v>1</v>
      </c>
      <c r="U202" s="56">
        <f t="shared" si="86"/>
        <v>1</v>
      </c>
      <c r="V202" s="56">
        <f t="shared" si="86"/>
        <v>1</v>
      </c>
    </row>
    <row r="203" spans="1:22">
      <c r="A203" s="260"/>
      <c r="B203" s="55" t="s">
        <v>1022</v>
      </c>
      <c r="C203" s="51"/>
      <c r="D203" s="51"/>
      <c r="E203" s="51"/>
      <c r="F203" s="51"/>
      <c r="G203" s="51"/>
      <c r="H203" s="51"/>
      <c r="I203" s="51"/>
      <c r="J203" s="56">
        <f>IFERROR(J190/J185,0)</f>
        <v>0</v>
      </c>
      <c r="K203" s="52">
        <f t="shared" ref="K203:T203" si="87">IFERROR(K193/K187,0)</f>
        <v>0</v>
      </c>
      <c r="L203" s="52">
        <f t="shared" si="87"/>
        <v>0.45741965247472566</v>
      </c>
      <c r="M203" s="52">
        <f t="shared" si="87"/>
        <v>0.45676382729582171</v>
      </c>
      <c r="N203" s="52">
        <f t="shared" si="87"/>
        <v>0.45662779351241872</v>
      </c>
      <c r="O203" s="52">
        <f t="shared" si="87"/>
        <v>0.45650147481742753</v>
      </c>
      <c r="P203" s="52">
        <f t="shared" si="87"/>
        <v>0.45638424587763288</v>
      </c>
      <c r="Q203" s="52">
        <f t="shared" si="87"/>
        <v>0.45627553017027761</v>
      </c>
      <c r="R203" s="52">
        <f t="shared" si="87"/>
        <v>0.45617479521933335</v>
      </c>
      <c r="S203" s="52">
        <f t="shared" si="87"/>
        <v>0.45608154838315934</v>
      </c>
      <c r="T203" s="52">
        <f t="shared" si="87"/>
        <v>0.45599533312062812</v>
      </c>
      <c r="U203" s="52">
        <f>IFERROR(U193/U187,0)</f>
        <v>0.4574196524747256</v>
      </c>
      <c r="V203" s="52">
        <f>IFERROR(V193/V187,0)</f>
        <v>0.45741965247472577</v>
      </c>
    </row>
    <row r="204" spans="1:22">
      <c r="A204" s="260"/>
      <c r="B204" s="55" t="s">
        <v>990</v>
      </c>
      <c r="C204" s="51"/>
      <c r="D204" s="51"/>
      <c r="E204" s="51"/>
      <c r="F204" s="51"/>
      <c r="G204" s="51"/>
      <c r="H204" s="51"/>
      <c r="I204" s="51"/>
      <c r="J204" s="52">
        <f>IFERROR(J199/J185,0)</f>
        <v>0</v>
      </c>
      <c r="K204" s="52">
        <f t="shared" ref="K204:V204" si="88">IFERROR(K199/K185,0)</f>
        <v>0</v>
      </c>
      <c r="L204" s="52">
        <f t="shared" si="88"/>
        <v>0.35678732893028597</v>
      </c>
      <c r="M204" s="52">
        <f t="shared" si="88"/>
        <v>0.35627578529074094</v>
      </c>
      <c r="N204" s="52">
        <f t="shared" si="88"/>
        <v>0.3561696789396866</v>
      </c>
      <c r="O204" s="52">
        <f t="shared" si="88"/>
        <v>0.35607115035759351</v>
      </c>
      <c r="P204" s="52">
        <f t="shared" si="88"/>
        <v>0.35597971178455368</v>
      </c>
      <c r="Q204" s="52">
        <f t="shared" si="88"/>
        <v>0.35589491353281655</v>
      </c>
      <c r="R204" s="52">
        <f t="shared" si="88"/>
        <v>0.35581634027108006</v>
      </c>
      <c r="S204" s="52">
        <f t="shared" si="88"/>
        <v>0.35574360773886426</v>
      </c>
      <c r="T204" s="52">
        <f t="shared" si="88"/>
        <v>0.35567635983408991</v>
      </c>
      <c r="U204" s="52">
        <f t="shared" si="88"/>
        <v>0.35678732893028597</v>
      </c>
      <c r="V204" s="52">
        <f t="shared" si="88"/>
        <v>0.35678732893028609</v>
      </c>
    </row>
    <row r="206" spans="1:22" ht="24" thickBot="1">
      <c r="A206" s="260"/>
      <c r="B206" s="14" t="s">
        <v>1031</v>
      </c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</row>
    <row r="207" spans="1:22">
      <c r="A207" s="260"/>
      <c r="B207" s="2" t="s">
        <v>29</v>
      </c>
      <c r="F207" s="6">
        <f>Output_FSL!$F$34</f>
        <v>1</v>
      </c>
    </row>
    <row r="208" spans="1:22">
      <c r="A208" s="260"/>
      <c r="B208" s="407" t="s">
        <v>623</v>
      </c>
      <c r="I208" s="48">
        <f>SUM(J208:V208)</f>
        <v>607.85823748573432</v>
      </c>
      <c r="J208" s="23">
        <f>Calculation_FSL!J453*$F$207</f>
        <v>0</v>
      </c>
      <c r="K208" s="23">
        <f>Calculation_FSL!K453*$F$207</f>
        <v>0</v>
      </c>
      <c r="L208" s="23">
        <f>Calculation_FSL!L453*$F$207</f>
        <v>0</v>
      </c>
      <c r="M208" s="23">
        <f>Calculation_FSL!M453*$F$207</f>
        <v>53.023781999999997</v>
      </c>
      <c r="N208" s="23">
        <f>Calculation_FSL!N453*$F$207</f>
        <v>54.614495459999993</v>
      </c>
      <c r="O208" s="23">
        <f>Calculation_FSL!O453*$F$207</f>
        <v>56.252930323800008</v>
      </c>
      <c r="P208" s="23">
        <f>Calculation_FSL!P453*$F$207</f>
        <v>57.940518233513998</v>
      </c>
      <c r="Q208" s="23">
        <f>Calculation_FSL!Q453*$F$207</f>
        <v>59.67873378051943</v>
      </c>
      <c r="R208" s="23">
        <f>Calculation_FSL!R453*$F$207</f>
        <v>61.469095793935011</v>
      </c>
      <c r="S208" s="23">
        <f>Calculation_FSL!S453*$F$207</f>
        <v>63.313168667753068</v>
      </c>
      <c r="T208" s="23">
        <f>Calculation_FSL!T453*$F$207</f>
        <v>65.21256372778565</v>
      </c>
      <c r="U208" s="23">
        <f>Calculation_FSL!U453*$F$207</f>
        <v>67.168940639619237</v>
      </c>
      <c r="V208" s="23">
        <f>Calculation_FSL!V453*$F$207</f>
        <v>69.1840088588078</v>
      </c>
    </row>
    <row r="209" spans="1:22">
      <c r="A209" s="260"/>
      <c r="B209" s="407" t="s">
        <v>473</v>
      </c>
      <c r="H209" s="21" t="e">
        <f>L209/L208</f>
        <v>#DIV/0!</v>
      </c>
      <c r="I209" s="48">
        <f>SUM(J209:V209)</f>
        <v>-60.785823748573421</v>
      </c>
      <c r="J209" s="23">
        <f>-Calculation_FSL!J457*$F$207</f>
        <v>0</v>
      </c>
      <c r="K209" s="23">
        <f>-Calculation_FSL!K457*$F$207</f>
        <v>0</v>
      </c>
      <c r="L209" s="23">
        <f>-Calculation_FSL!L457*$F$207</f>
        <v>0</v>
      </c>
      <c r="M209" s="23">
        <f>-Calculation_FSL!M457*$F$207</f>
        <v>-5.3023781999999997</v>
      </c>
      <c r="N209" s="23">
        <f>-Calculation_FSL!N457*$F$207</f>
        <v>-5.4614495459999999</v>
      </c>
      <c r="O209" s="23">
        <f>-Calculation_FSL!O457*$F$207</f>
        <v>-5.625293032380001</v>
      </c>
      <c r="P209" s="23">
        <f>-Calculation_FSL!P457*$F$207</f>
        <v>-5.7940518233514</v>
      </c>
      <c r="Q209" s="23">
        <f>-Calculation_FSL!Q457*$F$207</f>
        <v>-5.9678733780519435</v>
      </c>
      <c r="R209" s="23">
        <f>-Calculation_FSL!R457*$F$207</f>
        <v>-6.1469095793935011</v>
      </c>
      <c r="S209" s="23">
        <f>-Calculation_FSL!S457*$F$207</f>
        <v>-6.3313168667753068</v>
      </c>
      <c r="T209" s="23">
        <f>-Calculation_FSL!T457*$F$207</f>
        <v>-6.5212563727785655</v>
      </c>
      <c r="U209" s="23">
        <f>-Calculation_FSL!U457*$F$207</f>
        <v>-6.7168940639619237</v>
      </c>
      <c r="V209" s="23">
        <f>-Calculation_FSL!V457*$F$207</f>
        <v>-6.9184008858807804</v>
      </c>
    </row>
    <row r="210" spans="1:22">
      <c r="A210" s="260"/>
      <c r="B210" s="28" t="s">
        <v>1017</v>
      </c>
      <c r="C210" s="28"/>
      <c r="D210" s="28"/>
      <c r="E210" s="28"/>
      <c r="F210" s="28"/>
      <c r="G210" s="28"/>
      <c r="H210" s="28"/>
      <c r="I210" s="49">
        <f>SUM(J210:V210)</f>
        <v>547.07241373716079</v>
      </c>
      <c r="J210" s="47">
        <f t="shared" ref="J210:V210" si="89">SUM(J208:J209)</f>
        <v>0</v>
      </c>
      <c r="K210" s="47">
        <f t="shared" si="89"/>
        <v>0</v>
      </c>
      <c r="L210" s="47">
        <f t="shared" si="89"/>
        <v>0</v>
      </c>
      <c r="M210" s="47">
        <f t="shared" si="89"/>
        <v>47.721403799999997</v>
      </c>
      <c r="N210" s="47">
        <f t="shared" si="89"/>
        <v>49.153045913999996</v>
      </c>
      <c r="O210" s="47">
        <f t="shared" si="89"/>
        <v>50.627637291420008</v>
      </c>
      <c r="P210" s="47">
        <f t="shared" si="89"/>
        <v>52.146466410162596</v>
      </c>
      <c r="Q210" s="47">
        <f t="shared" si="89"/>
        <v>53.710860402467489</v>
      </c>
      <c r="R210" s="47">
        <f t="shared" si="89"/>
        <v>55.32218621454151</v>
      </c>
      <c r="S210" s="47">
        <f t="shared" si="89"/>
        <v>56.981851800977765</v>
      </c>
      <c r="T210" s="47">
        <f t="shared" si="89"/>
        <v>58.691307355007083</v>
      </c>
      <c r="U210" s="47">
        <f t="shared" si="89"/>
        <v>60.452046575657313</v>
      </c>
      <c r="V210" s="47">
        <f t="shared" si="89"/>
        <v>62.265607972927022</v>
      </c>
    </row>
    <row r="211" spans="1:22">
      <c r="A211" s="260"/>
      <c r="L211" s="1"/>
    </row>
    <row r="212" spans="1:22">
      <c r="A212" s="260"/>
      <c r="B212" t="s">
        <v>852</v>
      </c>
      <c r="I212" s="48">
        <f>SUM(J212:V212)</f>
        <v>-303.92911874286716</v>
      </c>
      <c r="J212">
        <f>-Calculation_FSL!J458*$F$207</f>
        <v>0</v>
      </c>
      <c r="K212">
        <f>-Calculation_FSL!K458*$F$207</f>
        <v>0</v>
      </c>
      <c r="L212">
        <f>-Calculation_FSL!L458*$F$207</f>
        <v>0</v>
      </c>
      <c r="M212">
        <f>-Calculation_FSL!M458*$F$207</f>
        <v>-26.511890999999999</v>
      </c>
      <c r="N212">
        <f>-Calculation_FSL!N458*$F$207</f>
        <v>-27.307247729999997</v>
      </c>
      <c r="O212">
        <f>-Calculation_FSL!O458*$F$207</f>
        <v>-28.126465161900004</v>
      </c>
      <c r="P212">
        <f>-Calculation_FSL!P458*$F$207</f>
        <v>-28.970259116756999</v>
      </c>
      <c r="Q212">
        <f>-Calculation_FSL!Q458*$F$207</f>
        <v>-29.839366890259715</v>
      </c>
      <c r="R212">
        <f>-Calculation_FSL!R458*$F$207</f>
        <v>-30.734547896967506</v>
      </c>
      <c r="S212">
        <f>-Calculation_FSL!S458*$F$207</f>
        <v>-31.656584333876534</v>
      </c>
      <c r="T212">
        <f>-Calculation_FSL!T458*$F$207</f>
        <v>-32.606281863892825</v>
      </c>
      <c r="U212">
        <f>-Calculation_FSL!U458*$F$207</f>
        <v>-33.584470319809618</v>
      </c>
      <c r="V212">
        <f>-Calculation_FSL!V458*$F$207</f>
        <v>-34.5920044294039</v>
      </c>
    </row>
    <row r="213" spans="1:22">
      <c r="A213" s="260"/>
      <c r="B213" s="28" t="s">
        <v>139</v>
      </c>
      <c r="C213" s="28"/>
      <c r="D213" s="28"/>
      <c r="E213" s="28"/>
      <c r="F213" s="28"/>
      <c r="G213" s="28"/>
      <c r="H213" s="28"/>
      <c r="I213" s="49">
        <f>SUM(J213:V213)</f>
        <v>243.14329499429368</v>
      </c>
      <c r="J213" s="47">
        <f t="shared" ref="J213:V213" si="90">SUM(J210,J212)</f>
        <v>0</v>
      </c>
      <c r="K213" s="47">
        <f t="shared" si="90"/>
        <v>0</v>
      </c>
      <c r="L213" s="47">
        <f t="shared" si="90"/>
        <v>0</v>
      </c>
      <c r="M213" s="47">
        <f t="shared" si="90"/>
        <v>21.209512799999999</v>
      </c>
      <c r="N213" s="47">
        <f t="shared" si="90"/>
        <v>21.845798184</v>
      </c>
      <c r="O213" s="47">
        <f t="shared" si="90"/>
        <v>22.501172129520004</v>
      </c>
      <c r="P213" s="47">
        <f t="shared" si="90"/>
        <v>23.176207293405596</v>
      </c>
      <c r="Q213" s="47">
        <f t="shared" si="90"/>
        <v>23.871493512207774</v>
      </c>
      <c r="R213" s="47">
        <f t="shared" si="90"/>
        <v>24.587638317574005</v>
      </c>
      <c r="S213" s="47">
        <f t="shared" si="90"/>
        <v>25.325267467101231</v>
      </c>
      <c r="T213" s="47">
        <f t="shared" si="90"/>
        <v>26.085025491114259</v>
      </c>
      <c r="U213" s="47">
        <f t="shared" si="90"/>
        <v>26.867576255847695</v>
      </c>
      <c r="V213" s="47">
        <f t="shared" si="90"/>
        <v>27.673603543523122</v>
      </c>
    </row>
    <row r="214" spans="1:22">
      <c r="A214" s="260"/>
    </row>
    <row r="215" spans="1:22">
      <c r="A215" s="260"/>
      <c r="B215" t="s">
        <v>1018</v>
      </c>
      <c r="I215" s="49">
        <f>SUM(J215:V215)</f>
        <v>0</v>
      </c>
      <c r="J215" s="23">
        <f>-Calculation_FSL!J463</f>
        <v>0</v>
      </c>
      <c r="K215" s="23">
        <f>-Calculation_FSL!K463</f>
        <v>0</v>
      </c>
      <c r="L215" s="23">
        <f>-Calculation_FSL!L463</f>
        <v>0</v>
      </c>
      <c r="M215" s="23">
        <f>-Calculation_FSL!M463</f>
        <v>0</v>
      </c>
      <c r="N215" s="23">
        <f>-Calculation_FSL!N463</f>
        <v>0</v>
      </c>
      <c r="O215" s="23">
        <f>-Calculation_FSL!O463</f>
        <v>0</v>
      </c>
      <c r="P215" s="23">
        <f>-Calculation_FSL!P463</f>
        <v>0</v>
      </c>
      <c r="Q215" s="23">
        <f>-Calculation_FSL!Q463</f>
        <v>0</v>
      </c>
      <c r="R215" s="23">
        <f>-Calculation_FSL!R463</f>
        <v>0</v>
      </c>
      <c r="S215" s="23">
        <f>-Calculation_FSL!S463</f>
        <v>0</v>
      </c>
      <c r="T215" s="23">
        <f>-Calculation_FSL!T463</f>
        <v>0</v>
      </c>
      <c r="U215" s="23">
        <f>-Calculation_FSL!U463</f>
        <v>0</v>
      </c>
      <c r="V215" s="23">
        <f>-Calculation_FSL!V463</f>
        <v>0</v>
      </c>
    </row>
    <row r="216" spans="1:22">
      <c r="A216" s="260"/>
      <c r="B216" s="28" t="s">
        <v>434</v>
      </c>
      <c r="C216" s="28"/>
      <c r="D216" s="28"/>
      <c r="E216" s="28"/>
      <c r="F216" s="28"/>
      <c r="G216" s="28"/>
      <c r="H216" s="28"/>
      <c r="I216" s="49">
        <f>SUM(J216:V216)</f>
        <v>243.14329499429368</v>
      </c>
      <c r="J216" s="47">
        <f t="shared" ref="J216:V216" si="91">SUM(J213,J215)</f>
        <v>0</v>
      </c>
      <c r="K216" s="47">
        <f t="shared" si="91"/>
        <v>0</v>
      </c>
      <c r="L216" s="47">
        <f t="shared" si="91"/>
        <v>0</v>
      </c>
      <c r="M216" s="47">
        <f t="shared" si="91"/>
        <v>21.209512799999999</v>
      </c>
      <c r="N216" s="47">
        <f t="shared" si="91"/>
        <v>21.845798184</v>
      </c>
      <c r="O216" s="47">
        <f t="shared" si="91"/>
        <v>22.501172129520004</v>
      </c>
      <c r="P216" s="47">
        <f t="shared" si="91"/>
        <v>23.176207293405596</v>
      </c>
      <c r="Q216" s="47">
        <f t="shared" si="91"/>
        <v>23.871493512207774</v>
      </c>
      <c r="R216" s="47">
        <f t="shared" si="91"/>
        <v>24.587638317574005</v>
      </c>
      <c r="S216" s="47">
        <f t="shared" si="91"/>
        <v>25.325267467101231</v>
      </c>
      <c r="T216" s="47">
        <f t="shared" si="91"/>
        <v>26.085025491114259</v>
      </c>
      <c r="U216" s="47">
        <f t="shared" si="91"/>
        <v>26.867576255847695</v>
      </c>
      <c r="V216" s="47">
        <f t="shared" si="91"/>
        <v>27.673603543523122</v>
      </c>
    </row>
    <row r="217" spans="1:22">
      <c r="A217" s="260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</row>
    <row r="218" spans="1:22">
      <c r="A218" s="260"/>
      <c r="B218" t="s">
        <v>881</v>
      </c>
      <c r="I218" s="48">
        <f>SUM(J218:V218)</f>
        <v>0</v>
      </c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</row>
    <row r="219" spans="1:22">
      <c r="A219" s="260"/>
      <c r="B219" s="28" t="s">
        <v>1019</v>
      </c>
      <c r="C219" s="28"/>
      <c r="D219" s="28"/>
      <c r="E219" s="28"/>
      <c r="F219" s="28"/>
      <c r="G219" s="28"/>
      <c r="H219" s="28"/>
      <c r="I219" s="48">
        <f>SUM(J219:V219)</f>
        <v>243.14329499429368</v>
      </c>
      <c r="J219" s="47">
        <f t="shared" ref="J219:V219" si="92">SUM(J216,J218)</f>
        <v>0</v>
      </c>
      <c r="K219" s="47">
        <f t="shared" si="92"/>
        <v>0</v>
      </c>
      <c r="L219" s="47">
        <f t="shared" si="92"/>
        <v>0</v>
      </c>
      <c r="M219" s="47">
        <f t="shared" si="92"/>
        <v>21.209512799999999</v>
      </c>
      <c r="N219" s="47">
        <f t="shared" si="92"/>
        <v>21.845798184</v>
      </c>
      <c r="O219" s="47">
        <f t="shared" si="92"/>
        <v>22.501172129520004</v>
      </c>
      <c r="P219" s="47">
        <f t="shared" si="92"/>
        <v>23.176207293405596</v>
      </c>
      <c r="Q219" s="47">
        <f t="shared" si="92"/>
        <v>23.871493512207774</v>
      </c>
      <c r="R219" s="47">
        <f t="shared" si="92"/>
        <v>24.587638317574005</v>
      </c>
      <c r="S219" s="47">
        <f t="shared" si="92"/>
        <v>25.325267467101231</v>
      </c>
      <c r="T219" s="47">
        <f t="shared" si="92"/>
        <v>26.085025491114259</v>
      </c>
      <c r="U219" s="47">
        <f t="shared" si="92"/>
        <v>26.867576255847695</v>
      </c>
      <c r="V219" s="47">
        <f t="shared" si="92"/>
        <v>27.673603543523122</v>
      </c>
    </row>
    <row r="220" spans="1:22">
      <c r="A220" s="260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</row>
    <row r="221" spans="1:22">
      <c r="A221" s="260"/>
      <c r="B221" t="s">
        <v>759</v>
      </c>
      <c r="I221" s="48">
        <f>SUM(J221:V221)</f>
        <v>-53.491524898744608</v>
      </c>
      <c r="J221" s="23">
        <f>-IF(J219&lt;0,0,J219*22%)</f>
        <v>0</v>
      </c>
      <c r="K221" s="23">
        <f t="shared" ref="K221:V221" si="93">-IF(K219&lt;0,0,K219*22%)</f>
        <v>0</v>
      </c>
      <c r="L221" s="23">
        <f t="shared" si="93"/>
        <v>0</v>
      </c>
      <c r="M221" s="23">
        <f t="shared" si="93"/>
        <v>-4.6660928159999999</v>
      </c>
      <c r="N221" s="23">
        <f t="shared" si="93"/>
        <v>-4.8060756004799998</v>
      </c>
      <c r="O221" s="23">
        <f t="shared" si="93"/>
        <v>-4.9502578684944005</v>
      </c>
      <c r="P221" s="23">
        <f t="shared" si="93"/>
        <v>-5.0987656045492313</v>
      </c>
      <c r="Q221" s="23">
        <f t="shared" si="93"/>
        <v>-5.2517285726857104</v>
      </c>
      <c r="R221" s="23">
        <f t="shared" si="93"/>
        <v>-5.4092804298662811</v>
      </c>
      <c r="S221" s="23">
        <f t="shared" si="93"/>
        <v>-5.5715588427622711</v>
      </c>
      <c r="T221" s="23">
        <f t="shared" si="93"/>
        <v>-5.7387056080451373</v>
      </c>
      <c r="U221" s="23">
        <f t="shared" si="93"/>
        <v>-5.9108667762864933</v>
      </c>
      <c r="V221" s="23">
        <f t="shared" si="93"/>
        <v>-6.0881927795750865</v>
      </c>
    </row>
    <row r="222" spans="1:22">
      <c r="A222" s="260"/>
      <c r="B222" s="28" t="s">
        <v>1020</v>
      </c>
      <c r="C222" s="28"/>
      <c r="D222" s="28"/>
      <c r="E222" s="28"/>
      <c r="F222" s="28"/>
      <c r="G222" s="28"/>
      <c r="H222" s="28"/>
      <c r="I222" s="48">
        <f>SUM(J222:V222)</f>
        <v>189.65177009554907</v>
      </c>
      <c r="J222" s="47">
        <f t="shared" ref="J222:V222" si="94">SUM(J219,J221)</f>
        <v>0</v>
      </c>
      <c r="K222" s="47">
        <f t="shared" si="94"/>
        <v>0</v>
      </c>
      <c r="L222" s="47">
        <f t="shared" si="94"/>
        <v>0</v>
      </c>
      <c r="M222" s="47">
        <f t="shared" si="94"/>
        <v>16.543419984</v>
      </c>
      <c r="N222" s="47">
        <f t="shared" si="94"/>
        <v>17.03972258352</v>
      </c>
      <c r="O222" s="47">
        <f t="shared" si="94"/>
        <v>17.550914261025603</v>
      </c>
      <c r="P222" s="47">
        <f t="shared" si="94"/>
        <v>18.077441688856364</v>
      </c>
      <c r="Q222" s="47">
        <f t="shared" si="94"/>
        <v>18.619764939522064</v>
      </c>
      <c r="R222" s="47">
        <f t="shared" si="94"/>
        <v>19.178357887707723</v>
      </c>
      <c r="S222" s="47">
        <f t="shared" si="94"/>
        <v>19.753708624338959</v>
      </c>
      <c r="T222" s="47">
        <f t="shared" si="94"/>
        <v>20.346319883069121</v>
      </c>
      <c r="U222" s="47">
        <f t="shared" si="94"/>
        <v>20.956709479561201</v>
      </c>
      <c r="V222" s="47">
        <f t="shared" si="94"/>
        <v>21.585410763948033</v>
      </c>
    </row>
    <row r="223" spans="1:22">
      <c r="A223" s="260"/>
    </row>
    <row r="224" spans="1:22">
      <c r="A224" s="260"/>
      <c r="B224" s="407" t="s">
        <v>32</v>
      </c>
      <c r="C224" s="407"/>
      <c r="D224" s="407"/>
      <c r="E224" s="407"/>
      <c r="F224" s="407"/>
      <c r="G224" s="407"/>
      <c r="H224" s="407"/>
      <c r="I224" s="407"/>
      <c r="J224" s="9">
        <f>J$8</f>
        <v>2024</v>
      </c>
      <c r="K224" s="9">
        <f t="shared" ref="K224:V224" si="95">K$8</f>
        <v>2025</v>
      </c>
      <c r="L224" s="9">
        <f t="shared" si="95"/>
        <v>2026</v>
      </c>
      <c r="M224" s="9">
        <f t="shared" si="95"/>
        <v>2027</v>
      </c>
      <c r="N224" s="9">
        <f t="shared" si="95"/>
        <v>2028</v>
      </c>
      <c r="O224" s="9">
        <f t="shared" si="95"/>
        <v>2029</v>
      </c>
      <c r="P224" s="9">
        <f t="shared" si="95"/>
        <v>2030</v>
      </c>
      <c r="Q224" s="9">
        <f t="shared" si="95"/>
        <v>2031</v>
      </c>
      <c r="R224" s="9">
        <f t="shared" si="95"/>
        <v>2032</v>
      </c>
      <c r="S224" s="9">
        <f t="shared" si="95"/>
        <v>2033</v>
      </c>
      <c r="T224" s="9">
        <f t="shared" si="95"/>
        <v>2034</v>
      </c>
      <c r="U224" s="9">
        <f t="shared" si="95"/>
        <v>2035</v>
      </c>
      <c r="V224" s="9">
        <f t="shared" si="95"/>
        <v>2036</v>
      </c>
    </row>
    <row r="225" spans="1:22">
      <c r="A225" s="260"/>
      <c r="B225" s="55" t="s">
        <v>1021</v>
      </c>
      <c r="C225" s="51"/>
      <c r="D225" s="51"/>
      <c r="E225" s="51"/>
      <c r="F225" s="51"/>
      <c r="G225" s="51"/>
      <c r="H225" s="51"/>
      <c r="I225" s="51"/>
      <c r="J225" s="56">
        <f>IFERROR(J210/J208,0)</f>
        <v>0</v>
      </c>
      <c r="K225" s="56">
        <f t="shared" ref="K225:V225" si="96">IFERROR(K210/K208,0)</f>
        <v>0</v>
      </c>
      <c r="L225" s="56">
        <f t="shared" si="96"/>
        <v>0</v>
      </c>
      <c r="M225" s="56">
        <f t="shared" si="96"/>
        <v>0.9</v>
      </c>
      <c r="N225" s="56">
        <f t="shared" si="96"/>
        <v>0.9</v>
      </c>
      <c r="O225" s="56">
        <f t="shared" si="96"/>
        <v>0.9</v>
      </c>
      <c r="P225" s="56">
        <f t="shared" si="96"/>
        <v>0.89999999999999991</v>
      </c>
      <c r="Q225" s="56">
        <f t="shared" si="96"/>
        <v>0.9</v>
      </c>
      <c r="R225" s="56">
        <f t="shared" si="96"/>
        <v>0.9</v>
      </c>
      <c r="S225" s="56">
        <f t="shared" si="96"/>
        <v>0.9</v>
      </c>
      <c r="T225" s="56">
        <f t="shared" si="96"/>
        <v>0.9</v>
      </c>
      <c r="U225" s="56">
        <f t="shared" si="96"/>
        <v>0.9</v>
      </c>
      <c r="V225" s="56">
        <f t="shared" si="96"/>
        <v>0.9</v>
      </c>
    </row>
    <row r="226" spans="1:22">
      <c r="A226" s="260"/>
      <c r="B226" s="55" t="s">
        <v>1022</v>
      </c>
      <c r="C226" s="51"/>
      <c r="D226" s="51"/>
      <c r="E226" s="51"/>
      <c r="F226" s="51"/>
      <c r="G226" s="51"/>
      <c r="H226" s="51"/>
      <c r="I226" s="51"/>
      <c r="J226" s="56">
        <f>IFERROR(J213/J208,0)</f>
        <v>0</v>
      </c>
      <c r="K226" s="52">
        <f t="shared" ref="K226:T226" si="97">IFERROR(K216/K210,0)</f>
        <v>0</v>
      </c>
      <c r="L226" s="52">
        <f t="shared" si="97"/>
        <v>0</v>
      </c>
      <c r="M226" s="52">
        <f t="shared" si="97"/>
        <v>0.44444444444444442</v>
      </c>
      <c r="N226" s="52">
        <f t="shared" si="97"/>
        <v>0.44444444444444448</v>
      </c>
      <c r="O226" s="52">
        <f t="shared" si="97"/>
        <v>0.44444444444444448</v>
      </c>
      <c r="P226" s="52">
        <f t="shared" si="97"/>
        <v>0.44444444444444442</v>
      </c>
      <c r="Q226" s="52">
        <f t="shared" si="97"/>
        <v>0.44444444444444448</v>
      </c>
      <c r="R226" s="52">
        <f t="shared" si="97"/>
        <v>0.44444444444444442</v>
      </c>
      <c r="S226" s="52">
        <f t="shared" si="97"/>
        <v>0.44444444444444448</v>
      </c>
      <c r="T226" s="52">
        <f t="shared" si="97"/>
        <v>0.44444444444444442</v>
      </c>
      <c r="U226" s="52">
        <f>IFERROR(U216/U210,0)</f>
        <v>0.44444444444444442</v>
      </c>
      <c r="V226" s="52">
        <f>IFERROR(V216/V210,0)</f>
        <v>0.44444444444444448</v>
      </c>
    </row>
    <row r="227" spans="1:22">
      <c r="A227" s="260"/>
      <c r="B227" s="55" t="s">
        <v>990</v>
      </c>
      <c r="C227" s="51"/>
      <c r="D227" s="51"/>
      <c r="E227" s="51"/>
      <c r="F227" s="51"/>
      <c r="G227" s="51"/>
      <c r="H227" s="51"/>
      <c r="I227" s="51"/>
      <c r="J227" s="52">
        <f>IFERROR(J222/J208,0)</f>
        <v>0</v>
      </c>
      <c r="K227" s="52">
        <f t="shared" ref="K227:V227" si="98">IFERROR(K222/K208,0)</f>
        <v>0</v>
      </c>
      <c r="L227" s="52">
        <f t="shared" si="98"/>
        <v>0</v>
      </c>
      <c r="M227" s="52">
        <f t="shared" si="98"/>
        <v>0.312</v>
      </c>
      <c r="N227" s="52">
        <f t="shared" si="98"/>
        <v>0.31200000000000006</v>
      </c>
      <c r="O227" s="52">
        <f t="shared" si="98"/>
        <v>0.312</v>
      </c>
      <c r="P227" s="52">
        <f t="shared" si="98"/>
        <v>0.31199999999999994</v>
      </c>
      <c r="Q227" s="52">
        <f t="shared" si="98"/>
        <v>0.312</v>
      </c>
      <c r="R227" s="52">
        <f t="shared" si="98"/>
        <v>0.312</v>
      </c>
      <c r="S227" s="52">
        <f t="shared" si="98"/>
        <v>0.312</v>
      </c>
      <c r="T227" s="52">
        <f t="shared" si="98"/>
        <v>0.312</v>
      </c>
      <c r="U227" s="52">
        <f t="shared" si="98"/>
        <v>0.312</v>
      </c>
      <c r="V227" s="52">
        <f t="shared" si="98"/>
        <v>0.312</v>
      </c>
    </row>
    <row r="229" spans="1:22" ht="24" thickBot="1">
      <c r="A229" s="260"/>
      <c r="B229" s="14" t="s">
        <v>1032</v>
      </c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</row>
    <row r="230" spans="1:22">
      <c r="A230" s="260"/>
      <c r="B230" s="2" t="s">
        <v>29</v>
      </c>
      <c r="F230" s="6">
        <f>Output_FSL!$F$36</f>
        <v>1</v>
      </c>
    </row>
    <row r="231" spans="1:22">
      <c r="A231" s="260"/>
      <c r="B231" s="407" t="s">
        <v>623</v>
      </c>
      <c r="I231" s="48">
        <f>SUM(J231:V231)</f>
        <v>17.888399560294463</v>
      </c>
      <c r="J231" s="23">
        <f>Calculation_FSL!J488*$F$230</f>
        <v>0</v>
      </c>
      <c r="K231" s="23">
        <f>Calculation_FSL!K488*$F$230</f>
        <v>0</v>
      </c>
      <c r="L231" s="23">
        <f>Calculation_FSL!L488*$F$230</f>
        <v>0</v>
      </c>
      <c r="M231" s="23">
        <f>Calculation_FSL!M488*$F$230</f>
        <v>1.560414156</v>
      </c>
      <c r="N231" s="23">
        <f>Calculation_FSL!N488*$F$230</f>
        <v>1.6072265806800001</v>
      </c>
      <c r="O231" s="23">
        <f>Calculation_FSL!O488*$F$230</f>
        <v>1.6554433781003999</v>
      </c>
      <c r="P231" s="23">
        <f>Calculation_FSL!P488*$F$230</f>
        <v>1.7051066794434122</v>
      </c>
      <c r="Q231" s="23">
        <f>Calculation_FSL!Q488*$F$230</f>
        <v>1.7562598798267148</v>
      </c>
      <c r="R231" s="23">
        <f>Calculation_FSL!R488*$F$230</f>
        <v>1.8089476762215162</v>
      </c>
      <c r="S231" s="23">
        <f>Calculation_FSL!S488*$F$230</f>
        <v>1.8632161065081616</v>
      </c>
      <c r="T231" s="23">
        <f>Calculation_FSL!T488*$F$230</f>
        <v>1.9191125897034065</v>
      </c>
      <c r="U231" s="23">
        <f>Calculation_FSL!U488*$F$230</f>
        <v>1.9766859673945087</v>
      </c>
      <c r="V231" s="23">
        <f>Calculation_FSL!V488*$F$230</f>
        <v>2.035986546416344</v>
      </c>
    </row>
    <row r="232" spans="1:22">
      <c r="A232" s="260"/>
      <c r="B232" s="407" t="s">
        <v>473</v>
      </c>
      <c r="H232" s="21" t="e">
        <f>L232/L231</f>
        <v>#DIV/0!</v>
      </c>
      <c r="I232" s="48">
        <f>SUM(J232:V232)</f>
        <v>0</v>
      </c>
      <c r="J232" s="276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</row>
    <row r="233" spans="1:22">
      <c r="A233" s="260"/>
      <c r="B233" s="28" t="s">
        <v>1017</v>
      </c>
      <c r="C233" s="28"/>
      <c r="D233" s="28"/>
      <c r="E233" s="28"/>
      <c r="F233" s="28"/>
      <c r="G233" s="28"/>
      <c r="H233" s="28"/>
      <c r="I233" s="49">
        <f>SUM(J233:V233)</f>
        <v>17.888399560294463</v>
      </c>
      <c r="J233" s="47">
        <f t="shared" ref="J233:V233" si="99">SUM(J231:J232)</f>
        <v>0</v>
      </c>
      <c r="K233" s="47">
        <f t="shared" si="99"/>
        <v>0</v>
      </c>
      <c r="L233" s="47">
        <f t="shared" si="99"/>
        <v>0</v>
      </c>
      <c r="M233" s="47">
        <f t="shared" si="99"/>
        <v>1.560414156</v>
      </c>
      <c r="N233" s="47">
        <f t="shared" si="99"/>
        <v>1.6072265806800001</v>
      </c>
      <c r="O233" s="47">
        <f t="shared" si="99"/>
        <v>1.6554433781003999</v>
      </c>
      <c r="P233" s="47">
        <f t="shared" si="99"/>
        <v>1.7051066794434122</v>
      </c>
      <c r="Q233" s="47">
        <f t="shared" si="99"/>
        <v>1.7562598798267148</v>
      </c>
      <c r="R233" s="47">
        <f t="shared" si="99"/>
        <v>1.8089476762215162</v>
      </c>
      <c r="S233" s="47">
        <f t="shared" si="99"/>
        <v>1.8632161065081616</v>
      </c>
      <c r="T233" s="47">
        <f t="shared" si="99"/>
        <v>1.9191125897034065</v>
      </c>
      <c r="U233" s="47">
        <f t="shared" si="99"/>
        <v>1.9766859673945087</v>
      </c>
      <c r="V233" s="47">
        <f t="shared" si="99"/>
        <v>2.035986546416344</v>
      </c>
    </row>
    <row r="234" spans="1:22">
      <c r="A234" s="260"/>
      <c r="L234" s="1"/>
    </row>
    <row r="235" spans="1:22">
      <c r="A235" s="260"/>
      <c r="B235" t="s">
        <v>852</v>
      </c>
      <c r="I235" s="48">
        <f>SUM(J235:V235)</f>
        <v>-3.5776799120588931</v>
      </c>
      <c r="J235">
        <f>-Calculation_FSL!J493*$F$230</f>
        <v>0</v>
      </c>
      <c r="K235">
        <f>-Calculation_FSL!K493*$F$230</f>
        <v>0</v>
      </c>
      <c r="L235">
        <f>-Calculation_FSL!L493*$F$230</f>
        <v>0</v>
      </c>
      <c r="M235">
        <f>-Calculation_FSL!M493*$F$230</f>
        <v>-0.31208283120000002</v>
      </c>
      <c r="N235">
        <f>-Calculation_FSL!N493*$F$230</f>
        <v>-0.32144531613600003</v>
      </c>
      <c r="O235">
        <f>-Calculation_FSL!O493*$F$230</f>
        <v>-0.33108867562007999</v>
      </c>
      <c r="P235">
        <f>-Calculation_FSL!P493*$F$230</f>
        <v>-0.34102133588868244</v>
      </c>
      <c r="Q235">
        <f>-Calculation_FSL!Q493*$F$230</f>
        <v>-0.35125197596534297</v>
      </c>
      <c r="R235">
        <f>-Calculation_FSL!R493*$F$230</f>
        <v>-0.36178953524430324</v>
      </c>
      <c r="S235">
        <f>-Calculation_FSL!S493*$F$230</f>
        <v>-0.37264322130163235</v>
      </c>
      <c r="T235">
        <f>-Calculation_FSL!T493*$F$230</f>
        <v>-0.38382251794068134</v>
      </c>
      <c r="U235">
        <f>-Calculation_FSL!U493*$F$230</f>
        <v>-0.39533719347890178</v>
      </c>
      <c r="V235">
        <f>-Calculation_FSL!V493*$F$230</f>
        <v>-0.4071973092832688</v>
      </c>
    </row>
    <row r="236" spans="1:22">
      <c r="A236" s="260"/>
      <c r="B236" s="28" t="s">
        <v>139</v>
      </c>
      <c r="C236" s="28"/>
      <c r="D236" s="28"/>
      <c r="E236" s="28"/>
      <c r="F236" s="28"/>
      <c r="G236" s="28"/>
      <c r="H236" s="28"/>
      <c r="I236" s="49">
        <f>SUM(J236:V236)</f>
        <v>14.310719648235573</v>
      </c>
      <c r="J236" s="47">
        <f t="shared" ref="J236:V236" si="100">SUM(J233,J235)</f>
        <v>0</v>
      </c>
      <c r="K236" s="47">
        <f t="shared" si="100"/>
        <v>0</v>
      </c>
      <c r="L236" s="47">
        <f t="shared" si="100"/>
        <v>0</v>
      </c>
      <c r="M236" s="47">
        <f t="shared" si="100"/>
        <v>1.2483313248000001</v>
      </c>
      <c r="N236" s="47">
        <f t="shared" si="100"/>
        <v>1.2857812645440001</v>
      </c>
      <c r="O236" s="47">
        <f t="shared" si="100"/>
        <v>1.3243547024803199</v>
      </c>
      <c r="P236" s="47">
        <f t="shared" si="100"/>
        <v>1.3640853435547298</v>
      </c>
      <c r="Q236" s="47">
        <f t="shared" si="100"/>
        <v>1.4050079038613719</v>
      </c>
      <c r="R236" s="47">
        <f t="shared" si="100"/>
        <v>1.447158140977213</v>
      </c>
      <c r="S236" s="47">
        <f t="shared" si="100"/>
        <v>1.4905728852065292</v>
      </c>
      <c r="T236" s="47">
        <f t="shared" si="100"/>
        <v>1.5352900717627251</v>
      </c>
      <c r="U236" s="47">
        <f t="shared" si="100"/>
        <v>1.5813487739156069</v>
      </c>
      <c r="V236" s="47">
        <f t="shared" si="100"/>
        <v>1.6287892371330752</v>
      </c>
    </row>
    <row r="237" spans="1:22">
      <c r="A237" s="260"/>
    </row>
    <row r="238" spans="1:22">
      <c r="A238" s="260"/>
      <c r="B238" t="s">
        <v>1018</v>
      </c>
      <c r="I238" s="49">
        <f>SUM(J238:V238)</f>
        <v>-1.3012000000000001</v>
      </c>
      <c r="J238" s="23">
        <f>-Calculation_FSL!J498*$F$230</f>
        <v>0</v>
      </c>
      <c r="K238" s="23">
        <f>-Calculation_FSL!K498*$F$230</f>
        <v>0</v>
      </c>
      <c r="L238" s="23">
        <f>-Calculation_FSL!L498*$F$230</f>
        <v>0</v>
      </c>
      <c r="M238" s="23">
        <f>-Calculation_FSL!M498*$F$230</f>
        <v>-0.13012000000000001</v>
      </c>
      <c r="N238" s="23">
        <f>-Calculation_FSL!N498*$F$230</f>
        <v>-0.13012000000000001</v>
      </c>
      <c r="O238" s="23">
        <f>-Calculation_FSL!O498*$F$230</f>
        <v>-0.13012000000000001</v>
      </c>
      <c r="P238" s="23">
        <f>-Calculation_FSL!P498*$F$230</f>
        <v>-0.13012000000000001</v>
      </c>
      <c r="Q238" s="23">
        <f>-Calculation_FSL!Q498*$F$230</f>
        <v>-0.13012000000000001</v>
      </c>
      <c r="R238" s="23">
        <f>-Calculation_FSL!R498*$F$230</f>
        <v>-0.13012000000000001</v>
      </c>
      <c r="S238" s="23">
        <f>-Calculation_FSL!S498*$F$230</f>
        <v>-0.13012000000000001</v>
      </c>
      <c r="T238" s="23">
        <f>-Calculation_FSL!T498*$F$230</f>
        <v>-0.13012000000000001</v>
      </c>
      <c r="U238" s="23">
        <f>-Calculation_FSL!U498*$F$230</f>
        <v>-0.13012000000000001</v>
      </c>
      <c r="V238" s="23">
        <f>-Calculation_FSL!V498*$F$230</f>
        <v>-0.13012000000000001</v>
      </c>
    </row>
    <row r="239" spans="1:22">
      <c r="A239" s="260"/>
      <c r="B239" s="28" t="s">
        <v>434</v>
      </c>
      <c r="C239" s="28"/>
      <c r="D239" s="28"/>
      <c r="E239" s="28"/>
      <c r="F239" s="28"/>
      <c r="G239" s="28"/>
      <c r="H239" s="28"/>
      <c r="I239" s="49">
        <f>SUM(J239:V239)</f>
        <v>13.009519648235573</v>
      </c>
      <c r="J239" s="47">
        <f t="shared" ref="J239:V239" si="101">SUM(J236,J238)</f>
        <v>0</v>
      </c>
      <c r="K239" s="47">
        <f t="shared" si="101"/>
        <v>0</v>
      </c>
      <c r="L239" s="47">
        <f t="shared" si="101"/>
        <v>0</v>
      </c>
      <c r="M239" s="47">
        <f t="shared" si="101"/>
        <v>1.1182113248000001</v>
      </c>
      <c r="N239" s="47">
        <f t="shared" si="101"/>
        <v>1.1556612645440001</v>
      </c>
      <c r="O239" s="47">
        <f t="shared" si="101"/>
        <v>1.1942347024803199</v>
      </c>
      <c r="P239" s="47">
        <f t="shared" si="101"/>
        <v>1.2339653435547298</v>
      </c>
      <c r="Q239" s="47">
        <f t="shared" si="101"/>
        <v>1.2748879038613719</v>
      </c>
      <c r="R239" s="47">
        <f t="shared" si="101"/>
        <v>1.3170381409772129</v>
      </c>
      <c r="S239" s="47">
        <f t="shared" si="101"/>
        <v>1.3604528852065292</v>
      </c>
      <c r="T239" s="47">
        <f t="shared" si="101"/>
        <v>1.4051700717627251</v>
      </c>
      <c r="U239" s="47">
        <f t="shared" si="101"/>
        <v>1.4512287739156069</v>
      </c>
      <c r="V239" s="47">
        <f t="shared" si="101"/>
        <v>1.4986692371330752</v>
      </c>
    </row>
    <row r="240" spans="1:22">
      <c r="A240" s="260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</row>
    <row r="241" spans="1:22">
      <c r="A241" s="260"/>
      <c r="B241" t="s">
        <v>881</v>
      </c>
      <c r="I241" s="48">
        <f>SUM(J241:V241)</f>
        <v>0</v>
      </c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</row>
    <row r="242" spans="1:22">
      <c r="A242" s="260"/>
      <c r="B242" s="28" t="s">
        <v>1019</v>
      </c>
      <c r="C242" s="28"/>
      <c r="D242" s="28"/>
      <c r="E242" s="28"/>
      <c r="F242" s="28"/>
      <c r="G242" s="28"/>
      <c r="H242" s="28"/>
      <c r="I242" s="48">
        <f>SUM(J242:V242)</f>
        <v>13.009519648235573</v>
      </c>
      <c r="J242" s="47">
        <f t="shared" ref="J242:V242" si="102">SUM(J239,J241)</f>
        <v>0</v>
      </c>
      <c r="K242" s="47">
        <f t="shared" si="102"/>
        <v>0</v>
      </c>
      <c r="L242" s="47">
        <f t="shared" si="102"/>
        <v>0</v>
      </c>
      <c r="M242" s="47">
        <f t="shared" si="102"/>
        <v>1.1182113248000001</v>
      </c>
      <c r="N242" s="47">
        <f t="shared" si="102"/>
        <v>1.1556612645440001</v>
      </c>
      <c r="O242" s="47">
        <f t="shared" si="102"/>
        <v>1.1942347024803199</v>
      </c>
      <c r="P242" s="47">
        <f t="shared" si="102"/>
        <v>1.2339653435547298</v>
      </c>
      <c r="Q242" s="47">
        <f t="shared" si="102"/>
        <v>1.2748879038613719</v>
      </c>
      <c r="R242" s="47">
        <f t="shared" si="102"/>
        <v>1.3170381409772129</v>
      </c>
      <c r="S242" s="47">
        <f t="shared" si="102"/>
        <v>1.3604528852065292</v>
      </c>
      <c r="T242" s="47">
        <f t="shared" si="102"/>
        <v>1.4051700717627251</v>
      </c>
      <c r="U242" s="47">
        <f t="shared" si="102"/>
        <v>1.4512287739156069</v>
      </c>
      <c r="V242" s="47">
        <f t="shared" si="102"/>
        <v>1.4986692371330752</v>
      </c>
    </row>
    <row r="243" spans="1:22">
      <c r="A243" s="260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</row>
    <row r="244" spans="1:22">
      <c r="A244" s="260"/>
      <c r="B244" t="s">
        <v>759</v>
      </c>
      <c r="I244" s="48">
        <f>SUM(J244:V244)</f>
        <v>-2.8620943226118261</v>
      </c>
      <c r="J244" s="23">
        <f>-IF(J242&lt;0,0,J242*22%)</f>
        <v>0</v>
      </c>
      <c r="K244" s="23">
        <f t="shared" ref="K244:V244" si="103">-IF(K242&lt;0,0,K242*22%)</f>
        <v>0</v>
      </c>
      <c r="L244" s="23">
        <f t="shared" si="103"/>
        <v>0</v>
      </c>
      <c r="M244" s="23">
        <f t="shared" si="103"/>
        <v>-0.24600649145600001</v>
      </c>
      <c r="N244" s="23">
        <f t="shared" si="103"/>
        <v>-0.25424547819968002</v>
      </c>
      <c r="O244" s="23">
        <f t="shared" si="103"/>
        <v>-0.26273163454567039</v>
      </c>
      <c r="P244" s="23">
        <f t="shared" si="103"/>
        <v>-0.27147237558204057</v>
      </c>
      <c r="Q244" s="23">
        <f t="shared" si="103"/>
        <v>-0.28047533884950182</v>
      </c>
      <c r="R244" s="23">
        <f t="shared" si="103"/>
        <v>-0.28974839101498684</v>
      </c>
      <c r="S244" s="23">
        <f t="shared" si="103"/>
        <v>-0.29929963474543642</v>
      </c>
      <c r="T244" s="23">
        <f t="shared" si="103"/>
        <v>-0.30913741578779952</v>
      </c>
      <c r="U244" s="23">
        <f t="shared" si="103"/>
        <v>-0.31927033026143353</v>
      </c>
      <c r="V244" s="23">
        <f t="shared" si="103"/>
        <v>-0.32970723216927655</v>
      </c>
    </row>
    <row r="245" spans="1:22">
      <c r="A245" s="260"/>
      <c r="B245" s="28" t="s">
        <v>1020</v>
      </c>
      <c r="C245" s="28"/>
      <c r="D245" s="28"/>
      <c r="E245" s="28"/>
      <c r="F245" s="28"/>
      <c r="G245" s="28"/>
      <c r="H245" s="28"/>
      <c r="I245" s="48">
        <f>SUM(J245:V245)</f>
        <v>10.147425325623747</v>
      </c>
      <c r="J245" s="47">
        <f t="shared" ref="J245:V245" si="104">SUM(J242,J244)</f>
        <v>0</v>
      </c>
      <c r="K245" s="47">
        <f t="shared" si="104"/>
        <v>0</v>
      </c>
      <c r="L245" s="47">
        <f t="shared" si="104"/>
        <v>0</v>
      </c>
      <c r="M245" s="47">
        <f t="shared" si="104"/>
        <v>0.87220483334400001</v>
      </c>
      <c r="N245" s="47">
        <f t="shared" si="104"/>
        <v>0.90141578634432007</v>
      </c>
      <c r="O245" s="47">
        <f t="shared" si="104"/>
        <v>0.93150306793464954</v>
      </c>
      <c r="P245" s="47">
        <f t="shared" si="104"/>
        <v>0.96249296797268924</v>
      </c>
      <c r="Q245" s="47">
        <f t="shared" si="104"/>
        <v>0.99441256501187003</v>
      </c>
      <c r="R245" s="47">
        <f t="shared" si="104"/>
        <v>1.0272897499622262</v>
      </c>
      <c r="S245" s="47">
        <f t="shared" si="104"/>
        <v>1.0611532504610928</v>
      </c>
      <c r="T245" s="47">
        <f t="shared" si="104"/>
        <v>1.0960326559749256</v>
      </c>
      <c r="U245" s="47">
        <f t="shared" si="104"/>
        <v>1.1319584436541734</v>
      </c>
      <c r="V245" s="47">
        <f t="shared" si="104"/>
        <v>1.1689620049637988</v>
      </c>
    </row>
    <row r="246" spans="1:22">
      <c r="A246" s="260"/>
    </row>
    <row r="247" spans="1:22">
      <c r="A247" s="260"/>
      <c r="B247" s="407" t="s">
        <v>32</v>
      </c>
      <c r="C247" s="407"/>
      <c r="D247" s="407"/>
      <c r="E247" s="407"/>
      <c r="F247" s="407"/>
      <c r="G247" s="407"/>
      <c r="H247" s="407"/>
      <c r="I247" s="407"/>
      <c r="J247" s="9">
        <f>J$8</f>
        <v>2024</v>
      </c>
      <c r="K247" s="9">
        <f t="shared" ref="K247:V247" si="105">K$8</f>
        <v>2025</v>
      </c>
      <c r="L247" s="9">
        <f t="shared" si="105"/>
        <v>2026</v>
      </c>
      <c r="M247" s="9">
        <f t="shared" si="105"/>
        <v>2027</v>
      </c>
      <c r="N247" s="9">
        <f t="shared" si="105"/>
        <v>2028</v>
      </c>
      <c r="O247" s="9">
        <f t="shared" si="105"/>
        <v>2029</v>
      </c>
      <c r="P247" s="9">
        <f t="shared" si="105"/>
        <v>2030</v>
      </c>
      <c r="Q247" s="9">
        <f t="shared" si="105"/>
        <v>2031</v>
      </c>
      <c r="R247" s="9">
        <f t="shared" si="105"/>
        <v>2032</v>
      </c>
      <c r="S247" s="9">
        <f t="shared" si="105"/>
        <v>2033</v>
      </c>
      <c r="T247" s="9">
        <f t="shared" si="105"/>
        <v>2034</v>
      </c>
      <c r="U247" s="9">
        <f t="shared" si="105"/>
        <v>2035</v>
      </c>
      <c r="V247" s="9">
        <f t="shared" si="105"/>
        <v>2036</v>
      </c>
    </row>
    <row r="248" spans="1:22">
      <c r="A248" s="260"/>
      <c r="B248" s="55" t="s">
        <v>1021</v>
      </c>
      <c r="C248" s="51"/>
      <c r="D248" s="51"/>
      <c r="E248" s="51"/>
      <c r="F248" s="51"/>
      <c r="G248" s="51"/>
      <c r="H248" s="51"/>
      <c r="I248" s="51"/>
      <c r="J248" s="56">
        <f>IFERROR(J233/J231,0)</f>
        <v>0</v>
      </c>
      <c r="K248" s="56">
        <f t="shared" ref="K248:V248" si="106">IFERROR(K233/K231,0)</f>
        <v>0</v>
      </c>
      <c r="L248" s="56">
        <f t="shared" si="106"/>
        <v>0</v>
      </c>
      <c r="M248" s="56">
        <f t="shared" si="106"/>
        <v>1</v>
      </c>
      <c r="N248" s="56">
        <f t="shared" si="106"/>
        <v>1</v>
      </c>
      <c r="O248" s="56">
        <f t="shared" si="106"/>
        <v>1</v>
      </c>
      <c r="P248" s="56">
        <f t="shared" si="106"/>
        <v>1</v>
      </c>
      <c r="Q248" s="56">
        <f t="shared" si="106"/>
        <v>1</v>
      </c>
      <c r="R248" s="56">
        <f t="shared" si="106"/>
        <v>1</v>
      </c>
      <c r="S248" s="56">
        <f t="shared" si="106"/>
        <v>1</v>
      </c>
      <c r="T248" s="56">
        <f t="shared" si="106"/>
        <v>1</v>
      </c>
      <c r="U248" s="56">
        <f t="shared" si="106"/>
        <v>1</v>
      </c>
      <c r="V248" s="56">
        <f t="shared" si="106"/>
        <v>1</v>
      </c>
    </row>
    <row r="249" spans="1:22">
      <c r="A249" s="260"/>
      <c r="B249" s="55" t="s">
        <v>1022</v>
      </c>
      <c r="C249" s="51"/>
      <c r="D249" s="51"/>
      <c r="E249" s="51"/>
      <c r="F249" s="51"/>
      <c r="G249" s="51"/>
      <c r="H249" s="51"/>
      <c r="I249" s="51"/>
      <c r="J249" s="56">
        <f>IFERROR(J236/J231,0)</f>
        <v>0</v>
      </c>
      <c r="K249" s="52">
        <f t="shared" ref="K249:T249" si="107">IFERROR(K239/K233,0)</f>
        <v>0</v>
      </c>
      <c r="L249" s="52">
        <f t="shared" si="107"/>
        <v>0</v>
      </c>
      <c r="M249" s="52">
        <f t="shared" si="107"/>
        <v>0.7166118818522178</v>
      </c>
      <c r="N249" s="52">
        <f t="shared" si="107"/>
        <v>0.71904066199244432</v>
      </c>
      <c r="O249" s="52">
        <f t="shared" si="107"/>
        <v>0.7213987009635382</v>
      </c>
      <c r="P249" s="52">
        <f t="shared" si="107"/>
        <v>0.72368805918790113</v>
      </c>
      <c r="Q249" s="52">
        <f t="shared" si="107"/>
        <v>0.72591073707563225</v>
      </c>
      <c r="R249" s="52">
        <f t="shared" si="107"/>
        <v>0.72806867677245846</v>
      </c>
      <c r="S249" s="52">
        <f t="shared" si="107"/>
        <v>0.73016376385675574</v>
      </c>
      <c r="T249" s="52">
        <f t="shared" si="107"/>
        <v>0.73219782898714147</v>
      </c>
      <c r="U249" s="52">
        <f>IFERROR(U239/U233,0)</f>
        <v>0.73417264950207917</v>
      </c>
      <c r="V249" s="52">
        <f>IFERROR(V239/V233,0)</f>
        <v>0.73608995097289243</v>
      </c>
    </row>
    <row r="250" spans="1:22">
      <c r="A250" s="260"/>
      <c r="B250" s="55" t="s">
        <v>990</v>
      </c>
      <c r="C250" s="51"/>
      <c r="D250" s="51"/>
      <c r="E250" s="51"/>
      <c r="F250" s="51"/>
      <c r="G250" s="51"/>
      <c r="H250" s="51"/>
      <c r="I250" s="51"/>
      <c r="J250" s="52">
        <f>IFERROR(J245/J231,0)</f>
        <v>0</v>
      </c>
      <c r="K250" s="52">
        <f t="shared" ref="K250:V250" si="108">IFERROR(K245/K231,0)</f>
        <v>0</v>
      </c>
      <c r="L250" s="52">
        <f t="shared" si="108"/>
        <v>0</v>
      </c>
      <c r="M250" s="52">
        <f t="shared" si="108"/>
        <v>0.55895726784472977</v>
      </c>
      <c r="N250" s="52">
        <f t="shared" si="108"/>
        <v>0.56085171635410658</v>
      </c>
      <c r="O250" s="52">
        <f t="shared" si="108"/>
        <v>0.56269098675155982</v>
      </c>
      <c r="P250" s="52">
        <f t="shared" si="108"/>
        <v>0.56447668616656299</v>
      </c>
      <c r="Q250" s="52">
        <f t="shared" si="108"/>
        <v>0.56621037491899318</v>
      </c>
      <c r="R250" s="52">
        <f t="shared" si="108"/>
        <v>0.56789356788251766</v>
      </c>
      <c r="S250" s="52">
        <f t="shared" si="108"/>
        <v>0.56952773580826954</v>
      </c>
      <c r="T250" s="52">
        <f t="shared" si="108"/>
        <v>0.57111430660997042</v>
      </c>
      <c r="U250" s="52">
        <f t="shared" si="108"/>
        <v>0.57265466661162179</v>
      </c>
      <c r="V250" s="52">
        <f t="shared" si="108"/>
        <v>0.57415016175885614</v>
      </c>
    </row>
    <row r="252" spans="1:22" ht="24" thickBot="1">
      <c r="B252" s="14" t="s">
        <v>1033</v>
      </c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</row>
    <row r="254" spans="1:22">
      <c r="B254" s="407" t="s">
        <v>623</v>
      </c>
      <c r="I254" s="48">
        <f>SUM(J254:V254)</f>
        <v>4630.1921864153592</v>
      </c>
      <c r="J254" s="458">
        <f>SUM(J162,J139,J185,J208)</f>
        <v>0</v>
      </c>
      <c r="K254" s="23">
        <f t="shared" ref="K254:V255" si="109">SUM(K162,K139,K185,K208)</f>
        <v>131.81220909619202</v>
      </c>
      <c r="L254" s="23">
        <f t="shared" si="109"/>
        <v>263.26038271726708</v>
      </c>
      <c r="M254" s="23">
        <f t="shared" si="109"/>
        <v>348.68407359510024</v>
      </c>
      <c r="N254" s="23">
        <f t="shared" si="109"/>
        <v>359.85252343441601</v>
      </c>
      <c r="O254" s="23">
        <f t="shared" si="109"/>
        <v>384.88016588298319</v>
      </c>
      <c r="P254" s="23">
        <f t="shared" si="109"/>
        <v>397.08623069788121</v>
      </c>
      <c r="Q254" s="23">
        <f t="shared" si="109"/>
        <v>419.12076303308243</v>
      </c>
      <c r="R254" s="23">
        <f t="shared" si="109"/>
        <v>432.30577796942907</v>
      </c>
      <c r="S254" s="23">
        <f t="shared" si="109"/>
        <v>456.53020042068567</v>
      </c>
      <c r="T254" s="23">
        <f t="shared" si="109"/>
        <v>470.78923068560619</v>
      </c>
      <c r="U254" s="23">
        <f t="shared" si="109"/>
        <v>475.79833935109173</v>
      </c>
      <c r="V254" s="23">
        <f t="shared" si="109"/>
        <v>490.07228953162451</v>
      </c>
    </row>
    <row r="255" spans="1:22">
      <c r="B255" s="407" t="s">
        <v>473</v>
      </c>
      <c r="I255" s="48">
        <f>SUM(J255:V255)</f>
        <v>-254.92137594082789</v>
      </c>
      <c r="J255" s="458">
        <f>SUM(J163,J140,J186,J209)</f>
        <v>0</v>
      </c>
      <c r="K255" s="23">
        <f t="shared" si="109"/>
        <v>-11.942066867037578</v>
      </c>
      <c r="L255" s="23">
        <f t="shared" si="109"/>
        <v>-12.566322735240165</v>
      </c>
      <c r="M255" s="23">
        <f t="shared" si="109"/>
        <v>-18.530973985816292</v>
      </c>
      <c r="N255" s="23">
        <f t="shared" si="109"/>
        <v>-19.392650811172505</v>
      </c>
      <c r="O255" s="23">
        <f t="shared" si="109"/>
        <v>-20.301888450601513</v>
      </c>
      <c r="P255" s="23">
        <f t="shared" si="109"/>
        <v>-21.261435898542601</v>
      </c>
      <c r="Q255" s="23">
        <f t="shared" si="109"/>
        <v>-22.274205139422293</v>
      </c>
      <c r="R255" s="23">
        <f t="shared" si="109"/>
        <v>-23.343280941031303</v>
      </c>
      <c r="S255" s="23">
        <f t="shared" si="109"/>
        <v>-24.471931240336851</v>
      </c>
      <c r="T255" s="23">
        <f t="shared" si="109"/>
        <v>-25.66361815769001</v>
      </c>
      <c r="U255" s="23">
        <f t="shared" si="109"/>
        <v>-26.922009677574472</v>
      </c>
      <c r="V255" s="23">
        <f t="shared" si="109"/>
        <v>-28.250992036362334</v>
      </c>
    </row>
    <row r="256" spans="1:22">
      <c r="B256" s="28" t="s">
        <v>1017</v>
      </c>
      <c r="C256" s="28"/>
      <c r="D256" s="28"/>
      <c r="E256" s="28"/>
      <c r="F256" s="28"/>
      <c r="G256" s="28"/>
      <c r="H256" s="28"/>
      <c r="I256" s="49">
        <f>SUM(J256:V256)</f>
        <v>4375.2708104745316</v>
      </c>
      <c r="J256" s="47">
        <f t="shared" ref="J256:V256" si="110">SUM(J254:J255)</f>
        <v>0</v>
      </c>
      <c r="K256" s="47">
        <f t="shared" si="110"/>
        <v>119.87014222915444</v>
      </c>
      <c r="L256" s="47">
        <f t="shared" si="110"/>
        <v>250.69405998202691</v>
      </c>
      <c r="M256" s="47">
        <f t="shared" si="110"/>
        <v>330.15309960928397</v>
      </c>
      <c r="N256" s="47">
        <f t="shared" si="110"/>
        <v>340.45987262324348</v>
      </c>
      <c r="O256" s="47">
        <f t="shared" si="110"/>
        <v>364.5782774323817</v>
      </c>
      <c r="P256" s="47">
        <f t="shared" si="110"/>
        <v>375.82479479933863</v>
      </c>
      <c r="Q256" s="47">
        <f t="shared" si="110"/>
        <v>396.84655789366013</v>
      </c>
      <c r="R256" s="47">
        <f t="shared" si="110"/>
        <v>408.96249702839776</v>
      </c>
      <c r="S256" s="47">
        <f t="shared" si="110"/>
        <v>432.05826918034882</v>
      </c>
      <c r="T256" s="47">
        <f t="shared" si="110"/>
        <v>445.12561252791619</v>
      </c>
      <c r="U256" s="47">
        <f t="shared" si="110"/>
        <v>448.87632967351726</v>
      </c>
      <c r="V256" s="47">
        <f t="shared" si="110"/>
        <v>461.82129749526217</v>
      </c>
    </row>
    <row r="258" spans="2:22">
      <c r="B258" t="s">
        <v>852</v>
      </c>
      <c r="I258" s="48">
        <f>SUM(J258:V258)</f>
        <v>-1596.2496693243961</v>
      </c>
      <c r="J258" s="23">
        <f>SUM(J166,J143,J189,J212)</f>
        <v>0</v>
      </c>
      <c r="K258" s="23">
        <f t="shared" ref="K258:V258" si="111">SUM(K166,K143,K189,K212)</f>
        <v>-20.062441819238401</v>
      </c>
      <c r="L258" s="23">
        <f t="shared" si="111"/>
        <v>-89.839949372116493</v>
      </c>
      <c r="M258" s="23">
        <f t="shared" si="111"/>
        <v>-125.13806389454851</v>
      </c>
      <c r="N258" s="23">
        <f t="shared" si="111"/>
        <v>-129.29572456131874</v>
      </c>
      <c r="O258" s="23">
        <f t="shared" si="111"/>
        <v>-136.2740133291914</v>
      </c>
      <c r="P258" s="23">
        <f t="shared" si="111"/>
        <v>-140.73823983695993</v>
      </c>
      <c r="Q258" s="23">
        <f t="shared" si="111"/>
        <v>-147.21992071341782</v>
      </c>
      <c r="R258" s="23">
        <f t="shared" si="111"/>
        <v>-151.98501180067223</v>
      </c>
      <c r="S258" s="23">
        <f t="shared" si="111"/>
        <v>-159.01289749219316</v>
      </c>
      <c r="T258" s="23">
        <f t="shared" si="111"/>
        <v>-164.10426524076991</v>
      </c>
      <c r="U258" s="23">
        <f t="shared" si="111"/>
        <v>-163.83208929259592</v>
      </c>
      <c r="V258" s="23">
        <f t="shared" si="111"/>
        <v>-168.74705197137376</v>
      </c>
    </row>
    <row r="259" spans="2:22">
      <c r="B259" s="28" t="s">
        <v>139</v>
      </c>
      <c r="C259" s="28"/>
      <c r="D259" s="28"/>
      <c r="E259" s="28"/>
      <c r="F259" s="28"/>
      <c r="G259" s="28"/>
      <c r="H259" s="28"/>
      <c r="I259" s="49">
        <f>SUM(J259:V259)</f>
        <v>2779.0211411501355</v>
      </c>
      <c r="J259" s="47">
        <f t="shared" ref="J259:V259" si="112">SUM(J256,J258)</f>
        <v>0</v>
      </c>
      <c r="K259" s="47">
        <f t="shared" si="112"/>
        <v>99.807700409916038</v>
      </c>
      <c r="L259" s="47">
        <f t="shared" si="112"/>
        <v>160.85411060991044</v>
      </c>
      <c r="M259" s="47">
        <f t="shared" si="112"/>
        <v>205.01503571473546</v>
      </c>
      <c r="N259" s="47">
        <f t="shared" si="112"/>
        <v>211.16414806192475</v>
      </c>
      <c r="O259" s="47">
        <f t="shared" si="112"/>
        <v>228.30426410319029</v>
      </c>
      <c r="P259" s="47">
        <f t="shared" si="112"/>
        <v>235.0865549623787</v>
      </c>
      <c r="Q259" s="47">
        <f t="shared" si="112"/>
        <v>249.62663718024231</v>
      </c>
      <c r="R259" s="47">
        <f t="shared" si="112"/>
        <v>256.97748522772554</v>
      </c>
      <c r="S259" s="47">
        <f t="shared" si="112"/>
        <v>273.04537168815568</v>
      </c>
      <c r="T259" s="47">
        <f t="shared" si="112"/>
        <v>281.02134728714628</v>
      </c>
      <c r="U259" s="47">
        <f t="shared" si="112"/>
        <v>285.04424038092134</v>
      </c>
      <c r="V259" s="47">
        <f t="shared" si="112"/>
        <v>293.07424552388841</v>
      </c>
    </row>
    <row r="261" spans="2:22">
      <c r="B261" t="s">
        <v>1018</v>
      </c>
      <c r="I261" s="49">
        <f>SUM(J261:V261)</f>
        <v>-302.62266801945822</v>
      </c>
      <c r="J261" s="23">
        <f>SUM(J169,J146,J192,J215)</f>
        <v>0</v>
      </c>
      <c r="K261" s="23">
        <f t="shared" ref="K261:V261" si="113">SUM(K169,K146,K192,K215)</f>
        <v>-25.218555668288186</v>
      </c>
      <c r="L261" s="23">
        <f t="shared" si="113"/>
        <v>-25.218555668288186</v>
      </c>
      <c r="M261" s="23">
        <f t="shared" si="113"/>
        <v>-25.218555668288186</v>
      </c>
      <c r="N261" s="23">
        <f t="shared" si="113"/>
        <v>-25.218555668288186</v>
      </c>
      <c r="O261" s="23">
        <f t="shared" si="113"/>
        <v>-25.218555668288186</v>
      </c>
      <c r="P261" s="23">
        <f t="shared" si="113"/>
        <v>-25.218555668288186</v>
      </c>
      <c r="Q261" s="23">
        <f t="shared" si="113"/>
        <v>-25.218555668288186</v>
      </c>
      <c r="R261" s="23">
        <f t="shared" si="113"/>
        <v>-25.218555668288186</v>
      </c>
      <c r="S261" s="23">
        <f t="shared" si="113"/>
        <v>-25.218555668288186</v>
      </c>
      <c r="T261" s="23">
        <f t="shared" si="113"/>
        <v>-25.218555668288186</v>
      </c>
      <c r="U261" s="23">
        <f t="shared" si="113"/>
        <v>-25.218555668288186</v>
      </c>
      <c r="V261" s="23">
        <f t="shared" si="113"/>
        <v>-25.218555668288186</v>
      </c>
    </row>
    <row r="262" spans="2:22">
      <c r="B262" s="28" t="s">
        <v>434</v>
      </c>
      <c r="C262" s="28"/>
      <c r="D262" s="28"/>
      <c r="E262" s="28"/>
      <c r="F262" s="28"/>
      <c r="G262" s="28"/>
      <c r="H262" s="28"/>
      <c r="I262" s="49">
        <f>SUM(J262:V262)</f>
        <v>2476.3984731306768</v>
      </c>
      <c r="J262" s="47">
        <f t="shared" ref="J262:V262" si="114">SUM(J259,J261)</f>
        <v>0</v>
      </c>
      <c r="K262" s="47">
        <f t="shared" si="114"/>
        <v>74.589144741627848</v>
      </c>
      <c r="L262" s="47">
        <f t="shared" si="114"/>
        <v>135.63555494162225</v>
      </c>
      <c r="M262" s="47">
        <f t="shared" si="114"/>
        <v>179.79648004644727</v>
      </c>
      <c r="N262" s="47">
        <f t="shared" si="114"/>
        <v>185.94559239363656</v>
      </c>
      <c r="O262" s="47">
        <f t="shared" si="114"/>
        <v>203.0857084349021</v>
      </c>
      <c r="P262" s="47">
        <f t="shared" si="114"/>
        <v>209.86799929409051</v>
      </c>
      <c r="Q262" s="47">
        <f t="shared" si="114"/>
        <v>224.40808151195412</v>
      </c>
      <c r="R262" s="47">
        <f t="shared" si="114"/>
        <v>231.75892955943735</v>
      </c>
      <c r="S262" s="47">
        <f t="shared" si="114"/>
        <v>247.82681601986749</v>
      </c>
      <c r="T262" s="47">
        <f t="shared" si="114"/>
        <v>255.80279161885809</v>
      </c>
      <c r="U262" s="47">
        <f t="shared" si="114"/>
        <v>259.82568471263318</v>
      </c>
      <c r="V262" s="47">
        <f t="shared" si="114"/>
        <v>267.85568985560025</v>
      </c>
    </row>
    <row r="263" spans="2:22"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</row>
    <row r="264" spans="2:22">
      <c r="B264" t="s">
        <v>881</v>
      </c>
      <c r="I264" s="48">
        <f>SUM(J264:V264)</f>
        <v>-13.331278719000002</v>
      </c>
      <c r="J264" s="23">
        <f>SUM(J172,J149,J195,J218)</f>
        <v>0</v>
      </c>
      <c r="K264" s="23">
        <f t="shared" ref="K264:V264" si="115">SUM(K172,K149,K195,K218)</f>
        <v>-13.331278719000002</v>
      </c>
      <c r="L264" s="23">
        <f t="shared" si="115"/>
        <v>0</v>
      </c>
      <c r="M264" s="23">
        <f t="shared" si="115"/>
        <v>0</v>
      </c>
      <c r="N264" s="23">
        <f t="shared" si="115"/>
        <v>0</v>
      </c>
      <c r="O264" s="23">
        <f t="shared" si="115"/>
        <v>0</v>
      </c>
      <c r="P264" s="23">
        <f t="shared" si="115"/>
        <v>0</v>
      </c>
      <c r="Q264" s="23">
        <f t="shared" si="115"/>
        <v>0</v>
      </c>
      <c r="R264" s="23">
        <f t="shared" si="115"/>
        <v>0</v>
      </c>
      <c r="S264" s="23">
        <f t="shared" si="115"/>
        <v>0</v>
      </c>
      <c r="T264" s="23">
        <f t="shared" si="115"/>
        <v>0</v>
      </c>
      <c r="U264" s="23">
        <f t="shared" si="115"/>
        <v>0</v>
      </c>
      <c r="V264" s="23">
        <f t="shared" si="115"/>
        <v>0</v>
      </c>
    </row>
    <row r="265" spans="2:22">
      <c r="B265" s="28" t="s">
        <v>1019</v>
      </c>
      <c r="C265" s="28"/>
      <c r="D265" s="28"/>
      <c r="E265" s="28"/>
      <c r="F265" s="28"/>
      <c r="G265" s="28"/>
      <c r="H265" s="28"/>
      <c r="I265" s="48">
        <f>SUM(J265:V265)</f>
        <v>2463.0671944116771</v>
      </c>
      <c r="J265" s="47">
        <f t="shared" ref="J265:V265" si="116">SUM(J262,J264)</f>
        <v>0</v>
      </c>
      <c r="K265" s="47">
        <f t="shared" si="116"/>
        <v>61.257866022627844</v>
      </c>
      <c r="L265" s="47">
        <f t="shared" si="116"/>
        <v>135.63555494162225</v>
      </c>
      <c r="M265" s="47">
        <f t="shared" si="116"/>
        <v>179.79648004644727</v>
      </c>
      <c r="N265" s="47">
        <f t="shared" si="116"/>
        <v>185.94559239363656</v>
      </c>
      <c r="O265" s="47">
        <f t="shared" si="116"/>
        <v>203.0857084349021</v>
      </c>
      <c r="P265" s="47">
        <f t="shared" si="116"/>
        <v>209.86799929409051</v>
      </c>
      <c r="Q265" s="47">
        <f t="shared" si="116"/>
        <v>224.40808151195412</v>
      </c>
      <c r="R265" s="47">
        <f t="shared" si="116"/>
        <v>231.75892955943735</v>
      </c>
      <c r="S265" s="47">
        <f t="shared" si="116"/>
        <v>247.82681601986749</v>
      </c>
      <c r="T265" s="47">
        <f t="shared" si="116"/>
        <v>255.80279161885809</v>
      </c>
      <c r="U265" s="47">
        <f t="shared" si="116"/>
        <v>259.82568471263318</v>
      </c>
      <c r="V265" s="47">
        <f t="shared" si="116"/>
        <v>267.85568985560025</v>
      </c>
    </row>
    <row r="266" spans="2:22"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</row>
    <row r="267" spans="2:22">
      <c r="B267" t="s">
        <v>759</v>
      </c>
      <c r="I267" s="48">
        <f>SUM(J267:V267)</f>
        <v>-541.87478277056891</v>
      </c>
      <c r="J267" s="23">
        <f>SUM(J175,J152,J198,J221)</f>
        <v>0</v>
      </c>
      <c r="K267" s="23">
        <f t="shared" ref="K267:V267" si="117">SUM(K175,K152,K198,K221)</f>
        <v>-13.476730524978123</v>
      </c>
      <c r="L267" s="23">
        <f t="shared" si="117"/>
        <v>-29.839822087156893</v>
      </c>
      <c r="M267" s="23">
        <f t="shared" si="117"/>
        <v>-39.5552256102184</v>
      </c>
      <c r="N267" s="23">
        <f t="shared" si="117"/>
        <v>-40.908030326600048</v>
      </c>
      <c r="O267" s="23">
        <f t="shared" si="117"/>
        <v>-44.678855855678464</v>
      </c>
      <c r="P267" s="23">
        <f t="shared" si="117"/>
        <v>-46.170959844699894</v>
      </c>
      <c r="Q267" s="23">
        <f t="shared" si="117"/>
        <v>-49.369777932629901</v>
      </c>
      <c r="R267" s="23">
        <f t="shared" si="117"/>
        <v>-50.986964503076209</v>
      </c>
      <c r="S267" s="23">
        <f t="shared" si="117"/>
        <v>-54.521899524370852</v>
      </c>
      <c r="T267" s="23">
        <f t="shared" si="117"/>
        <v>-56.276614156148781</v>
      </c>
      <c r="U267" s="23">
        <f t="shared" si="117"/>
        <v>-57.161650636779299</v>
      </c>
      <c r="V267" s="23">
        <f t="shared" si="117"/>
        <v>-58.928251768232066</v>
      </c>
    </row>
    <row r="268" spans="2:22">
      <c r="B268" s="28" t="s">
        <v>1020</v>
      </c>
      <c r="C268" s="28"/>
      <c r="D268" s="28"/>
      <c r="E268" s="28"/>
      <c r="F268" s="28"/>
      <c r="G268" s="28"/>
      <c r="H268" s="28"/>
      <c r="I268" s="48">
        <f>SUM(J268:V268)</f>
        <v>1921.192411641108</v>
      </c>
      <c r="J268" s="47">
        <f t="shared" ref="J268:V268" si="118">SUM(J265,J267)</f>
        <v>0</v>
      </c>
      <c r="K268" s="47">
        <f t="shared" si="118"/>
        <v>47.781135497649721</v>
      </c>
      <c r="L268" s="47">
        <f t="shared" si="118"/>
        <v>105.79573285446536</v>
      </c>
      <c r="M268" s="47">
        <f t="shared" si="118"/>
        <v>140.24125443622887</v>
      </c>
      <c r="N268" s="47">
        <f t="shared" si="118"/>
        <v>145.0375620670365</v>
      </c>
      <c r="O268" s="47">
        <f t="shared" si="118"/>
        <v>158.40685257922365</v>
      </c>
      <c r="P268" s="47">
        <f t="shared" si="118"/>
        <v>163.69703944939062</v>
      </c>
      <c r="Q268" s="47">
        <f t="shared" si="118"/>
        <v>175.03830357932424</v>
      </c>
      <c r="R268" s="47">
        <f t="shared" si="118"/>
        <v>180.77196505636113</v>
      </c>
      <c r="S268" s="47">
        <f t="shared" si="118"/>
        <v>193.30491649549663</v>
      </c>
      <c r="T268" s="47">
        <f t="shared" si="118"/>
        <v>199.52617746270931</v>
      </c>
      <c r="U268" s="47">
        <f t="shared" si="118"/>
        <v>202.66403407585386</v>
      </c>
      <c r="V268" s="47">
        <f t="shared" si="118"/>
        <v>208.92743808736819</v>
      </c>
    </row>
    <row r="270" spans="2:22">
      <c r="B270" s="407" t="s">
        <v>32</v>
      </c>
      <c r="C270" s="407"/>
      <c r="D270" s="407"/>
      <c r="E270" s="407"/>
      <c r="F270" s="407"/>
      <c r="G270" s="407"/>
      <c r="H270" s="407"/>
      <c r="I270" s="407"/>
      <c r="J270" s="9">
        <f>J$8</f>
        <v>2024</v>
      </c>
      <c r="K270" s="9">
        <f t="shared" ref="K270:V270" si="119">K$8</f>
        <v>2025</v>
      </c>
      <c r="L270" s="9">
        <f t="shared" si="119"/>
        <v>2026</v>
      </c>
      <c r="M270" s="9">
        <f t="shared" si="119"/>
        <v>2027</v>
      </c>
      <c r="N270" s="9">
        <f t="shared" si="119"/>
        <v>2028</v>
      </c>
      <c r="O270" s="9">
        <f t="shared" si="119"/>
        <v>2029</v>
      </c>
      <c r="P270" s="9">
        <f t="shared" si="119"/>
        <v>2030</v>
      </c>
      <c r="Q270" s="9">
        <f t="shared" si="119"/>
        <v>2031</v>
      </c>
      <c r="R270" s="9">
        <f t="shared" si="119"/>
        <v>2032</v>
      </c>
      <c r="S270" s="9">
        <f t="shared" si="119"/>
        <v>2033</v>
      </c>
      <c r="T270" s="9">
        <f t="shared" si="119"/>
        <v>2034</v>
      </c>
      <c r="U270" s="9">
        <f t="shared" si="119"/>
        <v>2035</v>
      </c>
      <c r="V270" s="9">
        <f t="shared" si="119"/>
        <v>2036</v>
      </c>
    </row>
    <row r="271" spans="2:22">
      <c r="B271" s="55" t="s">
        <v>1021</v>
      </c>
      <c r="C271" s="51"/>
      <c r="D271" s="51"/>
      <c r="E271" s="51"/>
      <c r="F271" s="51"/>
      <c r="G271" s="51"/>
      <c r="H271" s="51"/>
      <c r="I271" s="51"/>
      <c r="J271" s="56">
        <f>IFERROR(J256/J254,0)</f>
        <v>0</v>
      </c>
      <c r="K271" s="56">
        <f t="shared" ref="K271:V271" si="120">IFERROR(K256/K254,0)</f>
        <v>0.90940090490158865</v>
      </c>
      <c r="L271" s="56">
        <f t="shared" si="120"/>
        <v>0.95226656359937012</v>
      </c>
      <c r="M271" s="56">
        <f t="shared" si="120"/>
        <v>0.94685454430208693</v>
      </c>
      <c r="N271" s="56">
        <f t="shared" si="120"/>
        <v>0.9461094488761953</v>
      </c>
      <c r="O271" s="56">
        <f t="shared" si="120"/>
        <v>0.94725140381285855</v>
      </c>
      <c r="P271" s="56">
        <f t="shared" si="120"/>
        <v>0.94645637583258557</v>
      </c>
      <c r="Q271" s="56">
        <f t="shared" si="120"/>
        <v>0.9468549232010629</v>
      </c>
      <c r="R271" s="56">
        <f t="shared" si="120"/>
        <v>0.94600284768185061</v>
      </c>
      <c r="S271" s="56">
        <f t="shared" si="120"/>
        <v>0.94639581079677459</v>
      </c>
      <c r="T271" s="56">
        <f t="shared" si="120"/>
        <v>0.9454880942788001</v>
      </c>
      <c r="U271" s="56">
        <f t="shared" si="120"/>
        <v>0.94341718444353651</v>
      </c>
      <c r="V271" s="56">
        <f t="shared" si="120"/>
        <v>0.94235341879182233</v>
      </c>
    </row>
    <row r="272" spans="2:22">
      <c r="B272" s="55" t="s">
        <v>1022</v>
      </c>
      <c r="C272" s="51"/>
      <c r="D272" s="51"/>
      <c r="E272" s="51"/>
      <c r="F272" s="51"/>
      <c r="G272" s="51"/>
      <c r="H272" s="51"/>
      <c r="I272" s="51"/>
      <c r="J272" s="56">
        <f>IFERROR(J259/J254,0)</f>
        <v>0</v>
      </c>
      <c r="K272" s="52">
        <f t="shared" ref="K272:T272" si="121">IFERROR(K262/K256,0)</f>
        <v>0.6222495723667083</v>
      </c>
      <c r="L272" s="52">
        <f t="shared" si="121"/>
        <v>0.54104016246474451</v>
      </c>
      <c r="M272" s="52">
        <f t="shared" si="121"/>
        <v>0.54458516445620353</v>
      </c>
      <c r="N272" s="52">
        <f t="shared" si="121"/>
        <v>0.54616008330416643</v>
      </c>
      <c r="O272" s="52">
        <f t="shared" si="121"/>
        <v>0.55704281084757823</v>
      </c>
      <c r="P272" s="52">
        <f t="shared" si="121"/>
        <v>0.55841978016949034</v>
      </c>
      <c r="Q272" s="52">
        <f t="shared" si="121"/>
        <v>0.56547821078011462</v>
      </c>
      <c r="R272" s="52">
        <f t="shared" si="121"/>
        <v>0.5666997126715615</v>
      </c>
      <c r="S272" s="52">
        <f t="shared" si="121"/>
        <v>0.57359581727255438</v>
      </c>
      <c r="T272" s="52">
        <f t="shared" si="121"/>
        <v>0.57467551724585464</v>
      </c>
      <c r="U272" s="52">
        <f>IFERROR(U262/U256,0)</f>
        <v>0.57883578958510262</v>
      </c>
      <c r="V272" s="52">
        <f>IFERROR(V262/V256,0)</f>
        <v>0.57999856504744285</v>
      </c>
    </row>
    <row r="273" spans="2:23">
      <c r="B273" s="55" t="s">
        <v>990</v>
      </c>
      <c r="C273" s="51"/>
      <c r="D273" s="51"/>
      <c r="E273" s="51"/>
      <c r="F273" s="51"/>
      <c r="G273" s="51"/>
      <c r="H273" s="51"/>
      <c r="I273" s="51"/>
      <c r="J273" s="52">
        <f>IFERROR(J268/J254,0)</f>
        <v>0</v>
      </c>
      <c r="K273" s="52">
        <f t="shared" ref="K273:V273" si="122">IFERROR(K268/K254,0)</f>
        <v>0.36249400435114998</v>
      </c>
      <c r="L273" s="52">
        <f t="shared" si="122"/>
        <v>0.40186727589804677</v>
      </c>
      <c r="M273" s="52">
        <f t="shared" si="122"/>
        <v>0.40220149142538741</v>
      </c>
      <c r="N273" s="52">
        <f t="shared" si="122"/>
        <v>0.40304722802220377</v>
      </c>
      <c r="O273" s="52">
        <f t="shared" si="122"/>
        <v>0.41157447595619873</v>
      </c>
      <c r="P273" s="52">
        <f t="shared" si="122"/>
        <v>0.41224556983930716</v>
      </c>
      <c r="Q273" s="52">
        <f t="shared" si="122"/>
        <v>0.41763214571526236</v>
      </c>
      <c r="R273" s="52">
        <f t="shared" si="122"/>
        <v>0.41815764273487133</v>
      </c>
      <c r="S273" s="52">
        <f t="shared" si="122"/>
        <v>0.42342196927469217</v>
      </c>
      <c r="T273" s="52">
        <f t="shared" si="122"/>
        <v>0.42381211051098411</v>
      </c>
      <c r="U273" s="52">
        <f t="shared" si="122"/>
        <v>0.42594523207511242</v>
      </c>
      <c r="V273" s="52">
        <f t="shared" si="122"/>
        <v>0.42631963192011091</v>
      </c>
    </row>
    <row r="275" spans="2:23" ht="24" thickBot="1">
      <c r="B275" s="14" t="s">
        <v>1034</v>
      </c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</row>
    <row r="276" spans="2:23">
      <c r="B276" s="2" t="s">
        <v>29</v>
      </c>
      <c r="F276" s="6">
        <f>Output_FSL!F38</f>
        <v>1</v>
      </c>
    </row>
    <row r="277" spans="2:23">
      <c r="B277" s="407" t="s">
        <v>623</v>
      </c>
      <c r="I277" s="48">
        <f>SUM(J277:V277)</f>
        <v>980.81900916688323</v>
      </c>
      <c r="J277" s="458">
        <f>Calculation_FSL!J516*$F$276</f>
        <v>0</v>
      </c>
      <c r="K277" s="23">
        <f>Calculation_FSL!K516*$F$276</f>
        <v>0</v>
      </c>
      <c r="L277" s="23">
        <f>Calculation_FSL!L516*$F$276</f>
        <v>0</v>
      </c>
      <c r="M277" s="23">
        <f>Calculation_FSL!M516*$F$276</f>
        <v>0</v>
      </c>
      <c r="N277" s="458">
        <f>Calculation_FSL!N516*$F$276</f>
        <v>58.257839587834468</v>
      </c>
      <c r="O277" s="23">
        <f>Calculation_FSL!O516*$F$276</f>
        <v>76.900348255941509</v>
      </c>
      <c r="P277" s="23">
        <f>Calculation_FSL!P516*$F$276</f>
        <v>84.590383081535663</v>
      </c>
      <c r="Q277" s="23">
        <f>Calculation_FSL!Q516*$F$276</f>
        <v>102.35436352865814</v>
      </c>
      <c r="R277" s="23">
        <f>Calculation_FSL!R516*$F$276</f>
        <v>108.49562534037766</v>
      </c>
      <c r="S277" s="23">
        <f>Calculation_FSL!S516*$F$276</f>
        <v>121.90568463244836</v>
      </c>
      <c r="T277" s="23">
        <f>Calculation_FSL!T516*$F$276</f>
        <v>129.22002571039528</v>
      </c>
      <c r="U277" s="23">
        <f>Calculation_FSL!U516*$F$276</f>
        <v>145.19162088820013</v>
      </c>
      <c r="V277" s="23">
        <f>Calculation_FSL!V516*$F$276</f>
        <v>153.90311814149214</v>
      </c>
    </row>
    <row r="278" spans="2:23">
      <c r="B278" s="407" t="s">
        <v>473</v>
      </c>
      <c r="H278" s="21"/>
      <c r="I278" s="48">
        <f>SUM(J278:V278)</f>
        <v>-226.40442052200279</v>
      </c>
      <c r="J278" s="458">
        <f>-Calculation_FSL!J522*$F$276</f>
        <v>0</v>
      </c>
      <c r="K278" s="23">
        <f>-Calculation_FSL!K522*$F$276</f>
        <v>0</v>
      </c>
      <c r="L278" s="23">
        <f>-Calculation_FSL!L522*$F$276</f>
        <v>0</v>
      </c>
      <c r="M278" s="23">
        <f>-Calculation_FSL!M522*$F$276</f>
        <v>0</v>
      </c>
      <c r="N278" s="23">
        <f>-Calculation_FSL!N522*$F$276</f>
        <v>-15.060366036570935</v>
      </c>
      <c r="O278" s="23">
        <f>-Calculation_FSL!O522*$F$276</f>
        <v>-18.293330967567417</v>
      </c>
      <c r="P278" s="23">
        <f>-Calculation_FSL!P522*$F$276</f>
        <v>-20.331384195423407</v>
      </c>
      <c r="Q278" s="23">
        <f>-Calculation_FSL!Q522*$F$276</f>
        <v>-23.455629098209847</v>
      </c>
      <c r="R278" s="23">
        <f>-Calculation_FSL!R522*$F$276</f>
        <v>-25.179645829240805</v>
      </c>
      <c r="S278" s="23">
        <f>-Calculation_FSL!S522*$F$276</f>
        <v>-26.987302524079247</v>
      </c>
      <c r="T278" s="23">
        <f>-Calculation_FSL!T522*$F$276</f>
        <v>-28.932476872844564</v>
      </c>
      <c r="U278" s="23">
        <f>-Calculation_FSL!U522*$F$276</f>
        <v>-32.887630952372412</v>
      </c>
      <c r="V278" s="23">
        <f>-Calculation_FSL!V522*$F$276</f>
        <v>-35.276654045694151</v>
      </c>
    </row>
    <row r="279" spans="2:23">
      <c r="B279" s="28" t="s">
        <v>1017</v>
      </c>
      <c r="C279" s="28"/>
      <c r="D279" s="28"/>
      <c r="E279" s="28"/>
      <c r="F279" s="28"/>
      <c r="G279" s="28"/>
      <c r="H279" s="28"/>
      <c r="I279" s="49">
        <f>SUM(J279:V279)</f>
        <v>754.4145886448805</v>
      </c>
      <c r="J279" s="47">
        <f t="shared" ref="J279:V279" si="123">SUM(J277:J278)</f>
        <v>0</v>
      </c>
      <c r="K279" s="47">
        <f t="shared" si="123"/>
        <v>0</v>
      </c>
      <c r="L279" s="47">
        <f t="shared" si="123"/>
        <v>0</v>
      </c>
      <c r="M279" s="47">
        <f t="shared" si="123"/>
        <v>0</v>
      </c>
      <c r="N279" s="47">
        <f t="shared" si="123"/>
        <v>43.197473551263535</v>
      </c>
      <c r="O279" s="47">
        <f t="shared" si="123"/>
        <v>58.607017288374095</v>
      </c>
      <c r="P279" s="47">
        <f t="shared" si="123"/>
        <v>64.258998886112252</v>
      </c>
      <c r="Q279" s="47">
        <f t="shared" si="123"/>
        <v>78.898734430448286</v>
      </c>
      <c r="R279" s="47">
        <f t="shared" si="123"/>
        <v>83.315979511136845</v>
      </c>
      <c r="S279" s="47">
        <f t="shared" si="123"/>
        <v>94.918382108369116</v>
      </c>
      <c r="T279" s="47">
        <f t="shared" si="123"/>
        <v>100.28754883755072</v>
      </c>
      <c r="U279" s="47">
        <f t="shared" si="123"/>
        <v>112.30398993582773</v>
      </c>
      <c r="V279" s="47">
        <f t="shared" si="123"/>
        <v>118.62646409579799</v>
      </c>
    </row>
    <row r="280" spans="2:23">
      <c r="L280" s="1"/>
    </row>
    <row r="281" spans="2:23">
      <c r="B281" t="s">
        <v>852</v>
      </c>
      <c r="I281" s="48">
        <f>SUM(J281:V281)</f>
        <v>-145.40038511059652</v>
      </c>
      <c r="J281">
        <f>-Calculation_FSL!J542*$F$276</f>
        <v>0</v>
      </c>
      <c r="K281">
        <f>-Calculation_FSL!K542*$F$276</f>
        <v>0</v>
      </c>
      <c r="L281" s="23">
        <f>-Calculation_FSL!L542*$F$276</f>
        <v>0</v>
      </c>
      <c r="M281" s="23">
        <f>-Calculation_FSL!M542*$F$276</f>
        <v>0</v>
      </c>
      <c r="N281" s="458">
        <f>-Calculation_FSL!N542*$F$276</f>
        <v>-10.091454118495887</v>
      </c>
      <c r="O281" s="23">
        <f>-Calculation_FSL!O542*$F$276</f>
        <v>-12.135871994283443</v>
      </c>
      <c r="P281" s="23">
        <f>-Calculation_FSL!P542*$F$276</f>
        <v>-13.378373539314339</v>
      </c>
      <c r="Q281" s="23">
        <f>-Calculation_FSL!Q542*$F$276</f>
        <v>-15.304745477403905</v>
      </c>
      <c r="R281" s="23">
        <f>-Calculation_FSL!R542*$F$276</f>
        <v>-16.258440915252205</v>
      </c>
      <c r="S281" s="23">
        <f>-Calculation_FSL!S542*$F$276</f>
        <v>-17.271708621838528</v>
      </c>
      <c r="T281">
        <f>-Calculation_FSL!T542*$F$276</f>
        <v>-18.348278232607917</v>
      </c>
      <c r="U281">
        <f>-Calculation_FSL!U542*$F$276</f>
        <v>-20.661640189328775</v>
      </c>
      <c r="V281">
        <f>-Calculation_FSL!V542*$F$276</f>
        <v>-21.949872022071517</v>
      </c>
      <c r="W281">
        <f>-Calculation_FSL!W542*$F$276</f>
        <v>0</v>
      </c>
    </row>
    <row r="282" spans="2:23">
      <c r="B282" s="28" t="s">
        <v>139</v>
      </c>
      <c r="C282" s="28"/>
      <c r="D282" s="28"/>
      <c r="E282" s="28"/>
      <c r="F282" s="28"/>
      <c r="G282" s="28"/>
      <c r="H282" s="28"/>
      <c r="I282" s="49">
        <f>SUM(J282:V282)</f>
        <v>609.01420353428409</v>
      </c>
      <c r="J282" s="47">
        <f t="shared" ref="J282:V282" si="124">SUM(J279,J281)</f>
        <v>0</v>
      </c>
      <c r="K282" s="47">
        <f t="shared" si="124"/>
        <v>0</v>
      </c>
      <c r="L282" s="47">
        <f t="shared" si="124"/>
        <v>0</v>
      </c>
      <c r="M282" s="47">
        <f t="shared" si="124"/>
        <v>0</v>
      </c>
      <c r="N282" s="47">
        <f t="shared" si="124"/>
        <v>33.106019432767646</v>
      </c>
      <c r="O282" s="47">
        <f t="shared" si="124"/>
        <v>46.471145294090654</v>
      </c>
      <c r="P282" s="47">
        <f t="shared" si="124"/>
        <v>50.880625346797913</v>
      </c>
      <c r="Q282" s="47">
        <f t="shared" si="124"/>
        <v>63.593988953044381</v>
      </c>
      <c r="R282" s="47">
        <f t="shared" si="124"/>
        <v>67.057538595884637</v>
      </c>
      <c r="S282" s="47">
        <f t="shared" si="124"/>
        <v>77.646673486530588</v>
      </c>
      <c r="T282" s="47">
        <f t="shared" si="124"/>
        <v>81.939270604942806</v>
      </c>
      <c r="U282" s="47">
        <f t="shared" si="124"/>
        <v>91.642349746498951</v>
      </c>
      <c r="V282" s="47">
        <f t="shared" si="124"/>
        <v>96.676592073726468</v>
      </c>
    </row>
    <row r="284" spans="2:23">
      <c r="B284" t="s">
        <v>1018</v>
      </c>
      <c r="I284" s="49">
        <f>SUM(J284:V284)</f>
        <v>-64.358437499999994</v>
      </c>
      <c r="J284" s="23">
        <f>-Calculation_FSL!J520*$F$276</f>
        <v>0</v>
      </c>
      <c r="K284" s="23">
        <f>-Calculation_FSL!K520*$F$276</f>
        <v>0</v>
      </c>
      <c r="L284" s="23">
        <f>-Calculation_FSL!L520*$F$276</f>
        <v>0</v>
      </c>
      <c r="M284" s="23">
        <f>-Calculation_FSL!M520*$F$276</f>
        <v>0</v>
      </c>
      <c r="N284" s="23">
        <f>-Calculation_FSL!N520*$F$276</f>
        <v>-7.1509374999999995</v>
      </c>
      <c r="O284" s="23">
        <f>-Calculation_FSL!O520*$F$276</f>
        <v>-7.1509374999999995</v>
      </c>
      <c r="P284" s="23">
        <f>-Calculation_FSL!P520*$F$276</f>
        <v>-7.1509374999999995</v>
      </c>
      <c r="Q284" s="23">
        <f>-Calculation_FSL!Q520*$F$276</f>
        <v>-7.1509374999999995</v>
      </c>
      <c r="R284" s="23">
        <f>-Calculation_FSL!R520*$F$276</f>
        <v>-7.1509374999999995</v>
      </c>
      <c r="S284" s="23">
        <f>-Calculation_FSL!S520*$F$276</f>
        <v>-7.1509374999999995</v>
      </c>
      <c r="T284" s="23">
        <f>-Calculation_FSL!T520*$F$276</f>
        <v>-7.1509374999999995</v>
      </c>
      <c r="U284" s="23">
        <f>-Calculation_FSL!U520*$F$276</f>
        <v>-7.1509374999999995</v>
      </c>
      <c r="V284" s="23">
        <f>-Calculation_FSL!V520*$F$276</f>
        <v>-7.1509374999999995</v>
      </c>
    </row>
    <row r="285" spans="2:23">
      <c r="B285" s="28" t="s">
        <v>434</v>
      </c>
      <c r="C285" s="28"/>
      <c r="D285" s="28"/>
      <c r="E285" s="28"/>
      <c r="F285" s="28"/>
      <c r="G285" s="28"/>
      <c r="H285" s="28"/>
      <c r="I285" s="49">
        <f>SUM(J285:V285)</f>
        <v>544.65576603428406</v>
      </c>
      <c r="J285" s="460">
        <f t="shared" ref="J285:V285" si="125">SUM(J282,J284)</f>
        <v>0</v>
      </c>
      <c r="K285" s="47">
        <f t="shared" si="125"/>
        <v>0</v>
      </c>
      <c r="L285" s="47">
        <f t="shared" si="125"/>
        <v>0</v>
      </c>
      <c r="M285" s="47">
        <f t="shared" si="125"/>
        <v>0</v>
      </c>
      <c r="N285" s="460">
        <f t="shared" si="125"/>
        <v>25.955081932767648</v>
      </c>
      <c r="O285" s="47">
        <f t="shared" si="125"/>
        <v>39.320207794090656</v>
      </c>
      <c r="P285" s="47">
        <f t="shared" si="125"/>
        <v>43.729687846797916</v>
      </c>
      <c r="Q285" s="47">
        <f t="shared" si="125"/>
        <v>56.443051453044383</v>
      </c>
      <c r="R285" s="47">
        <f t="shared" si="125"/>
        <v>59.906601095884639</v>
      </c>
      <c r="S285" s="47">
        <f t="shared" si="125"/>
        <v>70.49573598653059</v>
      </c>
      <c r="T285" s="47">
        <f t="shared" si="125"/>
        <v>74.788333104942808</v>
      </c>
      <c r="U285" s="47">
        <f t="shared" si="125"/>
        <v>84.491412246498953</v>
      </c>
      <c r="V285" s="47">
        <f t="shared" si="125"/>
        <v>89.52565457372647</v>
      </c>
    </row>
    <row r="286" spans="2:23"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</row>
    <row r="287" spans="2:23">
      <c r="B287" t="s">
        <v>881</v>
      </c>
      <c r="I287" s="48">
        <f>SUM(J287:V287)</f>
        <v>0</v>
      </c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</row>
    <row r="288" spans="2:23">
      <c r="B288" s="28" t="s">
        <v>1019</v>
      </c>
      <c r="C288" s="28"/>
      <c r="D288" s="28"/>
      <c r="E288" s="28"/>
      <c r="F288" s="28"/>
      <c r="G288" s="28"/>
      <c r="H288" s="28"/>
      <c r="I288" s="48">
        <f>SUM(J288:V288)</f>
        <v>544.65576603428406</v>
      </c>
      <c r="J288" s="47">
        <f t="shared" ref="J288:V288" si="126">SUM(J285,J287)</f>
        <v>0</v>
      </c>
      <c r="K288" s="47">
        <f t="shared" si="126"/>
        <v>0</v>
      </c>
      <c r="L288" s="47">
        <f t="shared" si="126"/>
        <v>0</v>
      </c>
      <c r="M288" s="47">
        <f t="shared" si="126"/>
        <v>0</v>
      </c>
      <c r="N288" s="47">
        <f t="shared" si="126"/>
        <v>25.955081932767648</v>
      </c>
      <c r="O288" s="47">
        <f t="shared" si="126"/>
        <v>39.320207794090656</v>
      </c>
      <c r="P288" s="47">
        <f t="shared" si="126"/>
        <v>43.729687846797916</v>
      </c>
      <c r="Q288" s="47">
        <f t="shared" si="126"/>
        <v>56.443051453044383</v>
      </c>
      <c r="R288" s="47">
        <f t="shared" si="126"/>
        <v>59.906601095884639</v>
      </c>
      <c r="S288" s="47">
        <f t="shared" si="126"/>
        <v>70.49573598653059</v>
      </c>
      <c r="T288" s="47">
        <f t="shared" si="126"/>
        <v>74.788333104942808</v>
      </c>
      <c r="U288" s="47">
        <f t="shared" si="126"/>
        <v>84.491412246498953</v>
      </c>
      <c r="V288" s="47">
        <f t="shared" si="126"/>
        <v>89.52565457372647</v>
      </c>
    </row>
    <row r="289" spans="1:22"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</row>
    <row r="290" spans="1:22">
      <c r="B290" t="s">
        <v>759</v>
      </c>
      <c r="I290" s="48">
        <f>SUM(J290:V290)</f>
        <v>-119.8242685275425</v>
      </c>
      <c r="J290" s="23">
        <f>-IF(J288&lt;0,0,J288*22%)</f>
        <v>0</v>
      </c>
      <c r="K290" s="23">
        <f t="shared" ref="K290:V290" si="127">-IF(K288&lt;0,0,K288*22%)</f>
        <v>0</v>
      </c>
      <c r="L290" s="23">
        <f t="shared" si="127"/>
        <v>0</v>
      </c>
      <c r="M290" s="23">
        <f t="shared" si="127"/>
        <v>0</v>
      </c>
      <c r="N290" s="23">
        <f t="shared" si="127"/>
        <v>-5.7101180252088826</v>
      </c>
      <c r="O290" s="23">
        <f t="shared" si="127"/>
        <v>-8.6504457146999449</v>
      </c>
      <c r="P290" s="23">
        <f t="shared" si="127"/>
        <v>-9.6205313262955414</v>
      </c>
      <c r="Q290" s="23">
        <f t="shared" si="127"/>
        <v>-12.417471319669763</v>
      </c>
      <c r="R290" s="23">
        <f t="shared" si="127"/>
        <v>-13.179452241094621</v>
      </c>
      <c r="S290" s="23">
        <f t="shared" si="127"/>
        <v>-15.50906191703673</v>
      </c>
      <c r="T290" s="23">
        <f t="shared" si="127"/>
        <v>-16.453433283087417</v>
      </c>
      <c r="U290" s="23">
        <f t="shared" si="127"/>
        <v>-18.588110694229769</v>
      </c>
      <c r="V290" s="23">
        <f t="shared" si="127"/>
        <v>-19.695644006219823</v>
      </c>
    </row>
    <row r="291" spans="1:22">
      <c r="B291" s="28" t="s">
        <v>1020</v>
      </c>
      <c r="C291" s="28"/>
      <c r="D291" s="28"/>
      <c r="E291" s="28"/>
      <c r="F291" s="28"/>
      <c r="G291" s="28"/>
      <c r="H291" s="28"/>
      <c r="I291" s="48">
        <f>SUM(J291:V291)</f>
        <v>424.83149750674153</v>
      </c>
      <c r="J291" s="47">
        <f t="shared" ref="J291:V291" si="128">SUM(J288,J290)</f>
        <v>0</v>
      </c>
      <c r="K291" s="47">
        <f t="shared" si="128"/>
        <v>0</v>
      </c>
      <c r="L291" s="47">
        <f t="shared" si="128"/>
        <v>0</v>
      </c>
      <c r="M291" s="47">
        <f t="shared" si="128"/>
        <v>0</v>
      </c>
      <c r="N291" s="47">
        <f t="shared" si="128"/>
        <v>20.244963907558766</v>
      </c>
      <c r="O291" s="47">
        <f t="shared" si="128"/>
        <v>30.669762079390711</v>
      </c>
      <c r="P291" s="47">
        <f t="shared" si="128"/>
        <v>34.109156520502374</v>
      </c>
      <c r="Q291" s="47">
        <f t="shared" si="128"/>
        <v>44.025580133374618</v>
      </c>
      <c r="R291" s="47">
        <f t="shared" si="128"/>
        <v>46.727148854790016</v>
      </c>
      <c r="S291" s="47">
        <f t="shared" si="128"/>
        <v>54.986674069493858</v>
      </c>
      <c r="T291" s="47">
        <f t="shared" si="128"/>
        <v>58.334899821855387</v>
      </c>
      <c r="U291" s="47">
        <f t="shared" si="128"/>
        <v>65.903301552269184</v>
      </c>
      <c r="V291" s="47">
        <f t="shared" si="128"/>
        <v>69.830010567506648</v>
      </c>
    </row>
    <row r="293" spans="1:22">
      <c r="B293" s="407" t="s">
        <v>32</v>
      </c>
      <c r="C293" s="407"/>
      <c r="D293" s="407"/>
      <c r="E293" s="407"/>
      <c r="F293" s="407"/>
      <c r="G293" s="407"/>
      <c r="H293" s="407"/>
      <c r="I293" s="407"/>
      <c r="J293" s="9">
        <f>J$8</f>
        <v>2024</v>
      </c>
      <c r="K293" s="9">
        <f t="shared" ref="K293:V293" si="129">K$8</f>
        <v>2025</v>
      </c>
      <c r="L293" s="9">
        <f t="shared" si="129"/>
        <v>2026</v>
      </c>
      <c r="M293" s="9">
        <f t="shared" si="129"/>
        <v>2027</v>
      </c>
      <c r="N293" s="9">
        <f t="shared" si="129"/>
        <v>2028</v>
      </c>
      <c r="O293" s="9">
        <f t="shared" si="129"/>
        <v>2029</v>
      </c>
      <c r="P293" s="9">
        <f t="shared" si="129"/>
        <v>2030</v>
      </c>
      <c r="Q293" s="9">
        <f t="shared" si="129"/>
        <v>2031</v>
      </c>
      <c r="R293" s="9">
        <f t="shared" si="129"/>
        <v>2032</v>
      </c>
      <c r="S293" s="9">
        <f t="shared" si="129"/>
        <v>2033</v>
      </c>
      <c r="T293" s="9">
        <f t="shared" si="129"/>
        <v>2034</v>
      </c>
      <c r="U293" s="9">
        <f t="shared" si="129"/>
        <v>2035</v>
      </c>
      <c r="V293" s="9">
        <f t="shared" si="129"/>
        <v>2036</v>
      </c>
    </row>
    <row r="294" spans="1:22">
      <c r="B294" s="55" t="s">
        <v>1021</v>
      </c>
      <c r="C294" s="51"/>
      <c r="D294" s="51"/>
      <c r="E294" s="51"/>
      <c r="F294" s="51"/>
      <c r="G294" s="51"/>
      <c r="H294" s="51"/>
      <c r="I294" s="51"/>
      <c r="J294" s="56">
        <f>IFERROR(J279/J277,0)</f>
        <v>0</v>
      </c>
      <c r="K294" s="56">
        <f t="shared" ref="K294:V294" si="130">IFERROR(K279/K277,0)</f>
        <v>0</v>
      </c>
      <c r="L294" s="56">
        <f t="shared" si="130"/>
        <v>0</v>
      </c>
      <c r="M294" s="56">
        <f t="shared" si="130"/>
        <v>0</v>
      </c>
      <c r="N294" s="56">
        <f t="shared" si="130"/>
        <v>0.74148773550271041</v>
      </c>
      <c r="O294" s="56">
        <f t="shared" si="130"/>
        <v>0.76211640932128</v>
      </c>
      <c r="P294" s="56">
        <f t="shared" si="130"/>
        <v>0.75964898780720458</v>
      </c>
      <c r="Q294" s="56">
        <f t="shared" si="130"/>
        <v>0.77083899220727869</v>
      </c>
      <c r="R294" s="56">
        <f t="shared" si="130"/>
        <v>0.76792017419830505</v>
      </c>
      <c r="S294" s="56">
        <f t="shared" si="130"/>
        <v>0.77862145965180141</v>
      </c>
      <c r="T294" s="56">
        <f t="shared" si="130"/>
        <v>0.77609912462262376</v>
      </c>
      <c r="U294" s="56">
        <f t="shared" si="130"/>
        <v>0.77348809283080866</v>
      </c>
      <c r="V294" s="56">
        <f t="shared" si="130"/>
        <v>0.77078661906471402</v>
      </c>
    </row>
    <row r="295" spans="1:22">
      <c r="B295" s="55" t="s">
        <v>1022</v>
      </c>
      <c r="C295" s="51"/>
      <c r="D295" s="51"/>
      <c r="E295" s="51"/>
      <c r="F295" s="51"/>
      <c r="G295" s="51"/>
      <c r="H295" s="51"/>
      <c r="I295" s="51"/>
      <c r="J295" s="56">
        <f>IFERROR(J282/J277,0)</f>
        <v>0</v>
      </c>
      <c r="K295" s="52">
        <f t="shared" ref="K295:T295" si="131">IFERROR(K285/K279,0)</f>
        <v>0</v>
      </c>
      <c r="L295" s="52">
        <f t="shared" si="131"/>
        <v>0</v>
      </c>
      <c r="M295" s="52">
        <f t="shared" si="131"/>
        <v>0</v>
      </c>
      <c r="N295" s="52">
        <f t="shared" si="131"/>
        <v>0.60084722089050169</v>
      </c>
      <c r="O295" s="52">
        <f t="shared" si="131"/>
        <v>0.67091296594427829</v>
      </c>
      <c r="P295" s="52">
        <f t="shared" si="131"/>
        <v>0.68052239538155701</v>
      </c>
      <c r="Q295" s="52">
        <f t="shared" si="131"/>
        <v>0.71538601804571034</v>
      </c>
      <c r="R295" s="52">
        <f t="shared" si="131"/>
        <v>0.71902894795681926</v>
      </c>
      <c r="S295" s="52">
        <f t="shared" si="131"/>
        <v>0.74269845756583819</v>
      </c>
      <c r="T295" s="52">
        <f t="shared" si="131"/>
        <v>0.74573896731774314</v>
      </c>
      <c r="U295" s="52">
        <f>IFERROR(U285/U279,0)</f>
        <v>0.75234559604497286</v>
      </c>
      <c r="V295" s="52">
        <f>IFERROR(V285/V279,0)</f>
        <v>0.75468534998589465</v>
      </c>
    </row>
    <row r="296" spans="1:22">
      <c r="B296" s="55" t="s">
        <v>990</v>
      </c>
      <c r="C296" s="51"/>
      <c r="D296" s="51"/>
      <c r="E296" s="51"/>
      <c r="F296" s="51"/>
      <c r="G296" s="51"/>
      <c r="H296" s="51"/>
      <c r="I296" s="51"/>
      <c r="J296" s="52">
        <f>IFERROR(J291/J277,0)</f>
        <v>0</v>
      </c>
      <c r="K296" s="52">
        <f t="shared" ref="K296:V296" si="132">IFERROR(K291/K277,0)</f>
        <v>0</v>
      </c>
      <c r="L296" s="52">
        <f t="shared" si="132"/>
        <v>0</v>
      </c>
      <c r="M296" s="52">
        <f t="shared" si="132"/>
        <v>0</v>
      </c>
      <c r="N296" s="52">
        <f t="shared" si="132"/>
        <v>0.34750625925693207</v>
      </c>
      <c r="O296" s="52">
        <f t="shared" si="132"/>
        <v>0.39882474884658392</v>
      </c>
      <c r="P296" s="52">
        <f t="shared" si="132"/>
        <v>0.4032273560887526</v>
      </c>
      <c r="Q296" s="52">
        <f t="shared" si="132"/>
        <v>0.43012900100783608</v>
      </c>
      <c r="R296" s="52">
        <f t="shared" si="132"/>
        <v>0.43068233127552724</v>
      </c>
      <c r="S296" s="52">
        <f t="shared" si="132"/>
        <v>0.45105914654662244</v>
      </c>
      <c r="T296" s="52">
        <f t="shared" si="132"/>
        <v>0.45143854059117833</v>
      </c>
      <c r="U296" s="52">
        <f t="shared" si="132"/>
        <v>0.45390568098289763</v>
      </c>
      <c r="V296" s="52">
        <f t="shared" si="132"/>
        <v>0.45372706811117258</v>
      </c>
    </row>
    <row r="298" spans="1:22" ht="24" thickBot="1">
      <c r="A298" s="260"/>
      <c r="B298" s="14" t="s">
        <v>1035</v>
      </c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</row>
    <row r="299" spans="1:22">
      <c r="A299" s="260"/>
      <c r="B299" s="2" t="s">
        <v>29</v>
      </c>
      <c r="F299" s="6">
        <f>Output_FSL!$F$36</f>
        <v>1</v>
      </c>
    </row>
    <row r="300" spans="1:22">
      <c r="A300" s="260"/>
      <c r="B300" s="407" t="s">
        <v>623</v>
      </c>
      <c r="I300" s="48">
        <f>SUM(J300:V300)</f>
        <v>5.8436851237251606</v>
      </c>
      <c r="J300" s="23">
        <f>Calculation_FSL!J561*$F$299</f>
        <v>0</v>
      </c>
      <c r="K300" s="23">
        <f>Calculation_FSL!K561*$F$299</f>
        <v>0</v>
      </c>
      <c r="L300" s="23">
        <f>Calculation_FSL!L561*$F$299</f>
        <v>0</v>
      </c>
      <c r="M300" s="23">
        <f>Calculation_FSL!M561*$F$299</f>
        <v>0</v>
      </c>
      <c r="N300" s="23">
        <f>Calculation_FSL!N561*$F$299</f>
        <v>0.46400000000000002</v>
      </c>
      <c r="O300" s="23">
        <f>Calculation_FSL!O561*$F$299</f>
        <v>0.51040000000000008</v>
      </c>
      <c r="P300" s="23">
        <f>Calculation_FSL!P561*$F$299</f>
        <v>0.56144000000000016</v>
      </c>
      <c r="Q300" s="23">
        <f>Calculation_FSL!Q561*$F$299</f>
        <v>0.61758400000000013</v>
      </c>
      <c r="R300" s="23">
        <f>Calculation_FSL!R561*$F$299</f>
        <v>0.65463904000000028</v>
      </c>
      <c r="S300" s="23">
        <f>Calculation_FSL!S561*$F$299</f>
        <v>0.69391738240000034</v>
      </c>
      <c r="T300" s="23">
        <f>Calculation_FSL!T561*$F$299</f>
        <v>0.73555242534400034</v>
      </c>
      <c r="U300" s="23">
        <f>Calculation_FSL!U561*$F$299</f>
        <v>0.77968557086464041</v>
      </c>
      <c r="V300" s="23">
        <f>Calculation_FSL!V561*$F$299</f>
        <v>0.82646670511651898</v>
      </c>
    </row>
    <row r="301" spans="1:22">
      <c r="A301" s="260"/>
      <c r="B301" s="407" t="s">
        <v>473</v>
      </c>
      <c r="H301" s="21" t="e">
        <f>L301/L300</f>
        <v>#DIV/0!</v>
      </c>
      <c r="I301" s="48">
        <f>SUM(J301:V301)</f>
        <v>0</v>
      </c>
      <c r="J301" s="276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</row>
    <row r="302" spans="1:22">
      <c r="A302" s="260"/>
      <c r="B302" s="28" t="s">
        <v>1017</v>
      </c>
      <c r="C302" s="28"/>
      <c r="D302" s="28"/>
      <c r="E302" s="28"/>
      <c r="F302" s="28"/>
      <c r="G302" s="28"/>
      <c r="H302" s="28"/>
      <c r="I302" s="49">
        <f>SUM(J302:V302)</f>
        <v>5.8436851237251606</v>
      </c>
      <c r="J302" s="47">
        <f t="shared" ref="J302:V302" si="133">SUM(J300:J301)</f>
        <v>0</v>
      </c>
      <c r="K302" s="47">
        <f t="shared" si="133"/>
        <v>0</v>
      </c>
      <c r="L302" s="47">
        <f t="shared" si="133"/>
        <v>0</v>
      </c>
      <c r="M302" s="47">
        <f t="shared" si="133"/>
        <v>0</v>
      </c>
      <c r="N302" s="47">
        <f t="shared" si="133"/>
        <v>0.46400000000000002</v>
      </c>
      <c r="O302" s="47">
        <f t="shared" si="133"/>
        <v>0.51040000000000008</v>
      </c>
      <c r="P302" s="47">
        <f t="shared" si="133"/>
        <v>0.56144000000000016</v>
      </c>
      <c r="Q302" s="47">
        <f t="shared" si="133"/>
        <v>0.61758400000000013</v>
      </c>
      <c r="R302" s="47">
        <f t="shared" si="133"/>
        <v>0.65463904000000028</v>
      </c>
      <c r="S302" s="47">
        <f t="shared" si="133"/>
        <v>0.69391738240000034</v>
      </c>
      <c r="T302" s="47">
        <f t="shared" si="133"/>
        <v>0.73555242534400034</v>
      </c>
      <c r="U302" s="47">
        <f t="shared" si="133"/>
        <v>0.77968557086464041</v>
      </c>
      <c r="V302" s="47">
        <f t="shared" si="133"/>
        <v>0.82646670511651898</v>
      </c>
    </row>
    <row r="303" spans="1:22">
      <c r="A303" s="260"/>
      <c r="L303" s="1"/>
    </row>
    <row r="304" spans="1:22">
      <c r="A304" s="260"/>
      <c r="B304" t="s">
        <v>852</v>
      </c>
      <c r="I304" s="48">
        <f>SUM(J304:V304)</f>
        <v>-1.1687370247450322</v>
      </c>
      <c r="J304">
        <f>-Calculation_FSL!J567*$F$299</f>
        <v>0</v>
      </c>
      <c r="K304">
        <f>-Calculation_FSL!K567*$F$299</f>
        <v>0</v>
      </c>
      <c r="L304">
        <f>-Calculation_FSL!L567*$F$299</f>
        <v>0</v>
      </c>
      <c r="M304">
        <f>-Calculation_FSL!M567*$F$299</f>
        <v>0</v>
      </c>
      <c r="N304">
        <f>-Calculation_FSL!N567*$F$299</f>
        <v>-9.2800000000000007E-2</v>
      </c>
      <c r="O304">
        <f>-Calculation_FSL!O567*$F$299</f>
        <v>-0.10208000000000002</v>
      </c>
      <c r="P304">
        <f>-Calculation_FSL!P567*$F$299</f>
        <v>-0.11228800000000004</v>
      </c>
      <c r="Q304">
        <f>-Calculation_FSL!Q567*$F$299</f>
        <v>-0.12351680000000004</v>
      </c>
      <c r="R304">
        <f>-Calculation_FSL!R567*$F$299</f>
        <v>-0.13092780800000006</v>
      </c>
      <c r="S304">
        <f>-Calculation_FSL!S567*$F$299</f>
        <v>-0.13878347648000008</v>
      </c>
      <c r="T304">
        <f>-Calculation_FSL!T567*$F$299</f>
        <v>-0.14711048506880006</v>
      </c>
      <c r="U304">
        <f>-Calculation_FSL!U567*$F$299</f>
        <v>-0.1559371141729281</v>
      </c>
      <c r="V304">
        <f>-Calculation_FSL!V567*$F$299</f>
        <v>-0.16529334102330381</v>
      </c>
    </row>
    <row r="305" spans="1:22">
      <c r="A305" s="260"/>
      <c r="B305" s="28" t="s">
        <v>139</v>
      </c>
      <c r="C305" s="28"/>
      <c r="D305" s="28"/>
      <c r="E305" s="28"/>
      <c r="F305" s="28"/>
      <c r="G305" s="28"/>
      <c r="H305" s="28"/>
      <c r="I305" s="49">
        <f>SUM(J305:V305)</f>
        <v>4.6749480989801278</v>
      </c>
      <c r="J305" s="47">
        <f t="shared" ref="J305:V305" si="134">SUM(J302,J304)</f>
        <v>0</v>
      </c>
      <c r="K305" s="47">
        <f t="shared" si="134"/>
        <v>0</v>
      </c>
      <c r="L305" s="47">
        <f t="shared" si="134"/>
        <v>0</v>
      </c>
      <c r="M305" s="47">
        <f t="shared" si="134"/>
        <v>0</v>
      </c>
      <c r="N305" s="47">
        <f t="shared" si="134"/>
        <v>0.37120000000000003</v>
      </c>
      <c r="O305" s="47">
        <f t="shared" si="134"/>
        <v>0.40832000000000007</v>
      </c>
      <c r="P305" s="47">
        <f t="shared" si="134"/>
        <v>0.44915200000000011</v>
      </c>
      <c r="Q305" s="47">
        <f t="shared" si="134"/>
        <v>0.4940672000000001</v>
      </c>
      <c r="R305" s="47">
        <f t="shared" si="134"/>
        <v>0.52371123200000025</v>
      </c>
      <c r="S305" s="47">
        <f t="shared" si="134"/>
        <v>0.55513390592000023</v>
      </c>
      <c r="T305" s="47">
        <f t="shared" si="134"/>
        <v>0.58844194027520025</v>
      </c>
      <c r="U305" s="47">
        <f t="shared" si="134"/>
        <v>0.62374845669171231</v>
      </c>
      <c r="V305" s="47">
        <f t="shared" si="134"/>
        <v>0.66117336409321514</v>
      </c>
    </row>
    <row r="306" spans="1:22">
      <c r="A306" s="260"/>
    </row>
    <row r="307" spans="1:22">
      <c r="A307" s="260"/>
      <c r="B307" t="s">
        <v>1018</v>
      </c>
      <c r="I307" s="49">
        <f>SUM(J307:V307)</f>
        <v>-0.87830999999999981</v>
      </c>
      <c r="J307" s="23">
        <f>-Calculation_FSL!J569*$F$299</f>
        <v>0</v>
      </c>
      <c r="K307" s="23">
        <f>-Calculation_FSL!K569*$F$299</f>
        <v>0</v>
      </c>
      <c r="L307" s="23">
        <f>-Calculation_FSL!L569*$F$299</f>
        <v>0</v>
      </c>
      <c r="M307" s="23">
        <f>-Calculation_FSL!M569*$F$299</f>
        <v>0</v>
      </c>
      <c r="N307" s="23">
        <f>-Calculation_FSL!N569*$F$299</f>
        <v>-9.7589999999999996E-2</v>
      </c>
      <c r="O307" s="23">
        <f>-Calculation_FSL!O569*$F$299</f>
        <v>-9.7589999999999996E-2</v>
      </c>
      <c r="P307" s="23">
        <f>-Calculation_FSL!P569*$F$299</f>
        <v>-9.7589999999999996E-2</v>
      </c>
      <c r="Q307" s="23">
        <f>-Calculation_FSL!Q569*$F$299</f>
        <v>-9.7589999999999996E-2</v>
      </c>
      <c r="R307" s="23">
        <f>-Calculation_FSL!R569*$F$299</f>
        <v>-9.7589999999999996E-2</v>
      </c>
      <c r="S307" s="23">
        <f>-Calculation_FSL!S569*$F$299</f>
        <v>-9.7589999999999996E-2</v>
      </c>
      <c r="T307" s="23">
        <f>-Calculation_FSL!T569*$F$299</f>
        <v>-9.7589999999999996E-2</v>
      </c>
      <c r="U307" s="23">
        <f>-Calculation_FSL!U569*$F$299</f>
        <v>-9.7589999999999996E-2</v>
      </c>
      <c r="V307" s="23">
        <f>-Calculation_FSL!V569*$F$299</f>
        <v>-9.7589999999999996E-2</v>
      </c>
    </row>
    <row r="308" spans="1:22">
      <c r="A308" s="260"/>
      <c r="B308" s="28" t="s">
        <v>434</v>
      </c>
      <c r="C308" s="28"/>
      <c r="D308" s="28"/>
      <c r="E308" s="28"/>
      <c r="F308" s="28"/>
      <c r="G308" s="28"/>
      <c r="H308" s="28"/>
      <c r="I308" s="49">
        <f>SUM(J308:V308)</f>
        <v>3.7966380989801283</v>
      </c>
      <c r="J308" s="47">
        <f t="shared" ref="J308:V308" si="135">SUM(J305,J307)</f>
        <v>0</v>
      </c>
      <c r="K308" s="47">
        <f t="shared" si="135"/>
        <v>0</v>
      </c>
      <c r="L308" s="47">
        <f t="shared" si="135"/>
        <v>0</v>
      </c>
      <c r="M308" s="47">
        <f t="shared" si="135"/>
        <v>0</v>
      </c>
      <c r="N308" s="47">
        <f t="shared" si="135"/>
        <v>0.27361000000000002</v>
      </c>
      <c r="O308" s="47">
        <f t="shared" si="135"/>
        <v>0.31073000000000006</v>
      </c>
      <c r="P308" s="47">
        <f t="shared" si="135"/>
        <v>0.3515620000000001</v>
      </c>
      <c r="Q308" s="47">
        <f t="shared" si="135"/>
        <v>0.39647720000000009</v>
      </c>
      <c r="R308" s="47">
        <f t="shared" si="135"/>
        <v>0.42612123200000024</v>
      </c>
      <c r="S308" s="47">
        <f t="shared" si="135"/>
        <v>0.45754390592000022</v>
      </c>
      <c r="T308" s="47">
        <f t="shared" si="135"/>
        <v>0.49085194027520024</v>
      </c>
      <c r="U308" s="47">
        <f t="shared" si="135"/>
        <v>0.52615845669171235</v>
      </c>
      <c r="V308" s="47">
        <f t="shared" si="135"/>
        <v>0.56358336409321519</v>
      </c>
    </row>
    <row r="309" spans="1:22">
      <c r="A309" s="260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</row>
    <row r="310" spans="1:22">
      <c r="A310" s="260"/>
      <c r="B310" t="s">
        <v>881</v>
      </c>
      <c r="I310" s="48">
        <f>SUM(J310:V310)</f>
        <v>0</v>
      </c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</row>
    <row r="311" spans="1:22">
      <c r="A311" s="260"/>
      <c r="B311" s="28" t="s">
        <v>1019</v>
      </c>
      <c r="C311" s="28"/>
      <c r="D311" s="28"/>
      <c r="E311" s="28"/>
      <c r="F311" s="28"/>
      <c r="G311" s="28"/>
      <c r="H311" s="28"/>
      <c r="I311" s="48">
        <f>SUM(J311:V311)</f>
        <v>3.7966380989801283</v>
      </c>
      <c r="J311" s="47">
        <f t="shared" ref="J311:V311" si="136">SUM(J308,J310)</f>
        <v>0</v>
      </c>
      <c r="K311" s="47">
        <f t="shared" si="136"/>
        <v>0</v>
      </c>
      <c r="L311" s="47">
        <f t="shared" si="136"/>
        <v>0</v>
      </c>
      <c r="M311" s="47">
        <f t="shared" si="136"/>
        <v>0</v>
      </c>
      <c r="N311" s="47">
        <f t="shared" si="136"/>
        <v>0.27361000000000002</v>
      </c>
      <c r="O311" s="47">
        <f t="shared" si="136"/>
        <v>0.31073000000000006</v>
      </c>
      <c r="P311" s="47">
        <f t="shared" si="136"/>
        <v>0.3515620000000001</v>
      </c>
      <c r="Q311" s="47">
        <f t="shared" si="136"/>
        <v>0.39647720000000009</v>
      </c>
      <c r="R311" s="47">
        <f t="shared" si="136"/>
        <v>0.42612123200000024</v>
      </c>
      <c r="S311" s="47">
        <f t="shared" si="136"/>
        <v>0.45754390592000022</v>
      </c>
      <c r="T311" s="47">
        <f t="shared" si="136"/>
        <v>0.49085194027520024</v>
      </c>
      <c r="U311" s="47">
        <f t="shared" si="136"/>
        <v>0.52615845669171235</v>
      </c>
      <c r="V311" s="47">
        <f t="shared" si="136"/>
        <v>0.56358336409321519</v>
      </c>
    </row>
    <row r="312" spans="1:22">
      <c r="A312" s="260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</row>
    <row r="313" spans="1:22">
      <c r="A313" s="260"/>
      <c r="B313" t="s">
        <v>759</v>
      </c>
      <c r="I313" s="48">
        <f>SUM(J313:V313)</f>
        <v>-0.83526038177562834</v>
      </c>
      <c r="J313" s="23">
        <f>-IF(J311&lt;0,0,J311*22%)</f>
        <v>0</v>
      </c>
      <c r="K313" s="23">
        <f t="shared" ref="K313:V313" si="137">-IF(K311&lt;0,0,K311*22%)</f>
        <v>0</v>
      </c>
      <c r="L313" s="23">
        <f t="shared" si="137"/>
        <v>0</v>
      </c>
      <c r="M313" s="23">
        <f t="shared" si="137"/>
        <v>0</v>
      </c>
      <c r="N313" s="23">
        <f t="shared" si="137"/>
        <v>-6.0194200000000003E-2</v>
      </c>
      <c r="O313" s="23">
        <f t="shared" si="137"/>
        <v>-6.8360600000000007E-2</v>
      </c>
      <c r="P313" s="23">
        <f t="shared" si="137"/>
        <v>-7.7343640000000019E-2</v>
      </c>
      <c r="Q313" s="23">
        <f t="shared" si="137"/>
        <v>-8.7224984000000019E-2</v>
      </c>
      <c r="R313" s="23">
        <f t="shared" si="137"/>
        <v>-9.3746671040000049E-2</v>
      </c>
      <c r="S313" s="23">
        <f t="shared" si="137"/>
        <v>-0.10065965930240005</v>
      </c>
      <c r="T313" s="23">
        <f t="shared" si="137"/>
        <v>-0.10798742686054405</v>
      </c>
      <c r="U313" s="23">
        <f t="shared" si="137"/>
        <v>-0.11575486047217672</v>
      </c>
      <c r="V313" s="23">
        <f t="shared" si="137"/>
        <v>-0.12398834010050734</v>
      </c>
    </row>
    <row r="314" spans="1:22">
      <c r="A314" s="260"/>
      <c r="B314" s="28" t="s">
        <v>1020</v>
      </c>
      <c r="C314" s="28"/>
      <c r="D314" s="28"/>
      <c r="E314" s="28"/>
      <c r="F314" s="28"/>
      <c r="G314" s="28"/>
      <c r="H314" s="28"/>
      <c r="I314" s="48">
        <f>SUM(J314:V314)</f>
        <v>2.9613777172045004</v>
      </c>
      <c r="J314" s="47">
        <f t="shared" ref="J314:V314" si="138">SUM(J311,J313)</f>
        <v>0</v>
      </c>
      <c r="K314" s="47">
        <f t="shared" si="138"/>
        <v>0</v>
      </c>
      <c r="L314" s="47">
        <f t="shared" si="138"/>
        <v>0</v>
      </c>
      <c r="M314" s="47">
        <f t="shared" si="138"/>
        <v>0</v>
      </c>
      <c r="N314" s="47">
        <f t="shared" si="138"/>
        <v>0.21341580000000002</v>
      </c>
      <c r="O314" s="47">
        <f t="shared" si="138"/>
        <v>0.24236940000000007</v>
      </c>
      <c r="P314" s="47">
        <f t="shared" si="138"/>
        <v>0.27421836000000011</v>
      </c>
      <c r="Q314" s="47">
        <f t="shared" si="138"/>
        <v>0.30925221600000008</v>
      </c>
      <c r="R314" s="47">
        <f t="shared" si="138"/>
        <v>0.33237456096000018</v>
      </c>
      <c r="S314" s="47">
        <f t="shared" si="138"/>
        <v>0.35688424661760015</v>
      </c>
      <c r="T314" s="47">
        <f t="shared" si="138"/>
        <v>0.38286451341465622</v>
      </c>
      <c r="U314" s="47">
        <f t="shared" si="138"/>
        <v>0.41040359621953565</v>
      </c>
      <c r="V314" s="47">
        <f t="shared" si="138"/>
        <v>0.43959502399270783</v>
      </c>
    </row>
    <row r="315" spans="1:22">
      <c r="A315" s="260"/>
    </row>
    <row r="316" spans="1:22">
      <c r="A316" s="260"/>
      <c r="B316" s="407" t="s">
        <v>32</v>
      </c>
      <c r="C316" s="407"/>
      <c r="D316" s="407"/>
      <c r="E316" s="407"/>
      <c r="F316" s="407"/>
      <c r="G316" s="407"/>
      <c r="H316" s="407"/>
      <c r="I316" s="407"/>
      <c r="J316" s="9">
        <f>J$8</f>
        <v>2024</v>
      </c>
      <c r="K316" s="9">
        <f t="shared" ref="K316:V316" si="139">K$8</f>
        <v>2025</v>
      </c>
      <c r="L316" s="9">
        <f t="shared" si="139"/>
        <v>2026</v>
      </c>
      <c r="M316" s="9">
        <f t="shared" si="139"/>
        <v>2027</v>
      </c>
      <c r="N316" s="9">
        <f t="shared" si="139"/>
        <v>2028</v>
      </c>
      <c r="O316" s="9">
        <f t="shared" si="139"/>
        <v>2029</v>
      </c>
      <c r="P316" s="9">
        <f t="shared" si="139"/>
        <v>2030</v>
      </c>
      <c r="Q316" s="9">
        <f t="shared" si="139"/>
        <v>2031</v>
      </c>
      <c r="R316" s="9">
        <f t="shared" si="139"/>
        <v>2032</v>
      </c>
      <c r="S316" s="9">
        <f t="shared" si="139"/>
        <v>2033</v>
      </c>
      <c r="T316" s="9">
        <f t="shared" si="139"/>
        <v>2034</v>
      </c>
      <c r="U316" s="9">
        <f t="shared" si="139"/>
        <v>2035</v>
      </c>
      <c r="V316" s="9">
        <f t="shared" si="139"/>
        <v>2036</v>
      </c>
    </row>
    <row r="317" spans="1:22">
      <c r="A317" s="260"/>
      <c r="B317" s="55" t="s">
        <v>1021</v>
      </c>
      <c r="C317" s="51"/>
      <c r="D317" s="51"/>
      <c r="E317" s="51"/>
      <c r="F317" s="51"/>
      <c r="G317" s="51"/>
      <c r="H317" s="51"/>
      <c r="I317" s="51"/>
      <c r="J317" s="56">
        <f>IFERROR(J302/J300,0)</f>
        <v>0</v>
      </c>
      <c r="K317" s="56">
        <f t="shared" ref="K317:V317" si="140">IFERROR(K302/K300,0)</f>
        <v>0</v>
      </c>
      <c r="L317" s="56">
        <f t="shared" si="140"/>
        <v>0</v>
      </c>
      <c r="M317" s="56">
        <f t="shared" si="140"/>
        <v>0</v>
      </c>
      <c r="N317" s="56">
        <f t="shared" si="140"/>
        <v>1</v>
      </c>
      <c r="O317" s="56">
        <f t="shared" si="140"/>
        <v>1</v>
      </c>
      <c r="P317" s="56">
        <f t="shared" si="140"/>
        <v>1</v>
      </c>
      <c r="Q317" s="56">
        <f t="shared" si="140"/>
        <v>1</v>
      </c>
      <c r="R317" s="56">
        <f t="shared" si="140"/>
        <v>1</v>
      </c>
      <c r="S317" s="56">
        <f t="shared" si="140"/>
        <v>1</v>
      </c>
      <c r="T317" s="56">
        <f t="shared" si="140"/>
        <v>1</v>
      </c>
      <c r="U317" s="56">
        <f t="shared" si="140"/>
        <v>1</v>
      </c>
      <c r="V317" s="56">
        <f t="shared" si="140"/>
        <v>1</v>
      </c>
    </row>
    <row r="318" spans="1:22">
      <c r="A318" s="260"/>
      <c r="B318" s="55" t="s">
        <v>1022</v>
      </c>
      <c r="C318" s="51"/>
      <c r="D318" s="51"/>
      <c r="E318" s="51"/>
      <c r="F318" s="51"/>
      <c r="G318" s="51"/>
      <c r="H318" s="51"/>
      <c r="I318" s="51"/>
      <c r="J318" s="56">
        <f>IFERROR(J305/J300,0)</f>
        <v>0</v>
      </c>
      <c r="K318" s="52">
        <f t="shared" ref="K318:T318" si="141">IFERROR(K308/K302,0)</f>
        <v>0</v>
      </c>
      <c r="L318" s="52">
        <f t="shared" si="141"/>
        <v>0</v>
      </c>
      <c r="M318" s="52">
        <f t="shared" si="141"/>
        <v>0</v>
      </c>
      <c r="N318" s="52">
        <f t="shared" si="141"/>
        <v>0.58967672413793104</v>
      </c>
      <c r="O318" s="52">
        <f t="shared" si="141"/>
        <v>0.60879702194357366</v>
      </c>
      <c r="P318" s="52">
        <f t="shared" si="141"/>
        <v>0.62617911085779421</v>
      </c>
      <c r="Q318" s="52">
        <f t="shared" si="141"/>
        <v>0.64198100987072204</v>
      </c>
      <c r="R318" s="52">
        <f t="shared" si="141"/>
        <v>0.65092548101011527</v>
      </c>
      <c r="S318" s="52">
        <f t="shared" si="141"/>
        <v>0.65936366133029733</v>
      </c>
      <c r="T318" s="52">
        <f t="shared" si="141"/>
        <v>0.66732420880216725</v>
      </c>
      <c r="U318" s="52">
        <f>IFERROR(U308/U302,0)</f>
        <v>0.6748341592473277</v>
      </c>
      <c r="V318" s="52">
        <f>IFERROR(V308/V302,0)</f>
        <v>0.68191901815785627</v>
      </c>
    </row>
    <row r="319" spans="1:22">
      <c r="A319" s="260"/>
      <c r="B319" s="55" t="s">
        <v>990</v>
      </c>
      <c r="C319" s="51"/>
      <c r="D319" s="51"/>
      <c r="E319" s="51"/>
      <c r="F319" s="51"/>
      <c r="G319" s="51"/>
      <c r="H319" s="51"/>
      <c r="I319" s="51"/>
      <c r="J319" s="52">
        <f>IFERROR(J314/J300,0)</f>
        <v>0</v>
      </c>
      <c r="K319" s="52">
        <f t="shared" ref="K319:V319" si="142">IFERROR(K314/K300,0)</f>
        <v>0</v>
      </c>
      <c r="L319" s="52">
        <f t="shared" si="142"/>
        <v>0</v>
      </c>
      <c r="M319" s="52">
        <f t="shared" si="142"/>
        <v>0</v>
      </c>
      <c r="N319" s="52">
        <f t="shared" si="142"/>
        <v>0.45994784482758622</v>
      </c>
      <c r="O319" s="52">
        <f t="shared" si="142"/>
        <v>0.47486167711598753</v>
      </c>
      <c r="P319" s="52">
        <f t="shared" si="142"/>
        <v>0.48841970646907956</v>
      </c>
      <c r="Q319" s="52">
        <f t="shared" si="142"/>
        <v>0.50074518769916321</v>
      </c>
      <c r="R319" s="52">
        <f t="shared" si="142"/>
        <v>0.5077218751878898</v>
      </c>
      <c r="S319" s="52">
        <f t="shared" si="142"/>
        <v>0.51430365583763182</v>
      </c>
      <c r="T319" s="52">
        <f t="shared" si="142"/>
        <v>0.52051288286569053</v>
      </c>
      <c r="U319" s="52">
        <f t="shared" si="142"/>
        <v>0.52637064421291557</v>
      </c>
      <c r="V319" s="52">
        <f t="shared" si="142"/>
        <v>0.53189683416312794</v>
      </c>
    </row>
    <row r="321" spans="2:22" ht="24" thickBot="1">
      <c r="B321" s="14" t="s">
        <v>1036</v>
      </c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</row>
    <row r="322" spans="2:22">
      <c r="B322" s="2" t="s">
        <v>29</v>
      </c>
      <c r="F322" s="6">
        <f>Output_FSL!F37</f>
        <v>1</v>
      </c>
    </row>
    <row r="323" spans="2:22">
      <c r="B323" s="407" t="s">
        <v>623</v>
      </c>
      <c r="I323" s="48">
        <f>SUM(J323:V323)</f>
        <v>706.44361520747429</v>
      </c>
      <c r="J323" s="458">
        <f>Calculation_FSL!J589*$F$322</f>
        <v>22.243500000000001</v>
      </c>
      <c r="K323" s="23">
        <f>Calculation_FSL!K589*$F$322</f>
        <v>22.910805</v>
      </c>
      <c r="L323" s="23">
        <f>Calculation_FSL!L589*$F$322</f>
        <v>34.967927062500003</v>
      </c>
      <c r="M323" s="23">
        <f>Calculation_FSL!M589*$F$322</f>
        <v>44.806464874375003</v>
      </c>
      <c r="N323" s="23">
        <f>Calculation_FSL!N589*$F$322</f>
        <v>49.526879285224446</v>
      </c>
      <c r="O323" s="23">
        <f>Calculation_FSL!O589*$F$322</f>
        <v>54.52458210056961</v>
      </c>
      <c r="P323" s="23">
        <f>Calculation_FSL!P589*$F$322</f>
        <v>59.814056563626792</v>
      </c>
      <c r="Q323" s="23">
        <f>Calculation_FSL!Q589*$F$322</f>
        <v>65.410532896236944</v>
      </c>
      <c r="R323" s="23">
        <f>Calculation_FSL!R589*$F$322</f>
        <v>71.330027850069158</v>
      </c>
      <c r="S323" s="23">
        <f>Calculation_FSL!S589*$F$322</f>
        <v>77.589386431650709</v>
      </c>
      <c r="T323" s="23">
        <f>Calculation_FSL!T589*$F$322</f>
        <v>84.206325924864828</v>
      </c>
      <c r="U323" s="23">
        <f>Calculation_FSL!U589*$F$322</f>
        <v>57.796655450704442</v>
      </c>
      <c r="V323" s="23">
        <f>Calculation_FSL!V589*$F$322</f>
        <v>61.316471767652352</v>
      </c>
    </row>
    <row r="324" spans="2:22">
      <c r="B324" s="407" t="s">
        <v>473</v>
      </c>
      <c r="I324" s="48">
        <f>SUM(J324:V324)</f>
        <v>-158.28181221647085</v>
      </c>
      <c r="J324" s="458">
        <f>-Calculation_FSL!J593*$F$322</f>
        <v>-8.0261410826860775</v>
      </c>
      <c r="K324" s="23">
        <f>-Calculation_FSL!K593*$F$322</f>
        <v>-8.3557264915943001</v>
      </c>
      <c r="L324" s="23">
        <f>-Calculation_FSL!L593*$F$322</f>
        <v>-9.4119430636882591</v>
      </c>
      <c r="M324" s="23">
        <f>-Calculation_FSL!M593*$F$322</f>
        <v>-10.561176925417943</v>
      </c>
      <c r="N324" s="23">
        <f>-Calculation_FSL!N593*$F$322</f>
        <v>-11.206909748880113</v>
      </c>
      <c r="O324" s="23">
        <f>-Calculation_FSL!O593*$F$322</f>
        <v>-11.88586605478376</v>
      </c>
      <c r="P324" s="23">
        <f>-Calculation_FSL!P593*$F$322</f>
        <v>-12.599669717917289</v>
      </c>
      <c r="Q324" s="23">
        <f>-Calculation_FSL!Q593*$F$322</f>
        <v>-13.350024865096492</v>
      </c>
      <c r="R324" s="23">
        <f>-Calculation_FSL!R593*$F$322</f>
        <v>-14.138720000852699</v>
      </c>
      <c r="S324" s="23">
        <f>-Calculation_FSL!S593*$F$322</f>
        <v>-14.967632355585613</v>
      </c>
      <c r="T324" s="23">
        <f>-Calculation_FSL!T593*$F$322</f>
        <v>-15.838732468706866</v>
      </c>
      <c r="U324" s="23">
        <f>-Calculation_FSL!U593*$F$322</f>
        <v>-13.668153307503623</v>
      </c>
      <c r="V324" s="23">
        <f>-Calculation_FSL!V593*$F$322</f>
        <v>-14.271116133757836</v>
      </c>
    </row>
    <row r="325" spans="2:22">
      <c r="B325" s="28" t="s">
        <v>1017</v>
      </c>
      <c r="C325" s="28"/>
      <c r="D325" s="28"/>
      <c r="E325" s="28"/>
      <c r="F325" s="28"/>
      <c r="G325" s="28"/>
      <c r="H325" s="28"/>
      <c r="I325" s="49">
        <f>SUM(J325:V325)</f>
        <v>548.16180299100336</v>
      </c>
      <c r="J325" s="47">
        <f t="shared" ref="J325:V325" si="143">SUM(J323:J324)</f>
        <v>14.217358917313923</v>
      </c>
      <c r="K325" s="47">
        <f t="shared" si="143"/>
        <v>14.5550785084057</v>
      </c>
      <c r="L325" s="47">
        <f t="shared" si="143"/>
        <v>25.555983998811744</v>
      </c>
      <c r="M325" s="47">
        <f t="shared" si="143"/>
        <v>34.245287948957056</v>
      </c>
      <c r="N325" s="47">
        <f t="shared" si="143"/>
        <v>38.319969536344331</v>
      </c>
      <c r="O325" s="47">
        <f t="shared" si="143"/>
        <v>42.638716045785849</v>
      </c>
      <c r="P325" s="47">
        <f t="shared" si="143"/>
        <v>47.214386845709505</v>
      </c>
      <c r="Q325" s="47">
        <f t="shared" si="143"/>
        <v>52.060508031140451</v>
      </c>
      <c r="R325" s="47">
        <f t="shared" si="143"/>
        <v>57.191307849216457</v>
      </c>
      <c r="S325" s="47">
        <f t="shared" si="143"/>
        <v>62.621754076065095</v>
      </c>
      <c r="T325" s="47">
        <f t="shared" si="143"/>
        <v>68.367593456157962</v>
      </c>
      <c r="U325" s="47">
        <f t="shared" si="143"/>
        <v>44.128502143200819</v>
      </c>
      <c r="V325" s="47">
        <f t="shared" si="143"/>
        <v>47.045355633894516</v>
      </c>
    </row>
    <row r="326" spans="2:22">
      <c r="L326" s="1"/>
    </row>
    <row r="327" spans="2:22">
      <c r="B327" t="s">
        <v>852</v>
      </c>
      <c r="I327" s="48">
        <f>SUM(J327:V327)</f>
        <v>-47.517646451144095</v>
      </c>
      <c r="J327" s="23">
        <f>-Calculation_FSL!J686*$F$322</f>
        <v>-3.0717537533632</v>
      </c>
      <c r="K327" s="23">
        <f>-Calculation_FSL!K686*$F$322</f>
        <v>-3.1589970459708727</v>
      </c>
      <c r="L327" s="23">
        <f>-Calculation_FSL!L686*$F$322</f>
        <v>-3.2487703955550709</v>
      </c>
      <c r="M327" s="23">
        <f>-Calculation_FSL!M686*$F$322</f>
        <v>-3.341148342049991</v>
      </c>
      <c r="N327" s="23">
        <f>-Calculation_FSL!N686*$F$322</f>
        <v>-3.4362076477594869</v>
      </c>
      <c r="O327" s="23">
        <f>-Calculation_FSL!O686*$F$322</f>
        <v>-3.5340273642208411</v>
      </c>
      <c r="P327" s="23">
        <f>-Calculation_FSL!P686*$F$322</f>
        <v>-3.6346889010947288</v>
      </c>
      <c r="Q327" s="23">
        <f>-Calculation_FSL!Q686*$F$322</f>
        <v>-3.7382760971431308</v>
      </c>
      <c r="R327" s="23">
        <f>-Calculation_FSL!R686*$F$322</f>
        <v>-3.844875293358879</v>
      </c>
      <c r="S327" s="23">
        <f>-Calculation_FSL!S686*$F$322</f>
        <v>-3.9545754083124058</v>
      </c>
      <c r="T327" s="23">
        <f>-Calculation_FSL!T686*$F$322</f>
        <v>-4.0674680157833558</v>
      </c>
      <c r="U327" s="23">
        <f>-Calculation_FSL!U686*$F$322</f>
        <v>-4.1836474247467281</v>
      </c>
      <c r="V327" s="23">
        <f>-Calculation_FSL!V686*$F$322</f>
        <v>-4.3032107617853992</v>
      </c>
    </row>
    <row r="328" spans="2:22">
      <c r="B328" s="28" t="s">
        <v>139</v>
      </c>
      <c r="C328" s="28"/>
      <c r="D328" s="28"/>
      <c r="E328" s="28"/>
      <c r="F328" s="28"/>
      <c r="G328" s="28"/>
      <c r="H328" s="28"/>
      <c r="I328" s="49">
        <f>SUM(J328:V328)</f>
        <v>500.64415653985935</v>
      </c>
      <c r="J328" s="47">
        <f t="shared" ref="J328:V328" si="144">SUM(J325,J327)</f>
        <v>11.145605163950723</v>
      </c>
      <c r="K328" s="47">
        <f t="shared" si="144"/>
        <v>11.396081462434827</v>
      </c>
      <c r="L328" s="47">
        <f t="shared" si="144"/>
        <v>22.307213603256674</v>
      </c>
      <c r="M328" s="47">
        <f t="shared" si="144"/>
        <v>30.904139606907066</v>
      </c>
      <c r="N328" s="47">
        <f t="shared" si="144"/>
        <v>34.883761888584843</v>
      </c>
      <c r="O328" s="47">
        <f t="shared" si="144"/>
        <v>39.104688681565008</v>
      </c>
      <c r="P328" s="47">
        <f t="shared" si="144"/>
        <v>43.579697944614779</v>
      </c>
      <c r="Q328" s="47">
        <f t="shared" si="144"/>
        <v>48.322231933997323</v>
      </c>
      <c r="R328" s="47">
        <f t="shared" si="144"/>
        <v>53.346432555857575</v>
      </c>
      <c r="S328" s="47">
        <f t="shared" si="144"/>
        <v>58.667178667752687</v>
      </c>
      <c r="T328" s="47">
        <f t="shared" si="144"/>
        <v>64.3001254403746</v>
      </c>
      <c r="U328" s="47">
        <f t="shared" si="144"/>
        <v>39.944854718454089</v>
      </c>
      <c r="V328" s="47">
        <f t="shared" si="144"/>
        <v>42.742144872109115</v>
      </c>
    </row>
    <row r="330" spans="2:22">
      <c r="B330" t="s">
        <v>1018</v>
      </c>
      <c r="I330" s="49">
        <f>SUM(J330:V330)</f>
        <v>-157.36451053357499</v>
      </c>
      <c r="J330" s="23">
        <f>-Calculation_FSL!J609*$F$322</f>
        <v>-5.2339742134300007</v>
      </c>
      <c r="K330" s="23">
        <f>-Calculation_FSL!K609*$F$322</f>
        <v>-5.2339742134300007</v>
      </c>
      <c r="L330" s="23">
        <f>-Calculation_FSL!L609*$F$322</f>
        <v>-15.733312106714997</v>
      </c>
      <c r="M330" s="23">
        <f>-Calculation_FSL!M609*$F$322</f>
        <v>-13.116324999999998</v>
      </c>
      <c r="N330" s="23">
        <f>-Calculation_FSL!N609*$F$322</f>
        <v>-13.116324999999998</v>
      </c>
      <c r="O330" s="23">
        <f>-Calculation_FSL!O609*$F$322</f>
        <v>-13.116324999999998</v>
      </c>
      <c r="P330" s="23">
        <f>-Calculation_FSL!P609*$F$322</f>
        <v>-13.116324999999998</v>
      </c>
      <c r="Q330" s="23">
        <f>-Calculation_FSL!Q609*$F$322</f>
        <v>-13.116324999999998</v>
      </c>
      <c r="R330" s="23">
        <f>-Calculation_FSL!R609*$F$322</f>
        <v>-13.116324999999998</v>
      </c>
      <c r="S330" s="23">
        <f>-Calculation_FSL!S609*$F$322</f>
        <v>-13.116324999999998</v>
      </c>
      <c r="T330" s="23">
        <f>-Calculation_FSL!T609*$F$322</f>
        <v>-13.116324999999998</v>
      </c>
      <c r="U330" s="23">
        <f>-Calculation_FSL!U609*$F$322</f>
        <v>-13.116324999999998</v>
      </c>
      <c r="V330" s="23">
        <f>-Calculation_FSL!V609*$F$322</f>
        <v>-13.116324999999998</v>
      </c>
    </row>
    <row r="331" spans="2:22">
      <c r="B331" s="28" t="s">
        <v>434</v>
      </c>
      <c r="C331" s="28"/>
      <c r="D331" s="28"/>
      <c r="E331" s="28"/>
      <c r="F331" s="28"/>
      <c r="G331" s="28"/>
      <c r="H331" s="28"/>
      <c r="I331" s="49">
        <f>SUM(J331:V331)</f>
        <v>343.27964600628439</v>
      </c>
      <c r="J331" s="47">
        <f t="shared" ref="J331:V331" si="145">SUM(J328,J330)</f>
        <v>5.9116309505207223</v>
      </c>
      <c r="K331" s="460">
        <f t="shared" si="145"/>
        <v>6.1621072490048263</v>
      </c>
      <c r="L331" s="47">
        <f t="shared" si="145"/>
        <v>6.5739014965416764</v>
      </c>
      <c r="M331" s="47">
        <f t="shared" si="145"/>
        <v>17.78781460690707</v>
      </c>
      <c r="N331" s="47">
        <f t="shared" si="145"/>
        <v>21.767436888584847</v>
      </c>
      <c r="O331" s="47">
        <f t="shared" si="145"/>
        <v>25.988363681565012</v>
      </c>
      <c r="P331" s="47">
        <f t="shared" si="145"/>
        <v>30.463372944614783</v>
      </c>
      <c r="Q331" s="47">
        <f t="shared" si="145"/>
        <v>35.205906933997326</v>
      </c>
      <c r="R331" s="47">
        <f t="shared" si="145"/>
        <v>40.230107555857579</v>
      </c>
      <c r="S331" s="47">
        <f t="shared" si="145"/>
        <v>45.550853667752691</v>
      </c>
      <c r="T331" s="47">
        <f t="shared" si="145"/>
        <v>51.183800440374604</v>
      </c>
      <c r="U331" s="47">
        <f t="shared" si="145"/>
        <v>26.828529718454092</v>
      </c>
      <c r="V331" s="47">
        <f t="shared" si="145"/>
        <v>29.625819872109119</v>
      </c>
    </row>
    <row r="332" spans="2:22"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</row>
    <row r="333" spans="2:22">
      <c r="B333" t="s">
        <v>881</v>
      </c>
      <c r="I333" s="48">
        <f>SUM(J333:V333)</f>
        <v>0</v>
      </c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</row>
    <row r="334" spans="2:22">
      <c r="B334" s="28" t="s">
        <v>1019</v>
      </c>
      <c r="C334" s="28"/>
      <c r="D334" s="28"/>
      <c r="E334" s="28"/>
      <c r="F334" s="28"/>
      <c r="G334" s="28"/>
      <c r="H334" s="28"/>
      <c r="I334" s="48">
        <f>SUM(J334:V334)</f>
        <v>343.27964600628439</v>
      </c>
      <c r="J334" s="47">
        <f t="shared" ref="J334:V334" si="146">SUM(J331,J333)</f>
        <v>5.9116309505207223</v>
      </c>
      <c r="K334" s="47">
        <f t="shared" si="146"/>
        <v>6.1621072490048263</v>
      </c>
      <c r="L334" s="47">
        <f t="shared" si="146"/>
        <v>6.5739014965416764</v>
      </c>
      <c r="M334" s="47">
        <f t="shared" si="146"/>
        <v>17.78781460690707</v>
      </c>
      <c r="N334" s="47">
        <f t="shared" si="146"/>
        <v>21.767436888584847</v>
      </c>
      <c r="O334" s="47">
        <f t="shared" si="146"/>
        <v>25.988363681565012</v>
      </c>
      <c r="P334" s="47">
        <f t="shared" si="146"/>
        <v>30.463372944614783</v>
      </c>
      <c r="Q334" s="47">
        <f t="shared" si="146"/>
        <v>35.205906933997326</v>
      </c>
      <c r="R334" s="47">
        <f t="shared" si="146"/>
        <v>40.230107555857579</v>
      </c>
      <c r="S334" s="47">
        <f t="shared" si="146"/>
        <v>45.550853667752691</v>
      </c>
      <c r="T334" s="47">
        <f t="shared" si="146"/>
        <v>51.183800440374604</v>
      </c>
      <c r="U334" s="47">
        <f t="shared" si="146"/>
        <v>26.828529718454092</v>
      </c>
      <c r="V334" s="47">
        <f t="shared" si="146"/>
        <v>29.625819872109119</v>
      </c>
    </row>
    <row r="335" spans="2:22"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</row>
    <row r="336" spans="2:22">
      <c r="B336" t="s">
        <v>759</v>
      </c>
      <c r="I336" s="48">
        <f>SUM(J336:V336)</f>
        <v>-75.52152212138256</v>
      </c>
      <c r="J336" s="23">
        <f>-IF(J334&lt;0,0,J334*22%)</f>
        <v>-1.300558809114559</v>
      </c>
      <c r="K336" s="23">
        <f t="shared" ref="K336:V336" si="147">-IF(K334&lt;0,0,K334*22%)</f>
        <v>-1.3556635947810618</v>
      </c>
      <c r="L336" s="23">
        <f t="shared" si="147"/>
        <v>-1.4462583292391689</v>
      </c>
      <c r="M336" s="23">
        <f t="shared" si="147"/>
        <v>-3.9133192135195554</v>
      </c>
      <c r="N336" s="23">
        <f t="shared" si="147"/>
        <v>-4.7888361154886665</v>
      </c>
      <c r="O336" s="23">
        <f t="shared" si="147"/>
        <v>-5.717440009944303</v>
      </c>
      <c r="P336" s="23">
        <f t="shared" si="147"/>
        <v>-6.701942047815252</v>
      </c>
      <c r="Q336" s="23">
        <f t="shared" si="147"/>
        <v>-7.7452995254794121</v>
      </c>
      <c r="R336" s="23">
        <f t="shared" si="147"/>
        <v>-8.8506236622886671</v>
      </c>
      <c r="S336" s="23">
        <f t="shared" si="147"/>
        <v>-10.021187806905592</v>
      </c>
      <c r="T336" s="23">
        <f t="shared" si="147"/>
        <v>-11.260436096882414</v>
      </c>
      <c r="U336" s="23">
        <f t="shared" si="147"/>
        <v>-5.9022765380599003</v>
      </c>
      <c r="V336" s="23">
        <f t="shared" si="147"/>
        <v>-6.5176803718640066</v>
      </c>
    </row>
    <row r="337" spans="1:22">
      <c r="B337" s="28" t="s">
        <v>1020</v>
      </c>
      <c r="C337" s="28"/>
      <c r="D337" s="28"/>
      <c r="E337" s="28"/>
      <c r="F337" s="28"/>
      <c r="G337" s="28"/>
      <c r="H337" s="28"/>
      <c r="I337" s="48">
        <f>SUM(J337:V337)</f>
        <v>267.75812388490175</v>
      </c>
      <c r="J337" s="47">
        <f t="shared" ref="J337:V337" si="148">SUM(J334,J336)</f>
        <v>4.6110721414061633</v>
      </c>
      <c r="K337" s="47">
        <f t="shared" si="148"/>
        <v>4.8064436542237647</v>
      </c>
      <c r="L337" s="47">
        <f t="shared" si="148"/>
        <v>5.1276431673025078</v>
      </c>
      <c r="M337" s="47">
        <f t="shared" si="148"/>
        <v>13.874495393387514</v>
      </c>
      <c r="N337" s="47">
        <f t="shared" si="148"/>
        <v>16.978600773096179</v>
      </c>
      <c r="O337" s="47">
        <f t="shared" si="148"/>
        <v>20.270923671620707</v>
      </c>
      <c r="P337" s="47">
        <f t="shared" si="148"/>
        <v>23.761430896799531</v>
      </c>
      <c r="Q337" s="47">
        <f t="shared" si="148"/>
        <v>27.460607408517916</v>
      </c>
      <c r="R337" s="47">
        <f t="shared" si="148"/>
        <v>31.37948389356891</v>
      </c>
      <c r="S337" s="47">
        <f t="shared" si="148"/>
        <v>35.529665860847096</v>
      </c>
      <c r="T337" s="47">
        <f t="shared" si="148"/>
        <v>39.923364343492189</v>
      </c>
      <c r="U337" s="47">
        <f t="shared" si="148"/>
        <v>20.926253180394191</v>
      </c>
      <c r="V337" s="47">
        <f t="shared" si="148"/>
        <v>23.108139500245112</v>
      </c>
    </row>
    <row r="339" spans="1:22">
      <c r="B339" s="407" t="s">
        <v>32</v>
      </c>
      <c r="C339" s="407"/>
      <c r="D339" s="407"/>
      <c r="E339" s="407"/>
      <c r="F339" s="407"/>
      <c r="G339" s="407"/>
      <c r="H339" s="407"/>
      <c r="I339" s="407"/>
      <c r="J339" s="9">
        <f>J$8</f>
        <v>2024</v>
      </c>
      <c r="K339" s="9">
        <f t="shared" ref="K339:V339" si="149">K$8</f>
        <v>2025</v>
      </c>
      <c r="L339" s="9">
        <f t="shared" si="149"/>
        <v>2026</v>
      </c>
      <c r="M339" s="9">
        <f t="shared" si="149"/>
        <v>2027</v>
      </c>
      <c r="N339" s="9">
        <f t="shared" si="149"/>
        <v>2028</v>
      </c>
      <c r="O339" s="9">
        <f t="shared" si="149"/>
        <v>2029</v>
      </c>
      <c r="P339" s="9">
        <f t="shared" si="149"/>
        <v>2030</v>
      </c>
      <c r="Q339" s="9">
        <f t="shared" si="149"/>
        <v>2031</v>
      </c>
      <c r="R339" s="9">
        <f t="shared" si="149"/>
        <v>2032</v>
      </c>
      <c r="S339" s="9">
        <f t="shared" si="149"/>
        <v>2033</v>
      </c>
      <c r="T339" s="9">
        <f t="shared" si="149"/>
        <v>2034</v>
      </c>
      <c r="U339" s="9">
        <f t="shared" si="149"/>
        <v>2035</v>
      </c>
      <c r="V339" s="9">
        <f t="shared" si="149"/>
        <v>2036</v>
      </c>
    </row>
    <row r="340" spans="1:22">
      <c r="B340" s="55" t="s">
        <v>1021</v>
      </c>
      <c r="C340" s="51"/>
      <c r="D340" s="51"/>
      <c r="E340" s="51"/>
      <c r="F340" s="51"/>
      <c r="G340" s="51"/>
      <c r="H340" s="51"/>
      <c r="I340" s="51"/>
      <c r="J340" s="56">
        <f>IFERROR(J325/J323,0)</f>
        <v>0.63916914682104542</v>
      </c>
      <c r="K340" s="56">
        <f t="shared" ref="K340:V340" si="150">IFERROR(K325/K323,0)</f>
        <v>0.63529319499710724</v>
      </c>
      <c r="L340" s="56">
        <f t="shared" si="150"/>
        <v>0.73084069161818477</v>
      </c>
      <c r="M340" s="56">
        <f t="shared" si="150"/>
        <v>0.76429345731629172</v>
      </c>
      <c r="N340" s="56">
        <f t="shared" si="150"/>
        <v>0.77372065612412777</v>
      </c>
      <c r="O340" s="56">
        <f t="shared" si="150"/>
        <v>0.78200903891641949</v>
      </c>
      <c r="P340" s="56">
        <f t="shared" si="150"/>
        <v>0.78935269664389884</v>
      </c>
      <c r="Q340" s="56">
        <f t="shared" si="150"/>
        <v>0.79590404979158158</v>
      </c>
      <c r="R340" s="56">
        <f t="shared" si="150"/>
        <v>0.8017844598270546</v>
      </c>
      <c r="S340" s="56">
        <f t="shared" si="150"/>
        <v>0.80709175514913045</v>
      </c>
      <c r="T340" s="56">
        <f t="shared" si="150"/>
        <v>0.81190566985621293</v>
      </c>
      <c r="U340" s="56">
        <f t="shared" si="150"/>
        <v>0.76351307526503198</v>
      </c>
      <c r="V340" s="56">
        <f t="shared" si="150"/>
        <v>0.76725477310834778</v>
      </c>
    </row>
    <row r="341" spans="1:22">
      <c r="B341" s="55" t="s">
        <v>1022</v>
      </c>
      <c r="C341" s="51"/>
      <c r="D341" s="51"/>
      <c r="E341" s="51"/>
      <c r="F341" s="51"/>
      <c r="G341" s="51"/>
      <c r="H341" s="51"/>
      <c r="I341" s="51"/>
      <c r="J341" s="56">
        <f>IFERROR(J328/J323,0)</f>
        <v>0.5010724555016397</v>
      </c>
      <c r="K341" s="52">
        <f t="shared" ref="K341:T341" si="151">IFERROR(K331/K325,0)</f>
        <v>0.42336475515718786</v>
      </c>
      <c r="L341" s="52">
        <f t="shared" si="151"/>
        <v>0.25723531118376575</v>
      </c>
      <c r="M341" s="52">
        <f t="shared" si="151"/>
        <v>0.51942371264099119</v>
      </c>
      <c r="N341" s="52">
        <f t="shared" si="151"/>
        <v>0.5680442117246377</v>
      </c>
      <c r="O341" s="52">
        <f t="shared" si="151"/>
        <v>0.60950155379112414</v>
      </c>
      <c r="P341" s="52">
        <f t="shared" si="151"/>
        <v>0.64521377867651097</v>
      </c>
      <c r="Q341" s="52">
        <f t="shared" si="151"/>
        <v>0.67624977675858644</v>
      </c>
      <c r="R341" s="52">
        <f t="shared" si="151"/>
        <v>0.70343045243734093</v>
      </c>
      <c r="S341" s="52">
        <f t="shared" si="151"/>
        <v>0.72739664258562919</v>
      </c>
      <c r="T341" s="52">
        <f t="shared" si="151"/>
        <v>0.74865587411961787</v>
      </c>
      <c r="U341" s="52">
        <f>IFERROR(U331/U325,0)</f>
        <v>0.60796375166764516</v>
      </c>
      <c r="V341" s="52">
        <f>IFERROR(V331/V325,0)</f>
        <v>0.62972889614559024</v>
      </c>
    </row>
    <row r="342" spans="1:22">
      <c r="B342" s="55" t="s">
        <v>990</v>
      </c>
      <c r="C342" s="51"/>
      <c r="D342" s="51"/>
      <c r="E342" s="51"/>
      <c r="F342" s="51"/>
      <c r="G342" s="51"/>
      <c r="H342" s="51"/>
      <c r="I342" s="51"/>
      <c r="J342" s="52">
        <f>IFERROR(J337/J323,0)</f>
        <v>0.20729975684609719</v>
      </c>
      <c r="K342" s="52">
        <f t="shared" ref="K342:V342" si="152">IFERROR(K337/K323,0)</f>
        <v>0.20978938340332279</v>
      </c>
      <c r="L342" s="52">
        <f t="shared" si="152"/>
        <v>0.14663846553264662</v>
      </c>
      <c r="M342" s="52">
        <f t="shared" si="152"/>
        <v>0.30965387321422883</v>
      </c>
      <c r="N342" s="52">
        <f t="shared" si="152"/>
        <v>0.34281588135841773</v>
      </c>
      <c r="O342" s="52">
        <f t="shared" si="152"/>
        <v>0.37177586495264381</v>
      </c>
      <c r="P342" s="52">
        <f t="shared" si="152"/>
        <v>0.39725496416588085</v>
      </c>
      <c r="Q342" s="52">
        <f t="shared" si="152"/>
        <v>0.4198193500743933</v>
      </c>
      <c r="R342" s="52">
        <f t="shared" si="152"/>
        <v>0.43991969216003168</v>
      </c>
      <c r="S342" s="52">
        <f t="shared" si="152"/>
        <v>0.45791914970413572</v>
      </c>
      <c r="T342" s="52">
        <f t="shared" si="152"/>
        <v>0.47411360019572396</v>
      </c>
      <c r="U342" s="52">
        <f t="shared" si="152"/>
        <v>0.36206685347463535</v>
      </c>
      <c r="V342" s="52">
        <f t="shared" si="152"/>
        <v>0.37686675103892497</v>
      </c>
    </row>
    <row r="344" spans="1:22" ht="24" thickBot="1">
      <c r="A344" s="260"/>
      <c r="B344" s="14" t="s">
        <v>1037</v>
      </c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</row>
    <row r="345" spans="1:22">
      <c r="A345" s="260"/>
      <c r="B345" s="2" t="s">
        <v>29</v>
      </c>
      <c r="F345" s="6">
        <f>Output_FSL!$F$36</f>
        <v>1</v>
      </c>
    </row>
    <row r="346" spans="1:22">
      <c r="A346" s="260"/>
      <c r="B346" s="407" t="s">
        <v>623</v>
      </c>
      <c r="I346" s="48">
        <f>SUM(J346:V346)</f>
        <v>5.167342309959011</v>
      </c>
      <c r="J346" s="23">
        <f>Calculation_FSL!J711*$F$345</f>
        <v>0</v>
      </c>
      <c r="K346" s="23">
        <f>Calculation_FSL!K711*$F$345</f>
        <v>0</v>
      </c>
      <c r="L346" s="23">
        <f>Calculation_FSL!L711*$F$345</f>
        <v>0</v>
      </c>
      <c r="M346" s="23">
        <f>Calculation_FSL!M711*$F$345</f>
        <v>0.4507498875</v>
      </c>
      <c r="N346" s="23">
        <f>Calculation_FSL!N711*$F$345</f>
        <v>0.46427238412500005</v>
      </c>
      <c r="O346" s="23">
        <f>Calculation_FSL!O711*$F$345</f>
        <v>0.47820055564875008</v>
      </c>
      <c r="P346" s="23">
        <f>Calculation_FSL!P711*$F$345</f>
        <v>0.49254657231821258</v>
      </c>
      <c r="Q346" s="23">
        <f>Calculation_FSL!Q711*$F$345</f>
        <v>0.5073229694877589</v>
      </c>
      <c r="R346" s="23">
        <f>Calculation_FSL!R711*$F$345</f>
        <v>0.52254265857239179</v>
      </c>
      <c r="S346" s="23">
        <f>Calculation_FSL!S711*$F$345</f>
        <v>0.53821893832956347</v>
      </c>
      <c r="T346" s="23">
        <f>Calculation_FSL!T711*$F$345</f>
        <v>0.55436550647945038</v>
      </c>
      <c r="U346" s="23">
        <f>Calculation_FSL!U711*$F$345</f>
        <v>0.57099647167383394</v>
      </c>
      <c r="V346" s="23">
        <f>Calculation_FSL!V711*$F$345</f>
        <v>0.58812636582404898</v>
      </c>
    </row>
    <row r="347" spans="1:22">
      <c r="A347" s="260"/>
      <c r="B347" s="407" t="s">
        <v>473</v>
      </c>
      <c r="H347" s="21" t="e">
        <f>L347/L346</f>
        <v>#DIV/0!</v>
      </c>
      <c r="I347" s="48">
        <f>SUM(J347:V347)</f>
        <v>0</v>
      </c>
      <c r="J347" s="276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</row>
    <row r="348" spans="1:22">
      <c r="A348" s="260"/>
      <c r="B348" s="28" t="s">
        <v>1017</v>
      </c>
      <c r="C348" s="28"/>
      <c r="D348" s="28"/>
      <c r="E348" s="28"/>
      <c r="F348" s="28"/>
      <c r="G348" s="28"/>
      <c r="H348" s="28"/>
      <c r="I348" s="49">
        <f>SUM(J348:V348)</f>
        <v>5.167342309959011</v>
      </c>
      <c r="J348" s="47">
        <f t="shared" ref="J348:V348" si="153">SUM(J346:J347)</f>
        <v>0</v>
      </c>
      <c r="K348" s="47">
        <f t="shared" si="153"/>
        <v>0</v>
      </c>
      <c r="L348" s="47">
        <f t="shared" si="153"/>
        <v>0</v>
      </c>
      <c r="M348" s="47">
        <f t="shared" si="153"/>
        <v>0.4507498875</v>
      </c>
      <c r="N348" s="47">
        <f t="shared" si="153"/>
        <v>0.46427238412500005</v>
      </c>
      <c r="O348" s="47">
        <f t="shared" si="153"/>
        <v>0.47820055564875008</v>
      </c>
      <c r="P348" s="47">
        <f t="shared" si="153"/>
        <v>0.49254657231821258</v>
      </c>
      <c r="Q348" s="47">
        <f t="shared" si="153"/>
        <v>0.5073229694877589</v>
      </c>
      <c r="R348" s="47">
        <f t="shared" si="153"/>
        <v>0.52254265857239179</v>
      </c>
      <c r="S348" s="47">
        <f t="shared" si="153"/>
        <v>0.53821893832956347</v>
      </c>
      <c r="T348" s="47">
        <f t="shared" si="153"/>
        <v>0.55436550647945038</v>
      </c>
      <c r="U348" s="47">
        <f t="shared" si="153"/>
        <v>0.57099647167383394</v>
      </c>
      <c r="V348" s="47">
        <f t="shared" si="153"/>
        <v>0.58812636582404898</v>
      </c>
    </row>
    <row r="349" spans="1:22">
      <c r="A349" s="260"/>
      <c r="L349" s="1"/>
    </row>
    <row r="350" spans="1:22">
      <c r="A350" s="260"/>
      <c r="B350" t="s">
        <v>852</v>
      </c>
      <c r="I350" s="48">
        <f>SUM(J350:V350)</f>
        <v>-1.0334684619918022</v>
      </c>
      <c r="J350">
        <f>-Calculation_FSL!J716*$F$345</f>
        <v>0</v>
      </c>
      <c r="K350">
        <f>-Calculation_FSL!K716*$F$345</f>
        <v>0</v>
      </c>
      <c r="L350">
        <f>-Calculation_FSL!L716*$F$345</f>
        <v>0</v>
      </c>
      <c r="M350">
        <f>-Calculation_FSL!M716*$F$345</f>
        <v>-9.0149977500000006E-2</v>
      </c>
      <c r="N350">
        <f>-Calculation_FSL!N716*$F$345</f>
        <v>-9.2854476825000018E-2</v>
      </c>
      <c r="O350">
        <f>-Calculation_FSL!O716*$F$345</f>
        <v>-9.5640111129750016E-2</v>
      </c>
      <c r="P350">
        <f>-Calculation_FSL!P716*$F$345</f>
        <v>-9.8509314463642528E-2</v>
      </c>
      <c r="Q350">
        <f>-Calculation_FSL!Q716*$F$345</f>
        <v>-0.10146459389755179</v>
      </c>
      <c r="R350">
        <f>-Calculation_FSL!R716*$F$345</f>
        <v>-0.10450853171447837</v>
      </c>
      <c r="S350">
        <f>-Calculation_FSL!S716*$F$345</f>
        <v>-0.1076437876659127</v>
      </c>
      <c r="T350">
        <f>-Calculation_FSL!T716*$F$345</f>
        <v>-0.11087310129589008</v>
      </c>
      <c r="U350">
        <f>-Calculation_FSL!U716*$F$345</f>
        <v>-0.11419929433476679</v>
      </c>
      <c r="V350">
        <f>-Calculation_FSL!V716*$F$345</f>
        <v>-0.11762527316480981</v>
      </c>
    </row>
    <row r="351" spans="1:22">
      <c r="A351" s="260"/>
      <c r="B351" s="28" t="s">
        <v>139</v>
      </c>
      <c r="C351" s="28"/>
      <c r="D351" s="28"/>
      <c r="E351" s="28"/>
      <c r="F351" s="28"/>
      <c r="G351" s="28"/>
      <c r="H351" s="28"/>
      <c r="I351" s="49">
        <f>SUM(J351:V351)</f>
        <v>4.1338738479672088</v>
      </c>
      <c r="J351" s="47">
        <f t="shared" ref="J351:V351" si="154">SUM(J348,J350)</f>
        <v>0</v>
      </c>
      <c r="K351" s="47">
        <f t="shared" si="154"/>
        <v>0</v>
      </c>
      <c r="L351" s="47">
        <f t="shared" si="154"/>
        <v>0</v>
      </c>
      <c r="M351" s="47">
        <f t="shared" si="154"/>
        <v>0.36059991000000002</v>
      </c>
      <c r="N351" s="47">
        <f t="shared" si="154"/>
        <v>0.37141790730000002</v>
      </c>
      <c r="O351" s="47">
        <f t="shared" si="154"/>
        <v>0.38256044451900006</v>
      </c>
      <c r="P351" s="47">
        <f t="shared" si="154"/>
        <v>0.39403725785457006</v>
      </c>
      <c r="Q351" s="47">
        <f t="shared" si="154"/>
        <v>0.4058583755902071</v>
      </c>
      <c r="R351" s="47">
        <f t="shared" si="154"/>
        <v>0.41803412685791341</v>
      </c>
      <c r="S351" s="47">
        <f t="shared" si="154"/>
        <v>0.43057515066365076</v>
      </c>
      <c r="T351" s="47">
        <f t="shared" si="154"/>
        <v>0.44349240518356031</v>
      </c>
      <c r="U351" s="47">
        <f t="shared" si="154"/>
        <v>0.45679717733906716</v>
      </c>
      <c r="V351" s="47">
        <f t="shared" si="154"/>
        <v>0.47050109265923917</v>
      </c>
    </row>
    <row r="352" spans="1:22">
      <c r="A352" s="260"/>
    </row>
    <row r="353" spans="1:22">
      <c r="A353" s="260"/>
      <c r="B353" t="s">
        <v>1018</v>
      </c>
      <c r="I353" s="49">
        <f>SUM(J353:V353)</f>
        <v>-1.3012000000000001</v>
      </c>
      <c r="J353" s="23">
        <f>-Calculation_FSL!J721*$F$345</f>
        <v>0</v>
      </c>
      <c r="K353" s="23">
        <f>-Calculation_FSL!K721*$F$345</f>
        <v>0</v>
      </c>
      <c r="L353" s="23">
        <f>-Calculation_FSL!L721*$F$345</f>
        <v>0</v>
      </c>
      <c r="M353" s="23">
        <f>-Calculation_FSL!M721*$F$345</f>
        <v>-0.13012000000000001</v>
      </c>
      <c r="N353" s="23">
        <f>-Calculation_FSL!N721*$F$345</f>
        <v>-0.13012000000000001</v>
      </c>
      <c r="O353" s="23">
        <f>-Calculation_FSL!O721*$F$345</f>
        <v>-0.13012000000000001</v>
      </c>
      <c r="P353" s="23">
        <f>-Calculation_FSL!P721*$F$345</f>
        <v>-0.13012000000000001</v>
      </c>
      <c r="Q353" s="23">
        <f>-Calculation_FSL!Q721*$F$345</f>
        <v>-0.13012000000000001</v>
      </c>
      <c r="R353" s="23">
        <f>-Calculation_FSL!R721*$F$345</f>
        <v>-0.13012000000000001</v>
      </c>
      <c r="S353" s="23">
        <f>-Calculation_FSL!S721*$F$345</f>
        <v>-0.13012000000000001</v>
      </c>
      <c r="T353" s="23">
        <f>-Calculation_FSL!T721*$F$345</f>
        <v>-0.13012000000000001</v>
      </c>
      <c r="U353" s="23">
        <f>-Calculation_FSL!U721*$F$345</f>
        <v>-0.13012000000000001</v>
      </c>
      <c r="V353" s="23">
        <f>-Calculation_FSL!V721*$F$345</f>
        <v>-0.13012000000000001</v>
      </c>
    </row>
    <row r="354" spans="1:22">
      <c r="A354" s="260"/>
      <c r="B354" s="28" t="s">
        <v>434</v>
      </c>
      <c r="C354" s="28"/>
      <c r="D354" s="28"/>
      <c r="E354" s="28"/>
      <c r="F354" s="28"/>
      <c r="G354" s="28"/>
      <c r="H354" s="28"/>
      <c r="I354" s="49">
        <f>SUM(J354:V354)</f>
        <v>2.8326738479672078</v>
      </c>
      <c r="J354" s="47">
        <f t="shared" ref="J354:V354" si="155">SUM(J351,J353)</f>
        <v>0</v>
      </c>
      <c r="K354" s="47">
        <f t="shared" si="155"/>
        <v>0</v>
      </c>
      <c r="L354" s="47">
        <f t="shared" si="155"/>
        <v>0</v>
      </c>
      <c r="M354" s="47">
        <f t="shared" si="155"/>
        <v>0.23047991000000001</v>
      </c>
      <c r="N354" s="47">
        <f t="shared" si="155"/>
        <v>0.2412979073</v>
      </c>
      <c r="O354" s="47">
        <f t="shared" si="155"/>
        <v>0.25244044451900005</v>
      </c>
      <c r="P354" s="47">
        <f t="shared" si="155"/>
        <v>0.26391725785457004</v>
      </c>
      <c r="Q354" s="47">
        <f t="shared" si="155"/>
        <v>0.27573837559020709</v>
      </c>
      <c r="R354" s="47">
        <f t="shared" si="155"/>
        <v>0.2879141268579134</v>
      </c>
      <c r="S354" s="47">
        <f t="shared" si="155"/>
        <v>0.30045515066365075</v>
      </c>
      <c r="T354" s="47">
        <f t="shared" si="155"/>
        <v>0.3133724051835603</v>
      </c>
      <c r="U354" s="47">
        <f t="shared" si="155"/>
        <v>0.32667717733906715</v>
      </c>
      <c r="V354" s="47">
        <f t="shared" si="155"/>
        <v>0.34038109265923916</v>
      </c>
    </row>
    <row r="355" spans="1:22">
      <c r="A355" s="260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</row>
    <row r="356" spans="1:22">
      <c r="A356" s="260"/>
      <c r="B356" t="s">
        <v>881</v>
      </c>
      <c r="I356" s="48">
        <f>SUM(J356:V356)</f>
        <v>0</v>
      </c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</row>
    <row r="357" spans="1:22">
      <c r="A357" s="260"/>
      <c r="B357" s="28" t="s">
        <v>1019</v>
      </c>
      <c r="C357" s="28"/>
      <c r="D357" s="28"/>
      <c r="E357" s="28"/>
      <c r="F357" s="28"/>
      <c r="G357" s="28"/>
      <c r="H357" s="28"/>
      <c r="I357" s="48">
        <f>SUM(J357:V357)</f>
        <v>2.8326738479672078</v>
      </c>
      <c r="J357" s="47">
        <f t="shared" ref="J357:V357" si="156">SUM(J354,J356)</f>
        <v>0</v>
      </c>
      <c r="K357" s="47">
        <f t="shared" si="156"/>
        <v>0</v>
      </c>
      <c r="L357" s="47">
        <f t="shared" si="156"/>
        <v>0</v>
      </c>
      <c r="M357" s="47">
        <f t="shared" si="156"/>
        <v>0.23047991000000001</v>
      </c>
      <c r="N357" s="47">
        <f t="shared" si="156"/>
        <v>0.2412979073</v>
      </c>
      <c r="O357" s="47">
        <f t="shared" si="156"/>
        <v>0.25244044451900005</v>
      </c>
      <c r="P357" s="47">
        <f t="shared" si="156"/>
        <v>0.26391725785457004</v>
      </c>
      <c r="Q357" s="47">
        <f t="shared" si="156"/>
        <v>0.27573837559020709</v>
      </c>
      <c r="R357" s="47">
        <f t="shared" si="156"/>
        <v>0.2879141268579134</v>
      </c>
      <c r="S357" s="47">
        <f t="shared" si="156"/>
        <v>0.30045515066365075</v>
      </c>
      <c r="T357" s="47">
        <f t="shared" si="156"/>
        <v>0.3133724051835603</v>
      </c>
      <c r="U357" s="47">
        <f t="shared" si="156"/>
        <v>0.32667717733906715</v>
      </c>
      <c r="V357" s="47">
        <f t="shared" si="156"/>
        <v>0.34038109265923916</v>
      </c>
    </row>
    <row r="358" spans="1:22">
      <c r="A358" s="260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</row>
    <row r="359" spans="1:22">
      <c r="A359" s="260"/>
      <c r="B359" t="s">
        <v>759</v>
      </c>
      <c r="I359" s="48">
        <f>SUM(J359:V359)</f>
        <v>-0.62318824655278571</v>
      </c>
      <c r="J359" s="23">
        <f>-IF(J357&lt;0,0,J357*22%)</f>
        <v>0</v>
      </c>
      <c r="K359" s="23">
        <f t="shared" ref="K359:V359" si="157">-IF(K357&lt;0,0,K357*22%)</f>
        <v>0</v>
      </c>
      <c r="L359" s="23">
        <f t="shared" si="157"/>
        <v>0</v>
      </c>
      <c r="M359" s="23">
        <f t="shared" si="157"/>
        <v>-5.0705580200000003E-2</v>
      </c>
      <c r="N359" s="23">
        <f t="shared" si="157"/>
        <v>-5.3085539606000001E-2</v>
      </c>
      <c r="O359" s="23">
        <f t="shared" si="157"/>
        <v>-5.5536897794180008E-2</v>
      </c>
      <c r="P359" s="23">
        <f t="shared" si="157"/>
        <v>-5.8061796728005412E-2</v>
      </c>
      <c r="Q359" s="23">
        <f t="shared" si="157"/>
        <v>-6.0662442629845562E-2</v>
      </c>
      <c r="R359" s="23">
        <f t="shared" si="157"/>
        <v>-6.3341107908740951E-2</v>
      </c>
      <c r="S359" s="23">
        <f t="shared" si="157"/>
        <v>-6.6100133146003159E-2</v>
      </c>
      <c r="T359" s="23">
        <f t="shared" si="157"/>
        <v>-6.894192914038326E-2</v>
      </c>
      <c r="U359" s="23">
        <f t="shared" si="157"/>
        <v>-7.1868979014594769E-2</v>
      </c>
      <c r="V359" s="23">
        <f t="shared" si="157"/>
        <v>-7.488384038503261E-2</v>
      </c>
    </row>
    <row r="360" spans="1:22">
      <c r="A360" s="260"/>
      <c r="B360" s="28" t="s">
        <v>1020</v>
      </c>
      <c r="C360" s="28"/>
      <c r="D360" s="28"/>
      <c r="E360" s="28"/>
      <c r="F360" s="28"/>
      <c r="G360" s="28"/>
      <c r="H360" s="28"/>
      <c r="I360" s="48">
        <f>SUM(J360:V360)</f>
        <v>2.2094856014144222</v>
      </c>
      <c r="J360" s="47">
        <f t="shared" ref="J360:V360" si="158">SUM(J357,J359)</f>
        <v>0</v>
      </c>
      <c r="K360" s="47">
        <f t="shared" si="158"/>
        <v>0</v>
      </c>
      <c r="L360" s="47">
        <f t="shared" si="158"/>
        <v>0</v>
      </c>
      <c r="M360" s="47">
        <f t="shared" si="158"/>
        <v>0.17977432980000002</v>
      </c>
      <c r="N360" s="47">
        <f t="shared" si="158"/>
        <v>0.18821236769400002</v>
      </c>
      <c r="O360" s="47">
        <f t="shared" si="158"/>
        <v>0.19690354672482005</v>
      </c>
      <c r="P360" s="47">
        <f t="shared" si="158"/>
        <v>0.20585546112656464</v>
      </c>
      <c r="Q360" s="47">
        <f t="shared" si="158"/>
        <v>0.21507593296036154</v>
      </c>
      <c r="R360" s="47">
        <f t="shared" si="158"/>
        <v>0.22457301894917245</v>
      </c>
      <c r="S360" s="47">
        <f t="shared" si="158"/>
        <v>0.23435501751764759</v>
      </c>
      <c r="T360" s="47">
        <f t="shared" si="158"/>
        <v>0.24443047604317703</v>
      </c>
      <c r="U360" s="47">
        <f t="shared" si="158"/>
        <v>0.25480819832447238</v>
      </c>
      <c r="V360" s="47">
        <f t="shared" si="158"/>
        <v>0.26549725227420656</v>
      </c>
    </row>
    <row r="361" spans="1:22">
      <c r="A361" s="260"/>
    </row>
    <row r="362" spans="1:22">
      <c r="A362" s="260"/>
      <c r="B362" s="407" t="s">
        <v>32</v>
      </c>
      <c r="C362" s="407"/>
      <c r="D362" s="407"/>
      <c r="E362" s="407"/>
      <c r="F362" s="407"/>
      <c r="G362" s="407"/>
      <c r="H362" s="407"/>
      <c r="I362" s="407"/>
      <c r="J362" s="9">
        <f>J$8</f>
        <v>2024</v>
      </c>
      <c r="K362" s="9">
        <f t="shared" ref="K362:V362" si="159">K$8</f>
        <v>2025</v>
      </c>
      <c r="L362" s="9">
        <f t="shared" si="159"/>
        <v>2026</v>
      </c>
      <c r="M362" s="9">
        <f t="shared" si="159"/>
        <v>2027</v>
      </c>
      <c r="N362" s="9">
        <f t="shared" si="159"/>
        <v>2028</v>
      </c>
      <c r="O362" s="9">
        <f t="shared" si="159"/>
        <v>2029</v>
      </c>
      <c r="P362" s="9">
        <f t="shared" si="159"/>
        <v>2030</v>
      </c>
      <c r="Q362" s="9">
        <f t="shared" si="159"/>
        <v>2031</v>
      </c>
      <c r="R362" s="9">
        <f t="shared" si="159"/>
        <v>2032</v>
      </c>
      <c r="S362" s="9">
        <f t="shared" si="159"/>
        <v>2033</v>
      </c>
      <c r="T362" s="9">
        <f t="shared" si="159"/>
        <v>2034</v>
      </c>
      <c r="U362" s="9">
        <f t="shared" si="159"/>
        <v>2035</v>
      </c>
      <c r="V362" s="9">
        <f t="shared" si="159"/>
        <v>2036</v>
      </c>
    </row>
    <row r="363" spans="1:22">
      <c r="A363" s="260"/>
      <c r="B363" s="55" t="s">
        <v>1021</v>
      </c>
      <c r="C363" s="51"/>
      <c r="D363" s="51"/>
      <c r="E363" s="51"/>
      <c r="F363" s="51"/>
      <c r="G363" s="51"/>
      <c r="H363" s="51"/>
      <c r="I363" s="51"/>
      <c r="J363" s="56">
        <f>IFERROR(J348/J346,0)</f>
        <v>0</v>
      </c>
      <c r="K363" s="56">
        <f t="shared" ref="K363:V363" si="160">IFERROR(K348/K346,0)</f>
        <v>0</v>
      </c>
      <c r="L363" s="56">
        <f t="shared" si="160"/>
        <v>0</v>
      </c>
      <c r="M363" s="56">
        <f t="shared" si="160"/>
        <v>1</v>
      </c>
      <c r="N363" s="56">
        <f t="shared" si="160"/>
        <v>1</v>
      </c>
      <c r="O363" s="56">
        <f t="shared" si="160"/>
        <v>1</v>
      </c>
      <c r="P363" s="56">
        <f t="shared" si="160"/>
        <v>1</v>
      </c>
      <c r="Q363" s="56">
        <f t="shared" si="160"/>
        <v>1</v>
      </c>
      <c r="R363" s="56">
        <f t="shared" si="160"/>
        <v>1</v>
      </c>
      <c r="S363" s="56">
        <f t="shared" si="160"/>
        <v>1</v>
      </c>
      <c r="T363" s="56">
        <f t="shared" si="160"/>
        <v>1</v>
      </c>
      <c r="U363" s="56">
        <f t="shared" si="160"/>
        <v>1</v>
      </c>
      <c r="V363" s="56">
        <f t="shared" si="160"/>
        <v>1</v>
      </c>
    </row>
    <row r="364" spans="1:22">
      <c r="A364" s="260"/>
      <c r="B364" s="55" t="s">
        <v>1022</v>
      </c>
      <c r="C364" s="51"/>
      <c r="D364" s="51"/>
      <c r="E364" s="51"/>
      <c r="F364" s="51"/>
      <c r="G364" s="51"/>
      <c r="H364" s="51"/>
      <c r="I364" s="51"/>
      <c r="J364" s="56">
        <f>IFERROR(J351/J346,0)</f>
        <v>0</v>
      </c>
      <c r="K364" s="52">
        <f t="shared" ref="K364:T364" si="161">IFERROR(K354/K348,0)</f>
        <v>0</v>
      </c>
      <c r="L364" s="52">
        <f t="shared" si="161"/>
        <v>0</v>
      </c>
      <c r="M364" s="52">
        <f t="shared" si="161"/>
        <v>0.51132549644840453</v>
      </c>
      <c r="N364" s="52">
        <f t="shared" si="161"/>
        <v>0.51973349169748007</v>
      </c>
      <c r="O364" s="52">
        <f t="shared" si="161"/>
        <v>0.5278965938810487</v>
      </c>
      <c r="P364" s="52">
        <f t="shared" si="161"/>
        <v>0.53582193580684334</v>
      </c>
      <c r="Q364" s="52">
        <f t="shared" si="161"/>
        <v>0.5435164425309158</v>
      </c>
      <c r="R364" s="52">
        <f t="shared" si="161"/>
        <v>0.55098683740865617</v>
      </c>
      <c r="S364" s="52">
        <f t="shared" si="161"/>
        <v>0.55823964796956915</v>
      </c>
      <c r="T364" s="52">
        <f t="shared" si="161"/>
        <v>0.56528121162094092</v>
      </c>
      <c r="U364" s="52">
        <f>IFERROR(U354/U348,0)</f>
        <v>0.57211768118537953</v>
      </c>
      <c r="V364" s="52">
        <f>IFERROR(V354/V348,0)</f>
        <v>0.57875503027706754</v>
      </c>
    </row>
    <row r="365" spans="1:22">
      <c r="A365" s="260"/>
      <c r="B365" s="55" t="s">
        <v>990</v>
      </c>
      <c r="C365" s="51"/>
      <c r="D365" s="51"/>
      <c r="E365" s="51"/>
      <c r="F365" s="51"/>
      <c r="G365" s="51"/>
      <c r="H365" s="51"/>
      <c r="I365" s="51"/>
      <c r="J365" s="52">
        <f>IFERROR(J360/J346,0)</f>
        <v>0</v>
      </c>
      <c r="K365" s="52">
        <f t="shared" ref="K365:V365" si="162">IFERROR(K360/K346,0)</f>
        <v>0</v>
      </c>
      <c r="L365" s="52">
        <f t="shared" si="162"/>
        <v>0</v>
      </c>
      <c r="M365" s="52">
        <f t="shared" si="162"/>
        <v>0.3988338872297556</v>
      </c>
      <c r="N365" s="52">
        <f t="shared" si="162"/>
        <v>0.40539212352403453</v>
      </c>
      <c r="O365" s="52">
        <f t="shared" si="162"/>
        <v>0.41175934322721802</v>
      </c>
      <c r="P365" s="52">
        <f t="shared" si="162"/>
        <v>0.41794110992933786</v>
      </c>
      <c r="Q365" s="52">
        <f t="shared" si="162"/>
        <v>0.42394282517411436</v>
      </c>
      <c r="R365" s="52">
        <f t="shared" si="162"/>
        <v>0.42976973317875183</v>
      </c>
      <c r="S365" s="52">
        <f t="shared" si="162"/>
        <v>0.43542692541626393</v>
      </c>
      <c r="T365" s="52">
        <f t="shared" si="162"/>
        <v>0.44091934506433395</v>
      </c>
      <c r="U365" s="52">
        <f t="shared" si="162"/>
        <v>0.44625179132459608</v>
      </c>
      <c r="V365" s="52">
        <f t="shared" si="162"/>
        <v>0.4514289236161127</v>
      </c>
    </row>
    <row r="367" spans="1:22" ht="24" thickBot="1">
      <c r="B367" s="14" t="s">
        <v>1038</v>
      </c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</row>
    <row r="368" spans="1:22">
      <c r="B368" s="2" t="s">
        <v>29</v>
      </c>
      <c r="F368" s="6">
        <f>Output_FSL!$F$39</f>
        <v>1</v>
      </c>
    </row>
    <row r="369" spans="2:22">
      <c r="B369" s="407" t="s">
        <v>623</v>
      </c>
      <c r="I369" s="48">
        <f>SUM(J369:V369)</f>
        <v>175.75534867592827</v>
      </c>
      <c r="J369" s="23">
        <f>Calculation_FSL!J761*$F$368</f>
        <v>44.658039417583623</v>
      </c>
      <c r="K369" s="23">
        <f>Calculation_FSL!K761*$F$368</f>
        <v>18.700336705089001</v>
      </c>
      <c r="L369" s="23">
        <f>Calculation_FSL!L761*$F$368</f>
        <v>6.8439630915925038</v>
      </c>
      <c r="M369" s="23">
        <f>Calculation_FSL!M761*$F$368</f>
        <v>7.4017460835572937</v>
      </c>
      <c r="N369" s="23">
        <f>Calculation_FSL!N761*$F$368</f>
        <v>8.0049883893672149</v>
      </c>
      <c r="O369" s="23">
        <f>Calculation_FSL!O761*$F$368</f>
        <v>8.6573949431006429</v>
      </c>
      <c r="P369" s="23">
        <f>Calculation_FSL!P761*$F$368</f>
        <v>9.362972630963343</v>
      </c>
      <c r="Q369" s="23">
        <f>Calculation_FSL!Q761*$F$368</f>
        <v>10.126054900386858</v>
      </c>
      <c r="R369" s="23">
        <f>Calculation_FSL!R761*$F$368</f>
        <v>10.951328374768385</v>
      </c>
      <c r="S369" s="23">
        <f>Calculation_FSL!S761*$F$368</f>
        <v>11.843861637312008</v>
      </c>
      <c r="T369" s="23">
        <f>Calculation_FSL!T761*$F$368</f>
        <v>12.43605471917761</v>
      </c>
      <c r="U369" s="23">
        <f>Calculation_FSL!U761*$F$368</f>
        <v>13.057857455136492</v>
      </c>
      <c r="V369" s="23">
        <f>Calculation_FSL!V761*$F$368</f>
        <v>13.710750327893317</v>
      </c>
    </row>
    <row r="370" spans="2:22">
      <c r="B370" s="407" t="s">
        <v>473</v>
      </c>
      <c r="I370" s="48">
        <f>SUM(J370:V370)</f>
        <v>-135.27798631029628</v>
      </c>
      <c r="J370" s="23">
        <f>-Calculation_FSL!J763*$F$368</f>
        <v>-40.67990640324463</v>
      </c>
      <c r="K370" s="23">
        <f>-Calculation_FSL!K763*$F$368</f>
        <v>-16.335173179825247</v>
      </c>
      <c r="L370" s="53">
        <f>-Calculation_FSL!L763*$F$368</f>
        <v>-5.3338832152850069</v>
      </c>
      <c r="M370" s="23">
        <f>-Calculation_FSL!M763*$F$368</f>
        <v>-5.6362720836622877</v>
      </c>
      <c r="N370" s="23">
        <f>-Calculation_FSL!N763*$F$368</f>
        <v>-5.9586900444228945</v>
      </c>
      <c r="O370" s="23">
        <f>-Calculation_FSL!O763*$F$368</f>
        <v>-6.302608079493325</v>
      </c>
      <c r="P370" s="23">
        <f>-Calculation_FSL!P763*$F$368</f>
        <v>-6.6696114087776071</v>
      </c>
      <c r="Q370" s="23">
        <f>-Calculation_FSL!Q763*$F$368</f>
        <v>-7.0614086029214098</v>
      </c>
      <c r="R370" s="23">
        <f>-Calculation_FSL!R763*$F$368</f>
        <v>-7.4798414318495334</v>
      </c>
      <c r="S370" s="23">
        <f>-Calculation_FSL!S763*$F$368</f>
        <v>-7.9268955088001567</v>
      </c>
      <c r="T370" s="23">
        <f>-Calculation_FSL!T763*$F$368</f>
        <v>-8.2688145424398147</v>
      </c>
      <c r="U370" s="23">
        <f>-Calculation_FSL!U763*$F$368</f>
        <v>-8.6259340382508629</v>
      </c>
      <c r="V370" s="23">
        <f>-Calculation_FSL!V763*$F$368</f>
        <v>-8.9989477713235253</v>
      </c>
    </row>
    <row r="371" spans="2:22">
      <c r="B371" s="28" t="s">
        <v>1017</v>
      </c>
      <c r="C371" s="28"/>
      <c r="D371" s="28"/>
      <c r="E371" s="28"/>
      <c r="F371" s="28"/>
      <c r="G371" s="28"/>
      <c r="H371" s="28"/>
      <c r="I371" s="49">
        <f>SUM(J371:V371)</f>
        <v>40.477362365631997</v>
      </c>
      <c r="J371" s="47">
        <f t="shared" ref="J371:V371" si="163">SUM(J369:J370)</f>
        <v>3.9781330143389937</v>
      </c>
      <c r="K371" s="47">
        <f t="shared" si="163"/>
        <v>2.3651635252637533</v>
      </c>
      <c r="L371" s="47">
        <f t="shared" si="163"/>
        <v>1.510079876307497</v>
      </c>
      <c r="M371" s="47">
        <f t="shared" si="163"/>
        <v>1.765473999895006</v>
      </c>
      <c r="N371" s="47">
        <f t="shared" si="163"/>
        <v>2.0462983449443204</v>
      </c>
      <c r="O371" s="47">
        <f t="shared" si="163"/>
        <v>2.3547868636073179</v>
      </c>
      <c r="P371" s="47">
        <f t="shared" si="163"/>
        <v>2.6933612221857359</v>
      </c>
      <c r="Q371" s="47">
        <f t="shared" si="163"/>
        <v>3.0646462974654485</v>
      </c>
      <c r="R371" s="47">
        <f t="shared" si="163"/>
        <v>3.471486942918852</v>
      </c>
      <c r="S371" s="47">
        <f t="shared" si="163"/>
        <v>3.9169661285118513</v>
      </c>
      <c r="T371" s="47">
        <f t="shared" si="163"/>
        <v>4.1672401767377956</v>
      </c>
      <c r="U371" s="47">
        <f t="shared" si="163"/>
        <v>4.4319234168856294</v>
      </c>
      <c r="V371" s="47">
        <f t="shared" si="163"/>
        <v>4.7118025565697916</v>
      </c>
    </row>
    <row r="372" spans="2:22">
      <c r="L372" s="1"/>
    </row>
    <row r="373" spans="2:22">
      <c r="B373" t="s">
        <v>852</v>
      </c>
      <c r="I373" s="48">
        <f>SUM(J373:V373)</f>
        <v>-22.619176780123304</v>
      </c>
      <c r="J373" s="53">
        <f>-Calculation_FSL!J818*$F$368</f>
        <v>-1.6379636075811999</v>
      </c>
      <c r="K373" s="53">
        <f>-Calculation_FSL!K818*$F$368</f>
        <v>-1.654343243657012</v>
      </c>
      <c r="L373" s="53">
        <f>-Calculation_FSL!L818*$F$368</f>
        <v>-1.6708866760935817</v>
      </c>
      <c r="M373" s="53">
        <f>-Calculation_FSL!M818*$F$368</f>
        <v>-1.6875955428545177</v>
      </c>
      <c r="N373" s="53">
        <f>-Calculation_FSL!N818*$F$368</f>
        <v>-1.7044714982830629</v>
      </c>
      <c r="O373" s="53">
        <f>-Calculation_FSL!O818*$F$368</f>
        <v>-1.7215162132658932</v>
      </c>
      <c r="P373" s="53">
        <f>-Calculation_FSL!P818*$F$368</f>
        <v>-1.7387313753985525</v>
      </c>
      <c r="Q373" s="53">
        <f>-Calculation_FSL!Q818*$F$368</f>
        <v>-1.756118689152538</v>
      </c>
      <c r="R373" s="53">
        <f>-Calculation_FSL!R818*$F$368</f>
        <v>-1.7736798760440635</v>
      </c>
      <c r="S373" s="53">
        <f>-Calculation_FSL!S818*$F$368</f>
        <v>-1.791416674804504</v>
      </c>
      <c r="T373" s="53">
        <f>-Calculation_FSL!T818*$F$368</f>
        <v>-1.8093308415525493</v>
      </c>
      <c r="U373" s="53">
        <f>-Calculation_FSL!U818*$F$368</f>
        <v>-1.827424149968075</v>
      </c>
      <c r="V373" s="53">
        <f>-Calculation_FSL!V818*$F$368</f>
        <v>-1.8456983914677556</v>
      </c>
    </row>
    <row r="374" spans="2:22">
      <c r="B374" s="28" t="s">
        <v>139</v>
      </c>
      <c r="C374" s="28"/>
      <c r="D374" s="28"/>
      <c r="E374" s="28"/>
      <c r="F374" s="28"/>
      <c r="G374" s="28"/>
      <c r="H374" s="28"/>
      <c r="I374" s="49">
        <f>SUM(J374:V374)</f>
        <v>17.858185585508689</v>
      </c>
      <c r="J374" s="47">
        <f t="shared" ref="J374:V374" si="164">SUM(J371,J373)</f>
        <v>2.3401694067577941</v>
      </c>
      <c r="K374" s="47">
        <f t="shared" si="164"/>
        <v>0.71082028160674127</v>
      </c>
      <c r="L374" s="47">
        <f t="shared" si="164"/>
        <v>-0.1608067997860847</v>
      </c>
      <c r="M374" s="47">
        <f t="shared" si="164"/>
        <v>7.7878457040488236E-2</v>
      </c>
      <c r="N374" s="47">
        <f t="shared" si="164"/>
        <v>0.34182684666125751</v>
      </c>
      <c r="O374" s="47">
        <f t="shared" si="164"/>
        <v>0.63327065034142471</v>
      </c>
      <c r="P374" s="47">
        <f t="shared" si="164"/>
        <v>0.95462984678718343</v>
      </c>
      <c r="Q374" s="47">
        <f t="shared" si="164"/>
        <v>1.3085276083129105</v>
      </c>
      <c r="R374" s="47">
        <f t="shared" si="164"/>
        <v>1.6978070668747884</v>
      </c>
      <c r="S374" s="47">
        <f t="shared" si="164"/>
        <v>2.1255494537073476</v>
      </c>
      <c r="T374" s="47">
        <f t="shared" si="164"/>
        <v>2.357909335185246</v>
      </c>
      <c r="U374" s="47">
        <f t="shared" si="164"/>
        <v>2.6044992669175544</v>
      </c>
      <c r="V374" s="47">
        <f t="shared" si="164"/>
        <v>2.866104165102036</v>
      </c>
    </row>
    <row r="376" spans="2:22">
      <c r="B376" t="s">
        <v>1018</v>
      </c>
      <c r="I376" s="49">
        <f>SUM(J376:V376)</f>
        <v>-0.56473936245999989</v>
      </c>
      <c r="J376" s="53">
        <f>-Calculation_FSL!J767*$F$368</f>
        <v>-4.344148942E-2</v>
      </c>
      <c r="K376" s="53">
        <f>-Calculation_FSL!K767*$F$368</f>
        <v>-4.344148942E-2</v>
      </c>
      <c r="L376" s="53">
        <f>-Calculation_FSL!L767*$F$368</f>
        <v>-4.344148942E-2</v>
      </c>
      <c r="M376" s="53">
        <f>-Calculation_FSL!M767*$F$368</f>
        <v>-4.344148942E-2</v>
      </c>
      <c r="N376" s="53">
        <f>-Calculation_FSL!N767*$F$368</f>
        <v>-4.344148942E-2</v>
      </c>
      <c r="O376" s="53">
        <f>-Calculation_FSL!O767*$F$368</f>
        <v>-4.344148942E-2</v>
      </c>
      <c r="P376" s="53">
        <f>-Calculation_FSL!P767*$F$368</f>
        <v>-4.344148942E-2</v>
      </c>
      <c r="Q376" s="53">
        <f>-Calculation_FSL!Q767*$F$368</f>
        <v>-4.344148942E-2</v>
      </c>
      <c r="R376" s="53">
        <f>-Calculation_FSL!R767*$F$368</f>
        <v>-4.344148942E-2</v>
      </c>
      <c r="S376" s="53">
        <f>-Calculation_FSL!S767*$F$368</f>
        <v>-4.344148942E-2</v>
      </c>
      <c r="T376" s="53">
        <f>-Calculation_FSL!T767*$F$368</f>
        <v>-4.344148942E-2</v>
      </c>
      <c r="U376" s="53">
        <f>-Calculation_FSL!U767*$F$368</f>
        <v>-4.344148942E-2</v>
      </c>
      <c r="V376" s="53">
        <f>-Calculation_FSL!V767*$F$368</f>
        <v>-4.344148942E-2</v>
      </c>
    </row>
    <row r="377" spans="2:22">
      <c r="B377" s="28" t="s">
        <v>434</v>
      </c>
      <c r="C377" s="28"/>
      <c r="D377" s="28"/>
      <c r="E377" s="28"/>
      <c r="F377" s="28"/>
      <c r="G377" s="28"/>
      <c r="H377" s="28"/>
      <c r="I377" s="49">
        <f>SUM(J377:V377)</f>
        <v>17.29344622304869</v>
      </c>
      <c r="J377" s="47">
        <f t="shared" ref="J377:V377" si="165">SUM(J374,J376)</f>
        <v>2.2967279173377939</v>
      </c>
      <c r="K377" s="47">
        <f t="shared" si="165"/>
        <v>0.66737879218674123</v>
      </c>
      <c r="L377" s="47">
        <f t="shared" si="165"/>
        <v>-0.2042482892060847</v>
      </c>
      <c r="M377" s="47">
        <f t="shared" si="165"/>
        <v>3.4436967620488236E-2</v>
      </c>
      <c r="N377" s="47">
        <f t="shared" si="165"/>
        <v>0.29838535724125753</v>
      </c>
      <c r="O377" s="47">
        <f t="shared" si="165"/>
        <v>0.58982916092142468</v>
      </c>
      <c r="P377" s="47">
        <f t="shared" si="165"/>
        <v>0.9111883573671834</v>
      </c>
      <c r="Q377" s="47">
        <f t="shared" si="165"/>
        <v>1.2650861188929106</v>
      </c>
      <c r="R377" s="47">
        <f t="shared" si="165"/>
        <v>1.6543655774547885</v>
      </c>
      <c r="S377" s="47">
        <f t="shared" si="165"/>
        <v>2.0821079642873475</v>
      </c>
      <c r="T377" s="47">
        <f t="shared" si="165"/>
        <v>2.3144678457652459</v>
      </c>
      <c r="U377" s="47">
        <f t="shared" si="165"/>
        <v>2.5610577774975543</v>
      </c>
      <c r="V377" s="47">
        <f t="shared" si="165"/>
        <v>2.8226626756820359</v>
      </c>
    </row>
    <row r="378" spans="2:22"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</row>
    <row r="379" spans="2:22">
      <c r="B379" t="s">
        <v>881</v>
      </c>
      <c r="I379" s="48">
        <f>SUM(J379:V379)</f>
        <v>0</v>
      </c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</row>
    <row r="380" spans="2:22">
      <c r="B380" s="28" t="s">
        <v>1019</v>
      </c>
      <c r="C380" s="28"/>
      <c r="D380" s="28"/>
      <c r="E380" s="28"/>
      <c r="F380" s="28"/>
      <c r="G380" s="28"/>
      <c r="H380" s="28"/>
      <c r="I380" s="48">
        <f>SUM(J380:V380)</f>
        <v>17.29344622304869</v>
      </c>
      <c r="J380" s="47">
        <f t="shared" ref="J380:V380" si="166">SUM(J377,J379)</f>
        <v>2.2967279173377939</v>
      </c>
      <c r="K380" s="47">
        <f t="shared" si="166"/>
        <v>0.66737879218674123</v>
      </c>
      <c r="L380" s="47">
        <f t="shared" si="166"/>
        <v>-0.2042482892060847</v>
      </c>
      <c r="M380" s="47">
        <f t="shared" si="166"/>
        <v>3.4436967620488236E-2</v>
      </c>
      <c r="N380" s="47">
        <f t="shared" si="166"/>
        <v>0.29838535724125753</v>
      </c>
      <c r="O380" s="47">
        <f t="shared" si="166"/>
        <v>0.58982916092142468</v>
      </c>
      <c r="P380" s="47">
        <f t="shared" si="166"/>
        <v>0.9111883573671834</v>
      </c>
      <c r="Q380" s="47">
        <f t="shared" si="166"/>
        <v>1.2650861188929106</v>
      </c>
      <c r="R380" s="47">
        <f t="shared" si="166"/>
        <v>1.6543655774547885</v>
      </c>
      <c r="S380" s="47">
        <f t="shared" si="166"/>
        <v>2.0821079642873475</v>
      </c>
      <c r="T380" s="47">
        <f t="shared" si="166"/>
        <v>2.3144678457652459</v>
      </c>
      <c r="U380" s="47">
        <f t="shared" si="166"/>
        <v>2.5610577774975543</v>
      </c>
      <c r="V380" s="47">
        <f t="shared" si="166"/>
        <v>2.8226626756820359</v>
      </c>
    </row>
    <row r="381" spans="2:22"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</row>
    <row r="382" spans="2:22">
      <c r="B382" t="s">
        <v>759</v>
      </c>
      <c r="I382" s="48">
        <f>SUM(J382:V382)</f>
        <v>-3.8494927926960494</v>
      </c>
      <c r="J382" s="23">
        <f>-IF(J380&lt;0,0,J380*22%)</f>
        <v>-0.50528014181431469</v>
      </c>
      <c r="K382" s="23">
        <f t="shared" ref="K382:V382" si="167">-IF(K380&lt;0,0,K380*22%)</f>
        <v>-0.14682333428108307</v>
      </c>
      <c r="L382" s="23">
        <f t="shared" si="167"/>
        <v>0</v>
      </c>
      <c r="M382" s="23">
        <f t="shared" si="167"/>
        <v>-7.576132876507412E-3</v>
      </c>
      <c r="N382" s="23">
        <f t="shared" si="167"/>
        <v>-6.5644778593076658E-2</v>
      </c>
      <c r="O382" s="23">
        <f t="shared" si="167"/>
        <v>-0.12976241540271344</v>
      </c>
      <c r="P382" s="23">
        <f t="shared" si="167"/>
        <v>-0.20046143862078034</v>
      </c>
      <c r="Q382" s="23">
        <f t="shared" si="167"/>
        <v>-0.27831894615644032</v>
      </c>
      <c r="R382" s="23">
        <f t="shared" si="167"/>
        <v>-0.36396042704005349</v>
      </c>
      <c r="S382" s="23">
        <f t="shared" si="167"/>
        <v>-0.45806375214321643</v>
      </c>
      <c r="T382" s="23">
        <f t="shared" si="167"/>
        <v>-0.50918292606835414</v>
      </c>
      <c r="U382" s="23">
        <f t="shared" si="167"/>
        <v>-0.56343271104946191</v>
      </c>
      <c r="V382" s="23">
        <f t="shared" si="167"/>
        <v>-0.62098578865004794</v>
      </c>
    </row>
    <row r="383" spans="2:22">
      <c r="B383" s="28" t="s">
        <v>1020</v>
      </c>
      <c r="C383" s="28"/>
      <c r="D383" s="28"/>
      <c r="E383" s="28"/>
      <c r="F383" s="28"/>
      <c r="G383" s="28"/>
      <c r="H383" s="28"/>
      <c r="I383" s="48">
        <f>SUM(J383:V383)</f>
        <v>13.443953430352638</v>
      </c>
      <c r="J383" s="47">
        <f t="shared" ref="J383:V383" si="168">SUM(J380,J382)</f>
        <v>1.7914477755234792</v>
      </c>
      <c r="K383" s="47">
        <f t="shared" si="168"/>
        <v>0.52055545790565816</v>
      </c>
      <c r="L383" s="47">
        <f t="shared" si="168"/>
        <v>-0.2042482892060847</v>
      </c>
      <c r="M383" s="47">
        <f t="shared" si="168"/>
        <v>2.6860834743980825E-2</v>
      </c>
      <c r="N383" s="47">
        <f t="shared" si="168"/>
        <v>0.23274057864818087</v>
      </c>
      <c r="O383" s="47">
        <f t="shared" si="168"/>
        <v>0.46006674551871124</v>
      </c>
      <c r="P383" s="47">
        <f t="shared" si="168"/>
        <v>0.71072691874640304</v>
      </c>
      <c r="Q383" s="47">
        <f t="shared" si="168"/>
        <v>0.98676717273647019</v>
      </c>
      <c r="R383" s="47">
        <f t="shared" si="168"/>
        <v>1.2904051504147351</v>
      </c>
      <c r="S383" s="47">
        <f t="shared" si="168"/>
        <v>1.624044212144131</v>
      </c>
      <c r="T383" s="47">
        <f t="shared" si="168"/>
        <v>1.8052849196968919</v>
      </c>
      <c r="U383" s="47">
        <f t="shared" si="168"/>
        <v>1.9976250664480923</v>
      </c>
      <c r="V383" s="47">
        <f t="shared" si="168"/>
        <v>2.2016768870319878</v>
      </c>
    </row>
    <row r="385" spans="2:22">
      <c r="B385" s="407" t="s">
        <v>32</v>
      </c>
      <c r="C385" s="407"/>
      <c r="D385" s="407"/>
      <c r="E385" s="407"/>
      <c r="F385" s="407"/>
      <c r="G385" s="407"/>
      <c r="H385" s="407"/>
      <c r="I385" s="407"/>
      <c r="J385" s="9">
        <f>J$8</f>
        <v>2024</v>
      </c>
      <c r="K385" s="9">
        <f t="shared" ref="K385:V385" si="169">K$8</f>
        <v>2025</v>
      </c>
      <c r="L385" s="9">
        <f t="shared" si="169"/>
        <v>2026</v>
      </c>
      <c r="M385" s="9">
        <f t="shared" si="169"/>
        <v>2027</v>
      </c>
      <c r="N385" s="9">
        <f t="shared" si="169"/>
        <v>2028</v>
      </c>
      <c r="O385" s="9">
        <f t="shared" si="169"/>
        <v>2029</v>
      </c>
      <c r="P385" s="9">
        <f t="shared" si="169"/>
        <v>2030</v>
      </c>
      <c r="Q385" s="9">
        <f t="shared" si="169"/>
        <v>2031</v>
      </c>
      <c r="R385" s="9">
        <f t="shared" si="169"/>
        <v>2032</v>
      </c>
      <c r="S385" s="9">
        <f t="shared" si="169"/>
        <v>2033</v>
      </c>
      <c r="T385" s="9">
        <f t="shared" si="169"/>
        <v>2034</v>
      </c>
      <c r="U385" s="9">
        <f t="shared" si="169"/>
        <v>2035</v>
      </c>
      <c r="V385" s="9">
        <f t="shared" si="169"/>
        <v>2036</v>
      </c>
    </row>
    <row r="386" spans="2:22">
      <c r="B386" s="55" t="s">
        <v>1021</v>
      </c>
      <c r="C386" s="51"/>
      <c r="D386" s="51"/>
      <c r="E386" s="51"/>
      <c r="F386" s="51"/>
      <c r="G386" s="51"/>
      <c r="H386" s="51"/>
      <c r="I386" s="51"/>
      <c r="J386" s="56">
        <f>IFERROR(J371/J369,0)</f>
        <v>8.9079884970781911E-2</v>
      </c>
      <c r="K386" s="56">
        <f t="shared" ref="K386:V386" si="170">IFERROR(K371/K369,0)</f>
        <v>0.12647705560403688</v>
      </c>
      <c r="L386" s="56">
        <f t="shared" si="170"/>
        <v>0.22064407070847022</v>
      </c>
      <c r="M386" s="56">
        <f t="shared" si="170"/>
        <v>0.23852128672948419</v>
      </c>
      <c r="N386" s="56">
        <f t="shared" si="170"/>
        <v>0.25562789668281805</v>
      </c>
      <c r="O386" s="56">
        <f t="shared" si="170"/>
        <v>0.27199716301309823</v>
      </c>
      <c r="P386" s="56">
        <f t="shared" si="170"/>
        <v>0.28766090945078621</v>
      </c>
      <c r="Q386" s="56">
        <f t="shared" si="170"/>
        <v>0.30264958343731335</v>
      </c>
      <c r="R386" s="56">
        <f t="shared" si="170"/>
        <v>0.31699231582874277</v>
      </c>
      <c r="S386" s="56">
        <f t="shared" si="170"/>
        <v>0.33071697799745792</v>
      </c>
      <c r="T386" s="56">
        <f t="shared" si="170"/>
        <v>0.33509342559513705</v>
      </c>
      <c r="U386" s="56">
        <f t="shared" si="170"/>
        <v>0.33940663176272229</v>
      </c>
      <c r="V386" s="56">
        <f t="shared" si="170"/>
        <v>0.34365752740636252</v>
      </c>
    </row>
    <row r="387" spans="2:22">
      <c r="B387" s="55" t="s">
        <v>1022</v>
      </c>
      <c r="C387" s="51"/>
      <c r="D387" s="51"/>
      <c r="E387" s="51"/>
      <c r="F387" s="51"/>
      <c r="G387" s="51"/>
      <c r="H387" s="51"/>
      <c r="I387" s="51"/>
      <c r="J387" s="56">
        <f>IFERROR(J374/J369,0)</f>
        <v>5.2401973693372163E-2</v>
      </c>
      <c r="K387" s="52">
        <f t="shared" ref="K387:T387" si="171">IFERROR(K377/K371,0)</f>
        <v>0.28217025379347416</v>
      </c>
      <c r="L387" s="52">
        <f t="shared" si="171"/>
        <v>-0.13525661285250695</v>
      </c>
      <c r="M387" s="52">
        <f t="shared" si="171"/>
        <v>1.9505791431953249E-2</v>
      </c>
      <c r="N387" s="52">
        <f t="shared" si="171"/>
        <v>0.14581713266712171</v>
      </c>
      <c r="O387" s="52">
        <f t="shared" si="171"/>
        <v>0.25048091189784388</v>
      </c>
      <c r="P387" s="52">
        <f t="shared" si="171"/>
        <v>0.3383090058108616</v>
      </c>
      <c r="Q387" s="52">
        <f t="shared" si="171"/>
        <v>0.4128000415379659</v>
      </c>
      <c r="R387" s="52">
        <f t="shared" si="171"/>
        <v>0.47655820248132219</v>
      </c>
      <c r="S387" s="52">
        <f t="shared" si="171"/>
        <v>0.53156139113165879</v>
      </c>
      <c r="T387" s="52">
        <f t="shared" si="171"/>
        <v>0.55539583695822892</v>
      </c>
      <c r="U387" s="52">
        <f>IFERROR(U377/U371,0)</f>
        <v>0.57786598201131445</v>
      </c>
      <c r="V387" s="52">
        <f>IFERROR(V377/V371,0)</f>
        <v>0.5990621724474261</v>
      </c>
    </row>
    <row r="388" spans="2:22">
      <c r="B388" s="55" t="s">
        <v>990</v>
      </c>
      <c r="C388" s="51"/>
      <c r="D388" s="51"/>
      <c r="E388" s="51"/>
      <c r="F388" s="51"/>
      <c r="G388" s="51"/>
      <c r="H388" s="51"/>
      <c r="I388" s="51"/>
      <c r="J388" s="52">
        <f>IFERROR(J383/J369,0)</f>
        <v>4.0114787816191412E-2</v>
      </c>
      <c r="K388" s="52">
        <f t="shared" ref="K388:V388" si="172">IFERROR(K383/K369,0)</f>
        <v>2.783668904549709E-2</v>
      </c>
      <c r="L388" s="52">
        <f t="shared" si="172"/>
        <v>-2.9843569650016728E-2</v>
      </c>
      <c r="M388" s="52">
        <f t="shared" si="172"/>
        <v>3.6289862474006207E-3</v>
      </c>
      <c r="N388" s="52">
        <f t="shared" si="172"/>
        <v>2.9074443000732291E-2</v>
      </c>
      <c r="O388" s="52">
        <f t="shared" si="172"/>
        <v>5.3141475991614923E-2</v>
      </c>
      <c r="P388" s="52">
        <f t="shared" si="172"/>
        <v>7.5908255503816136E-2</v>
      </c>
      <c r="Q388" s="52">
        <f t="shared" si="172"/>
        <v>9.7448333279209404E-2</v>
      </c>
      <c r="R388" s="52">
        <f t="shared" si="172"/>
        <v>0.11783092482075504</v>
      </c>
      <c r="S388" s="52">
        <f t="shared" si="172"/>
        <v>0.1371211739782458</v>
      </c>
      <c r="T388" s="52">
        <f t="shared" si="172"/>
        <v>0.14516540498273672</v>
      </c>
      <c r="U388" s="52">
        <f t="shared" si="172"/>
        <v>0.15298260632048011</v>
      </c>
      <c r="V388" s="52">
        <f t="shared" si="172"/>
        <v>0.1605803354578538</v>
      </c>
    </row>
    <row r="390" spans="2:22" ht="24" thickBot="1">
      <c r="B390" s="14" t="s">
        <v>1039</v>
      </c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</row>
    <row r="391" spans="2:22">
      <c r="B391" s="2" t="s">
        <v>29</v>
      </c>
      <c r="F391" s="6">
        <f>Output_FSL!$F$39</f>
        <v>1</v>
      </c>
    </row>
    <row r="392" spans="2:22">
      <c r="B392" s="407" t="s">
        <v>623</v>
      </c>
      <c r="I392" s="48">
        <f>SUM(J392:V392)</f>
        <v>257.24764212695578</v>
      </c>
      <c r="J392" s="23">
        <f>Calculation_FSL!J862*$F$391</f>
        <v>15.584000000000003</v>
      </c>
      <c r="K392" s="23">
        <f>Calculation_FSL!K862*$F$391</f>
        <v>16.693580800000003</v>
      </c>
      <c r="L392" s="23">
        <f>Calculation_FSL!L862*$F$391</f>
        <v>17.882163752960004</v>
      </c>
      <c r="M392" s="23">
        <f>Calculation_FSL!M862*$F$391</f>
        <v>19.155373812170758</v>
      </c>
      <c r="N392" s="23">
        <f>Calculation_FSL!N862*$F$391</f>
        <v>20.519236427597317</v>
      </c>
      <c r="O392" s="23">
        <f>Calculation_FSL!O862*$F$391</f>
        <v>21.980206061242242</v>
      </c>
      <c r="P392" s="23">
        <f>Calculation_FSL!P862*$F$391</f>
        <v>23.545196732802694</v>
      </c>
      <c r="Q392" s="23">
        <f>Calculation_FSL!Q862*$F$391</f>
        <v>25.221614740178246</v>
      </c>
      <c r="R392" s="23">
        <f>Calculation_FSL!R862*$F$391</f>
        <v>27.017393709678942</v>
      </c>
      <c r="S392" s="23">
        <f>Calculation_FSL!S862*$F$391</f>
        <v>28.941032141808083</v>
      </c>
      <c r="T392" s="23">
        <f>Calculation_FSL!T862*$F$391</f>
        <v>13.040698343323131</v>
      </c>
      <c r="U392" s="23">
        <f>Calculation_FSL!U862*$F$391</f>
        <v>13.562326277056059</v>
      </c>
      <c r="V392" s="23">
        <f>Calculation_FSL!V862*$F$391</f>
        <v>14.104819328138301</v>
      </c>
    </row>
    <row r="393" spans="2:22">
      <c r="B393" s="407" t="s">
        <v>473</v>
      </c>
      <c r="I393" s="48">
        <f>SUM(J393:V393)</f>
        <v>-229.64394473855623</v>
      </c>
      <c r="J393" s="23">
        <f>-Calculation_FSL!J864*$F$391</f>
        <v>-13.932671235536409</v>
      </c>
      <c r="K393" s="23">
        <f>-Calculation_FSL!K864*$F$391</f>
        <v>-14.894117107720605</v>
      </c>
      <c r="L393" s="23">
        <f>-Calculation_FSL!L864*$F$391</f>
        <v>-15.922959454353339</v>
      </c>
      <c r="M393" s="23">
        <f>-Calculation_FSL!M864*$F$391</f>
        <v>-17.02395985790756</v>
      </c>
      <c r="N393" s="23">
        <f>-Calculation_FSL!N864*$F$391</f>
        <v>-18.202217628900524</v>
      </c>
      <c r="O393" s="23">
        <f>-Calculation_FSL!O864*$F$391</f>
        <v>-19.463193806748567</v>
      </c>
      <c r="P393" s="23">
        <f>-Calculation_FSL!P864*$F$391</f>
        <v>-20.812736867894387</v>
      </c>
      <c r="Q393" s="23">
        <f>-Calculation_FSL!Q864*$F$391</f>
        <v>-22.257110262708999</v>
      </c>
      <c r="R393" s="23">
        <f>-Calculation_FSL!R864*$F$391</f>
        <v>-23.803021911319675</v>
      </c>
      <c r="S393" s="23">
        <f>-Calculation_FSL!S864*$F$391</f>
        <v>-25.457655797779658</v>
      </c>
      <c r="T393" s="23">
        <f>-Calculation_FSL!T864*$F$391</f>
        <v>-12.1389552897862</v>
      </c>
      <c r="U393" s="23">
        <f>-Calculation_FSL!U864*$F$391</f>
        <v>-12.618442515010333</v>
      </c>
      <c r="V393" s="23">
        <f>-Calculation_FSL!V864*$F$391</f>
        <v>-13.116903002889975</v>
      </c>
    </row>
    <row r="394" spans="2:22">
      <c r="B394" s="28" t="s">
        <v>1017</v>
      </c>
      <c r="C394" s="28"/>
      <c r="D394" s="28"/>
      <c r="E394" s="28"/>
      <c r="F394" s="28"/>
      <c r="G394" s="28"/>
      <c r="H394" s="28"/>
      <c r="I394" s="49">
        <f>SUM(J394:V394)</f>
        <v>27.603697388399553</v>
      </c>
      <c r="J394" s="47">
        <f t="shared" ref="J394:V394" si="173">SUM(J392:J393)</f>
        <v>1.6513287644635941</v>
      </c>
      <c r="K394" s="47">
        <f t="shared" si="173"/>
        <v>1.7994636922793976</v>
      </c>
      <c r="L394" s="47">
        <f t="shared" si="173"/>
        <v>1.9592042986066645</v>
      </c>
      <c r="M394" s="47">
        <f t="shared" si="173"/>
        <v>2.1314139542631985</v>
      </c>
      <c r="N394" s="47">
        <f t="shared" si="173"/>
        <v>2.3170187986967932</v>
      </c>
      <c r="O394" s="47">
        <f t="shared" si="173"/>
        <v>2.5170122544936753</v>
      </c>
      <c r="P394" s="47">
        <f t="shared" si="173"/>
        <v>2.7324598649083072</v>
      </c>
      <c r="Q394" s="47">
        <f t="shared" si="173"/>
        <v>2.9645044774692479</v>
      </c>
      <c r="R394" s="47">
        <f t="shared" si="173"/>
        <v>3.2143717983592666</v>
      </c>
      <c r="S394" s="47">
        <f t="shared" si="173"/>
        <v>3.4833763440284251</v>
      </c>
      <c r="T394" s="47">
        <f t="shared" si="173"/>
        <v>0.90174305353693107</v>
      </c>
      <c r="U394" s="47">
        <f t="shared" si="173"/>
        <v>0.94388376204572566</v>
      </c>
      <c r="V394" s="47">
        <f t="shared" si="173"/>
        <v>0.98791632524832629</v>
      </c>
    </row>
    <row r="395" spans="2:22">
      <c r="L395" s="1"/>
    </row>
    <row r="396" spans="2:22">
      <c r="B396" t="s">
        <v>852</v>
      </c>
      <c r="I396" s="48">
        <f>SUM(J396:V396)</f>
        <v>-2.0840248564351715</v>
      </c>
      <c r="J396" s="53">
        <f>-Calculation_FSL!J891*$F$391</f>
        <v>-0.15091428416329999</v>
      </c>
      <c r="K396" s="53">
        <f>-Calculation_FSL!K891*$F$391</f>
        <v>-0.152423427004933</v>
      </c>
      <c r="L396" s="53">
        <f>-Calculation_FSL!L891*$F$391</f>
        <v>-0.1539476612749823</v>
      </c>
      <c r="M396" s="53">
        <f>-Calculation_FSL!M891*$F$391</f>
        <v>-0.15548713788773216</v>
      </c>
      <c r="N396" s="53">
        <f>-Calculation_FSL!N891*$F$391</f>
        <v>-0.15704200926660944</v>
      </c>
      <c r="O396" s="53">
        <f>-Calculation_FSL!O891*$F$391</f>
        <v>-0.15861242935927555</v>
      </c>
      <c r="P396" s="53">
        <f>-Calculation_FSL!P891*$F$391</f>
        <v>-0.16019855365286828</v>
      </c>
      <c r="Q396" s="53">
        <f>-Calculation_FSL!Q891*$F$391</f>
        <v>-0.16180053918939702</v>
      </c>
      <c r="R396" s="53">
        <f>-Calculation_FSL!R891*$F$391</f>
        <v>-0.16341854458129101</v>
      </c>
      <c r="S396" s="53">
        <f>-Calculation_FSL!S891*$F$391</f>
        <v>-0.16505273002710388</v>
      </c>
      <c r="T396" s="53">
        <f>-Calculation_FSL!T891*$F$391</f>
        <v>-0.1667032573273749</v>
      </c>
      <c r="U396" s="53">
        <f>-Calculation_FSL!U891*$F$391</f>
        <v>-0.16837028990064867</v>
      </c>
      <c r="V396" s="53">
        <f>-Calculation_FSL!V891*$F$391</f>
        <v>-0.17005399279965516</v>
      </c>
    </row>
    <row r="397" spans="2:22">
      <c r="B397" s="28" t="s">
        <v>139</v>
      </c>
      <c r="C397" s="28"/>
      <c r="D397" s="28"/>
      <c r="E397" s="28"/>
      <c r="F397" s="28"/>
      <c r="G397" s="28"/>
      <c r="H397" s="28"/>
      <c r="I397" s="49">
        <f>SUM(J397:V397)</f>
        <v>25.519672531964382</v>
      </c>
      <c r="J397" s="47">
        <f t="shared" ref="J397:V397" si="174">SUM(J394,J396)</f>
        <v>1.5004144803002941</v>
      </c>
      <c r="K397" s="47">
        <f t="shared" si="174"/>
        <v>1.6470402652744647</v>
      </c>
      <c r="L397" s="47">
        <f t="shared" si="174"/>
        <v>1.8052566373316821</v>
      </c>
      <c r="M397" s="47">
        <f t="shared" si="174"/>
        <v>1.9759268163754662</v>
      </c>
      <c r="N397" s="47">
        <f t="shared" si="174"/>
        <v>2.1599767894301838</v>
      </c>
      <c r="O397" s="47">
        <f t="shared" si="174"/>
        <v>2.3583998251343998</v>
      </c>
      <c r="P397" s="47">
        <f t="shared" si="174"/>
        <v>2.5722613112554389</v>
      </c>
      <c r="Q397" s="47">
        <f t="shared" si="174"/>
        <v>2.8027039382798509</v>
      </c>
      <c r="R397" s="47">
        <f t="shared" si="174"/>
        <v>3.0509532537779753</v>
      </c>
      <c r="S397" s="47">
        <f t="shared" si="174"/>
        <v>3.3183236140013213</v>
      </c>
      <c r="T397" s="47">
        <f t="shared" si="174"/>
        <v>0.73503979620955617</v>
      </c>
      <c r="U397" s="47">
        <f t="shared" si="174"/>
        <v>0.77551347214507693</v>
      </c>
      <c r="V397" s="47">
        <f t="shared" si="174"/>
        <v>0.81786233244867113</v>
      </c>
    </row>
    <row r="399" spans="2:22">
      <c r="B399" t="s">
        <v>1018</v>
      </c>
      <c r="I399" s="49">
        <f>SUM(J399:V399)</f>
        <v>-3.851865059120001</v>
      </c>
      <c r="J399" s="53">
        <f>-Calculation_FSL!J867*$F$391</f>
        <v>-0.29629731224</v>
      </c>
      <c r="K399" s="53">
        <f>-Calculation_FSL!K867*$F$391</f>
        <v>-0.29629731224</v>
      </c>
      <c r="L399" s="53">
        <f>-Calculation_FSL!L867*$F$391</f>
        <v>-0.29629731224</v>
      </c>
      <c r="M399" s="53">
        <f>-Calculation_FSL!M867*$F$391</f>
        <v>-0.29629731224</v>
      </c>
      <c r="N399" s="53">
        <f>-Calculation_FSL!N867*$F$391</f>
        <v>-0.29629731224</v>
      </c>
      <c r="O399" s="53">
        <f>-Calculation_FSL!O867*$F$391</f>
        <v>-0.29629731224</v>
      </c>
      <c r="P399" s="53">
        <f>-Calculation_FSL!P867*$F$391</f>
        <v>-0.29629731224</v>
      </c>
      <c r="Q399" s="53">
        <f>-Calculation_FSL!Q867*$F$391</f>
        <v>-0.29629731224</v>
      </c>
      <c r="R399" s="53">
        <f>-Calculation_FSL!R867*$F$391</f>
        <v>-0.29629731224</v>
      </c>
      <c r="S399" s="53">
        <f>-Calculation_FSL!S867*$F$391</f>
        <v>-0.29629731224</v>
      </c>
      <c r="T399" s="53">
        <f>-Calculation_FSL!T867*$F$391</f>
        <v>-0.29629731224</v>
      </c>
      <c r="U399" s="53">
        <f>-Calculation_FSL!U867*$F$391</f>
        <v>-0.29629731224</v>
      </c>
      <c r="V399" s="53">
        <f>-Calculation_FSL!V867*$F$391</f>
        <v>-0.29629731224</v>
      </c>
    </row>
    <row r="400" spans="2:22">
      <c r="B400" s="28" t="s">
        <v>434</v>
      </c>
      <c r="C400" s="28"/>
      <c r="D400" s="28"/>
      <c r="E400" s="28"/>
      <c r="F400" s="28"/>
      <c r="G400" s="28"/>
      <c r="H400" s="28"/>
      <c r="I400" s="49">
        <f>SUM(J400:V400)</f>
        <v>21.667807472844384</v>
      </c>
      <c r="J400" s="47">
        <f t="shared" ref="J400:V400" si="175">SUM(J397,J399)</f>
        <v>1.2041171680602942</v>
      </c>
      <c r="K400" s="47">
        <f t="shared" si="175"/>
        <v>1.3507429530344646</v>
      </c>
      <c r="L400" s="47">
        <f t="shared" si="175"/>
        <v>1.508959325091682</v>
      </c>
      <c r="M400" s="47">
        <f t="shared" si="175"/>
        <v>1.6796295041354661</v>
      </c>
      <c r="N400" s="47">
        <f t="shared" si="175"/>
        <v>1.8636794771901837</v>
      </c>
      <c r="O400" s="47">
        <f t="shared" si="175"/>
        <v>2.0621025128943997</v>
      </c>
      <c r="P400" s="47">
        <f t="shared" si="175"/>
        <v>2.2759639990154388</v>
      </c>
      <c r="Q400" s="47">
        <f t="shared" si="175"/>
        <v>2.5064066260398508</v>
      </c>
      <c r="R400" s="47">
        <f t="shared" si="175"/>
        <v>2.7546559415379752</v>
      </c>
      <c r="S400" s="47">
        <f t="shared" si="175"/>
        <v>3.0220263017613211</v>
      </c>
      <c r="T400" s="47">
        <f t="shared" si="175"/>
        <v>0.43874248396955617</v>
      </c>
      <c r="U400" s="47">
        <f t="shared" si="175"/>
        <v>0.47921615990507693</v>
      </c>
      <c r="V400" s="47">
        <f t="shared" si="175"/>
        <v>0.52156502020867113</v>
      </c>
    </row>
    <row r="401" spans="2:22"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</row>
    <row r="402" spans="2:22">
      <c r="B402" t="s">
        <v>881</v>
      </c>
      <c r="I402" s="48">
        <f>SUM(J402:V402)</f>
        <v>0</v>
      </c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</row>
    <row r="403" spans="2:22">
      <c r="B403" s="28" t="s">
        <v>1019</v>
      </c>
      <c r="C403" s="28"/>
      <c r="D403" s="28"/>
      <c r="E403" s="28"/>
      <c r="F403" s="28"/>
      <c r="G403" s="28"/>
      <c r="H403" s="28"/>
      <c r="I403" s="48">
        <f>SUM(J403:V403)</f>
        <v>21.667807472844384</v>
      </c>
      <c r="J403" s="47">
        <f t="shared" ref="J403:V403" si="176">SUM(J400,J402)</f>
        <v>1.2041171680602942</v>
      </c>
      <c r="K403" s="47">
        <f t="shared" si="176"/>
        <v>1.3507429530344646</v>
      </c>
      <c r="L403" s="47">
        <f t="shared" si="176"/>
        <v>1.508959325091682</v>
      </c>
      <c r="M403" s="47">
        <f t="shared" si="176"/>
        <v>1.6796295041354661</v>
      </c>
      <c r="N403" s="47">
        <f t="shared" si="176"/>
        <v>1.8636794771901837</v>
      </c>
      <c r="O403" s="47">
        <f t="shared" si="176"/>
        <v>2.0621025128943997</v>
      </c>
      <c r="P403" s="47">
        <f t="shared" si="176"/>
        <v>2.2759639990154388</v>
      </c>
      <c r="Q403" s="47">
        <f t="shared" si="176"/>
        <v>2.5064066260398508</v>
      </c>
      <c r="R403" s="47">
        <f t="shared" si="176"/>
        <v>2.7546559415379752</v>
      </c>
      <c r="S403" s="47">
        <f t="shared" si="176"/>
        <v>3.0220263017613211</v>
      </c>
      <c r="T403" s="47">
        <f t="shared" si="176"/>
        <v>0.43874248396955617</v>
      </c>
      <c r="U403" s="47">
        <f t="shared" si="176"/>
        <v>0.47921615990507693</v>
      </c>
      <c r="V403" s="47">
        <f t="shared" si="176"/>
        <v>0.52156502020867113</v>
      </c>
    </row>
    <row r="404" spans="2:22"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</row>
    <row r="405" spans="2:22">
      <c r="B405" t="s">
        <v>759</v>
      </c>
      <c r="I405" s="48">
        <f>SUM(J405:V405)</f>
        <v>-4.7669176440257628</v>
      </c>
      <c r="J405" s="23">
        <f>-IF(J403&lt;0,0,J403*22%)</f>
        <v>-0.26490577697326473</v>
      </c>
      <c r="K405" s="23">
        <f t="shared" ref="K405:V405" si="177">-IF(K403&lt;0,0,K403*22%)</f>
        <v>-0.29716344966758218</v>
      </c>
      <c r="L405" s="23">
        <f t="shared" si="177"/>
        <v>-0.33197105152017004</v>
      </c>
      <c r="M405" s="23">
        <f t="shared" si="177"/>
        <v>-0.36951849090980254</v>
      </c>
      <c r="N405" s="23">
        <f t="shared" si="177"/>
        <v>-0.41000948498184042</v>
      </c>
      <c r="O405" s="23">
        <f t="shared" si="177"/>
        <v>-0.45366255283676793</v>
      </c>
      <c r="P405" s="23">
        <f t="shared" si="177"/>
        <v>-0.50071207978339649</v>
      </c>
      <c r="Q405" s="23">
        <f t="shared" si="177"/>
        <v>-0.55140945772876715</v>
      </c>
      <c r="R405" s="23">
        <f t="shared" si="177"/>
        <v>-0.60602430713835453</v>
      </c>
      <c r="S405" s="23">
        <f t="shared" si="177"/>
        <v>-0.6648457863874907</v>
      </c>
      <c r="T405" s="23">
        <f t="shared" si="177"/>
        <v>-9.6523346473302366E-2</v>
      </c>
      <c r="U405" s="23">
        <f t="shared" si="177"/>
        <v>-0.10542755517911692</v>
      </c>
      <c r="V405" s="23">
        <f t="shared" si="177"/>
        <v>-0.11474430444590765</v>
      </c>
    </row>
    <row r="406" spans="2:22">
      <c r="B406" s="28" t="s">
        <v>1020</v>
      </c>
      <c r="C406" s="28"/>
      <c r="D406" s="28"/>
      <c r="E406" s="28"/>
      <c r="F406" s="28"/>
      <c r="G406" s="28"/>
      <c r="H406" s="28"/>
      <c r="I406" s="48">
        <f>SUM(J406:V406)</f>
        <v>16.900889828818613</v>
      </c>
      <c r="J406" s="47">
        <f t="shared" ref="J406:V406" si="178">SUM(J403,J405)</f>
        <v>0.93921139108702945</v>
      </c>
      <c r="K406" s="47">
        <f t="shared" si="178"/>
        <v>1.0535795033668824</v>
      </c>
      <c r="L406" s="47">
        <f t="shared" si="178"/>
        <v>1.1769882735715118</v>
      </c>
      <c r="M406" s="47">
        <f t="shared" si="178"/>
        <v>1.3101110132256635</v>
      </c>
      <c r="N406" s="47">
        <f t="shared" si="178"/>
        <v>1.4536699922083431</v>
      </c>
      <c r="O406" s="47">
        <f t="shared" si="178"/>
        <v>1.6084399600576318</v>
      </c>
      <c r="P406" s="47">
        <f t="shared" si="178"/>
        <v>1.7752519192320424</v>
      </c>
      <c r="Q406" s="47">
        <f t="shared" si="178"/>
        <v>1.9549971683110836</v>
      </c>
      <c r="R406" s="47">
        <f t="shared" si="178"/>
        <v>2.1486316343996208</v>
      </c>
      <c r="S406" s="47">
        <f t="shared" si="178"/>
        <v>2.3571805153738303</v>
      </c>
      <c r="T406" s="47">
        <f t="shared" si="178"/>
        <v>0.34221913749625382</v>
      </c>
      <c r="U406" s="47">
        <f t="shared" si="178"/>
        <v>0.37378860472595998</v>
      </c>
      <c r="V406" s="47">
        <f t="shared" si="178"/>
        <v>0.40682071576276346</v>
      </c>
    </row>
    <row r="408" spans="2:22">
      <c r="B408" s="407" t="s">
        <v>32</v>
      </c>
      <c r="C408" s="407"/>
      <c r="D408" s="407"/>
      <c r="E408" s="407"/>
      <c r="F408" s="407"/>
      <c r="G408" s="407"/>
      <c r="H408" s="407"/>
      <c r="I408" s="407"/>
      <c r="J408" s="9">
        <f>J$8</f>
        <v>2024</v>
      </c>
      <c r="K408" s="9">
        <f t="shared" ref="K408:V408" si="179">K$8</f>
        <v>2025</v>
      </c>
      <c r="L408" s="9">
        <f t="shared" si="179"/>
        <v>2026</v>
      </c>
      <c r="M408" s="9">
        <f t="shared" si="179"/>
        <v>2027</v>
      </c>
      <c r="N408" s="9">
        <f t="shared" si="179"/>
        <v>2028</v>
      </c>
      <c r="O408" s="9">
        <f t="shared" si="179"/>
        <v>2029</v>
      </c>
      <c r="P408" s="9">
        <f t="shared" si="179"/>
        <v>2030</v>
      </c>
      <c r="Q408" s="9">
        <f t="shared" si="179"/>
        <v>2031</v>
      </c>
      <c r="R408" s="9">
        <f t="shared" si="179"/>
        <v>2032</v>
      </c>
      <c r="S408" s="9">
        <f t="shared" si="179"/>
        <v>2033</v>
      </c>
      <c r="T408" s="9">
        <f t="shared" si="179"/>
        <v>2034</v>
      </c>
      <c r="U408" s="9">
        <f t="shared" si="179"/>
        <v>2035</v>
      </c>
      <c r="V408" s="9">
        <f t="shared" si="179"/>
        <v>2036</v>
      </c>
    </row>
    <row r="409" spans="2:22">
      <c r="B409" s="55" t="s">
        <v>1021</v>
      </c>
      <c r="C409" s="51"/>
      <c r="D409" s="51"/>
      <c r="E409" s="51"/>
      <c r="F409" s="51"/>
      <c r="G409" s="51"/>
      <c r="H409" s="51"/>
      <c r="I409" s="51"/>
      <c r="J409" s="56">
        <f>IFERROR(J394/J392,0)</f>
        <v>0.10596308806876244</v>
      </c>
      <c r="K409" s="56">
        <f t="shared" ref="K409:V409" si="180">IFERROR(K394/K392,0)</f>
        <v>0.10779375101352714</v>
      </c>
      <c r="L409" s="56">
        <f t="shared" si="180"/>
        <v>0.1095619258202107</v>
      </c>
      <c r="M409" s="56">
        <f t="shared" si="180"/>
        <v>0.11126976561057561</v>
      </c>
      <c r="N409" s="56">
        <f t="shared" si="180"/>
        <v>0.11291934799194195</v>
      </c>
      <c r="O409" s="56">
        <f t="shared" si="180"/>
        <v>0.1145126777920399</v>
      </c>
      <c r="P409" s="56">
        <f t="shared" si="180"/>
        <v>0.11605168968928169</v>
      </c>
      <c r="Q409" s="56">
        <f t="shared" si="180"/>
        <v>0.11753825074279511</v>
      </c>
      <c r="R409" s="56">
        <f t="shared" si="180"/>
        <v>0.11897416282636183</v>
      </c>
      <c r="S409" s="56">
        <f t="shared" si="180"/>
        <v>0.12036116497021389</v>
      </c>
      <c r="T409" s="56">
        <f t="shared" si="180"/>
        <v>6.9148371490291058E-2</v>
      </c>
      <c r="U409" s="56">
        <f t="shared" si="180"/>
        <v>6.9596007555321276E-2</v>
      </c>
      <c r="V409" s="56">
        <f t="shared" si="180"/>
        <v>7.0041047833735104E-2</v>
      </c>
    </row>
    <row r="410" spans="2:22">
      <c r="B410" s="55" t="s">
        <v>1022</v>
      </c>
      <c r="C410" s="51"/>
      <c r="D410" s="51"/>
      <c r="E410" s="51"/>
      <c r="F410" s="51"/>
      <c r="G410" s="51"/>
      <c r="H410" s="51"/>
      <c r="I410" s="51"/>
      <c r="J410" s="56">
        <f>IFERROR(J397/J392,0)</f>
        <v>9.6279163263622555E-2</v>
      </c>
      <c r="K410" s="52">
        <f t="shared" ref="K410:T410" si="181">IFERROR(K400/K394,0)</f>
        <v>0.75063640285148836</v>
      </c>
      <c r="L410" s="52">
        <f t="shared" si="181"/>
        <v>0.77018988074128614</v>
      </c>
      <c r="M410" s="52">
        <f t="shared" si="181"/>
        <v>0.78803533249649371</v>
      </c>
      <c r="N410" s="52">
        <f t="shared" si="181"/>
        <v>0.80434370158688828</v>
      </c>
      <c r="O410" s="52">
        <f t="shared" si="181"/>
        <v>0.81926598061367573</v>
      </c>
      <c r="P410" s="52">
        <f t="shared" si="181"/>
        <v>0.8329359300916257</v>
      </c>
      <c r="Q410" s="52">
        <f t="shared" si="181"/>
        <v>0.84547236986450147</v>
      </c>
      <c r="R410" s="52">
        <f t="shared" si="181"/>
        <v>0.85698111927937293</v>
      </c>
      <c r="S410" s="52">
        <f t="shared" si="181"/>
        <v>0.86755664714264957</v>
      </c>
      <c r="T410" s="52">
        <f t="shared" si="181"/>
        <v>0.48654933603166078</v>
      </c>
      <c r="U410" s="52">
        <f>IFERROR(U400/U394,0)</f>
        <v>0.50770675285953448</v>
      </c>
      <c r="V410" s="52">
        <f>IFERROR(V400/V394,0)</f>
        <v>0.52794453019851517</v>
      </c>
    </row>
    <row r="411" spans="2:22">
      <c r="B411" s="55" t="s">
        <v>990</v>
      </c>
      <c r="C411" s="51"/>
      <c r="D411" s="51"/>
      <c r="E411" s="51"/>
      <c r="F411" s="51"/>
      <c r="G411" s="51"/>
      <c r="H411" s="51"/>
      <c r="I411" s="51"/>
      <c r="J411" s="52">
        <f>IFERROR(J406/J392,0)</f>
        <v>6.0267671399321696E-2</v>
      </c>
      <c r="K411" s="52">
        <f t="shared" ref="K411:V411" si="182">IFERROR(K406/K392,0)</f>
        <v>6.3112852538317138E-2</v>
      </c>
      <c r="L411" s="52">
        <f t="shared" si="182"/>
        <v>6.5819119533377893E-2</v>
      </c>
      <c r="M411" s="52">
        <f t="shared" si="182"/>
        <v>6.8393915256994758E-2</v>
      </c>
      <c r="N411" s="52">
        <f t="shared" si="182"/>
        <v>7.0844253748800892E-2</v>
      </c>
      <c r="O411" s="52">
        <f t="shared" si="182"/>
        <v>7.3176746185914895E-2</v>
      </c>
      <c r="P411" s="52">
        <f t="shared" si="182"/>
        <v>7.5397625230236326E-2</v>
      </c>
      <c r="Q411" s="52">
        <f t="shared" si="182"/>
        <v>7.7512767856086406E-2</v>
      </c>
      <c r="R411" s="52">
        <f t="shared" si="182"/>
        <v>7.9527716754924316E-2</v>
      </c>
      <c r="S411" s="52">
        <f t="shared" si="182"/>
        <v>8.1447700407638823E-2</v>
      </c>
      <c r="T411" s="52">
        <f t="shared" si="182"/>
        <v>2.6242393504291958E-2</v>
      </c>
      <c r="U411" s="52">
        <f t="shared" si="182"/>
        <v>2.7560803146161838E-2</v>
      </c>
      <c r="V411" s="52">
        <f t="shared" si="182"/>
        <v>2.8842674712690548E-2</v>
      </c>
    </row>
    <row r="413" spans="2:22" ht="24" thickBot="1">
      <c r="B413" s="14" t="s">
        <v>1040</v>
      </c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</row>
    <row r="414" spans="2:22">
      <c r="B414" s="2" t="s">
        <v>29</v>
      </c>
      <c r="F414" s="6">
        <f>Output_FSL!$F$39</f>
        <v>1</v>
      </c>
    </row>
    <row r="415" spans="2:22">
      <c r="B415" s="407" t="s">
        <v>623</v>
      </c>
      <c r="I415" s="48">
        <f>SUM(J415:V415)</f>
        <v>195.76121882443647</v>
      </c>
      <c r="J415" s="23">
        <f>Calculation_FSL!J940*$F$414</f>
        <v>9.1948593189206882</v>
      </c>
      <c r="K415" s="23">
        <f>Calculation_FSL!K940*$F$414</f>
        <v>9.9442403534127255</v>
      </c>
      <c r="L415" s="23">
        <f>Calculation_FSL!L940*$F$414</f>
        <v>10.754695942215863</v>
      </c>
      <c r="M415" s="23">
        <f>Calculation_FSL!M940*$F$414</f>
        <v>11.631203661506458</v>
      </c>
      <c r="N415" s="23">
        <f>Calculation_FSL!N940*$F$414</f>
        <v>12.579146759919235</v>
      </c>
      <c r="O415" s="23">
        <f>Calculation_FSL!O940*$F$414</f>
        <v>13.604347220852654</v>
      </c>
      <c r="P415" s="23">
        <f>Calculation_FSL!P940*$F$414</f>
        <v>14.713101519352145</v>
      </c>
      <c r="Q415" s="23">
        <f>Calculation_FSL!Q940*$F$414</f>
        <v>15.912219293179344</v>
      </c>
      <c r="R415" s="23">
        <f>Calculation_FSL!R940*$F$414</f>
        <v>17.20906516557346</v>
      </c>
      <c r="S415" s="23">
        <f>Calculation_FSL!S940*$F$414</f>
        <v>18.6116039765677</v>
      </c>
      <c r="T415" s="23">
        <f>Calculation_FSL!T940*$F$414</f>
        <v>19.542184175396084</v>
      </c>
      <c r="U415" s="23">
        <f>Calculation_FSL!U940*$F$414</f>
        <v>20.519293384165891</v>
      </c>
      <c r="V415" s="23">
        <f>Calculation_FSL!V940*$F$414</f>
        <v>21.545258053374191</v>
      </c>
    </row>
    <row r="416" spans="2:22">
      <c r="B416" s="407" t="s">
        <v>473</v>
      </c>
      <c r="I416" s="48">
        <f>SUM(J416:V416)</f>
        <v>-152.19337852849662</v>
      </c>
      <c r="J416" s="23">
        <f>-Calculation_FSL!J942*$F$414</f>
        <v>-7.2337100025868368</v>
      </c>
      <c r="K416" s="23">
        <f>-Calculation_FSL!K942*$F$414</f>
        <v>-7.8069424754420353</v>
      </c>
      <c r="L416" s="23">
        <f>-Calculation_FSL!L942*$F$414</f>
        <v>-8.4263299401753606</v>
      </c>
      <c r="M416" s="23">
        <f>-Calculation_FSL!M942*$F$414</f>
        <v>-9.0956143077118021</v>
      </c>
      <c r="N416" s="23">
        <f>-Calculation_FSL!N942*$F$414</f>
        <v>-9.8188417644847608</v>
      </c>
      <c r="O416" s="23">
        <f>-Calculation_FSL!O942*$F$414</f>
        <v>-10.600387546731902</v>
      </c>
      <c r="P416" s="23">
        <f>-Calculation_FSL!P942*$F$414</f>
        <v>-11.444982733050519</v>
      </c>
      <c r="Q416" s="23">
        <f>-Calculation_FSL!Q942*$F$414</f>
        <v>-12.357743219671075</v>
      </c>
      <c r="R416" s="23">
        <f>-Calculation_FSL!R942*$F$414</f>
        <v>-13.34420105630978</v>
      </c>
      <c r="S416" s="23">
        <f>-Calculation_FSL!S942*$F$414</f>
        <v>-14.410338334955664</v>
      </c>
      <c r="T416" s="23">
        <f>-Calculation_FSL!T942*$F$414</f>
        <v>-15.123644917335865</v>
      </c>
      <c r="U416" s="23">
        <f>-Calculation_FSL!U942*$F$414</f>
        <v>-15.872369109201461</v>
      </c>
      <c r="V416" s="23">
        <f>-Calculation_FSL!V942*$F$414</f>
        <v>-16.658273120839546</v>
      </c>
    </row>
    <row r="417" spans="2:22">
      <c r="B417" s="28" t="s">
        <v>1017</v>
      </c>
      <c r="C417" s="28"/>
      <c r="D417" s="28"/>
      <c r="E417" s="28"/>
      <c r="F417" s="28"/>
      <c r="G417" s="28"/>
      <c r="H417" s="28"/>
      <c r="I417" s="49">
        <f>SUM(J417:V417)</f>
        <v>43.567840295939831</v>
      </c>
      <c r="J417" s="47">
        <f t="shared" ref="J417:V417" si="183">SUM(J415:J416)</f>
        <v>1.9611493163338514</v>
      </c>
      <c r="K417" s="47">
        <f t="shared" si="183"/>
        <v>2.1372978779706902</v>
      </c>
      <c r="L417" s="47">
        <f t="shared" si="183"/>
        <v>2.3283660020405019</v>
      </c>
      <c r="M417" s="47">
        <f t="shared" si="183"/>
        <v>2.5355893537946557</v>
      </c>
      <c r="N417" s="47">
        <f t="shared" si="183"/>
        <v>2.7603049954344741</v>
      </c>
      <c r="O417" s="47">
        <f t="shared" si="183"/>
        <v>3.0039596741207522</v>
      </c>
      <c r="P417" s="47">
        <f t="shared" si="183"/>
        <v>3.2681187863016259</v>
      </c>
      <c r="Q417" s="47">
        <f t="shared" si="183"/>
        <v>3.554476073508269</v>
      </c>
      <c r="R417" s="47">
        <f t="shared" si="183"/>
        <v>3.8648641092636797</v>
      </c>
      <c r="S417" s="47">
        <f t="shared" si="183"/>
        <v>4.2012656416120358</v>
      </c>
      <c r="T417" s="47">
        <f t="shared" si="183"/>
        <v>4.4185392580602194</v>
      </c>
      <c r="U417" s="47">
        <f t="shared" si="183"/>
        <v>4.6469242749644302</v>
      </c>
      <c r="V417" s="47">
        <f t="shared" si="183"/>
        <v>4.8869849325346451</v>
      </c>
    </row>
    <row r="418" spans="2:22">
      <c r="L418" s="1"/>
    </row>
    <row r="419" spans="2:22">
      <c r="B419" t="s">
        <v>852</v>
      </c>
      <c r="I419" s="48">
        <f>SUM(J419:V419)</f>
        <v>-1.1427778611574144</v>
      </c>
      <c r="J419" s="53">
        <f>-Calculation_FSL!J969*$F$414</f>
        <v>-8.2754052736800005E-2</v>
      </c>
      <c r="K419" s="53">
        <f>-Calculation_FSL!K969*$F$414</f>
        <v>-8.3581593264168003E-2</v>
      </c>
      <c r="L419" s="53">
        <f>-Calculation_FSL!L969*$F$414</f>
        <v>-8.4417409196809665E-2</v>
      </c>
      <c r="M419" s="53">
        <f>-Calculation_FSL!M969*$F$414</f>
        <v>-8.5261583288777781E-2</v>
      </c>
      <c r="N419" s="53">
        <f>-Calculation_FSL!N969*$F$414</f>
        <v>-8.6114199121665541E-2</v>
      </c>
      <c r="O419" s="53">
        <f>-Calculation_FSL!O969*$F$414</f>
        <v>-8.6975341112882215E-2</v>
      </c>
      <c r="P419" s="53">
        <f>-Calculation_FSL!P969*$F$414</f>
        <v>-8.7845094524011028E-2</v>
      </c>
      <c r="Q419" s="53">
        <f>-Calculation_FSL!Q969*$F$414</f>
        <v>-8.8723545469251139E-2</v>
      </c>
      <c r="R419" s="53">
        <f>-Calculation_FSL!R969*$F$414</f>
        <v>-8.9610780923943645E-2</v>
      </c>
      <c r="S419" s="53">
        <f>-Calculation_FSL!S969*$F$414</f>
        <v>-9.0506888733183091E-2</v>
      </c>
      <c r="T419" s="53">
        <f>-Calculation_FSL!T969*$F$414</f>
        <v>-9.1411957620514933E-2</v>
      </c>
      <c r="U419" s="53">
        <f>-Calculation_FSL!U969*$F$414</f>
        <v>-9.2326077196720063E-2</v>
      </c>
      <c r="V419" s="53">
        <f>-Calculation_FSL!V969*$F$414</f>
        <v>-9.3249337968687285E-2</v>
      </c>
    </row>
    <row r="420" spans="2:22">
      <c r="B420" s="28" t="s">
        <v>139</v>
      </c>
      <c r="C420" s="28"/>
      <c r="D420" s="28"/>
      <c r="E420" s="28"/>
      <c r="F420" s="28"/>
      <c r="G420" s="28"/>
      <c r="H420" s="28"/>
      <c r="I420" s="49">
        <f>SUM(J420:V420)</f>
        <v>42.425062434782419</v>
      </c>
      <c r="J420" s="47">
        <f t="shared" ref="J420:V420" si="184">SUM(J417,J419)</f>
        <v>1.8783952635970513</v>
      </c>
      <c r="K420" s="47">
        <f t="shared" si="184"/>
        <v>2.053716284706522</v>
      </c>
      <c r="L420" s="47">
        <f t="shared" si="184"/>
        <v>2.2439485928436924</v>
      </c>
      <c r="M420" s="47">
        <f t="shared" si="184"/>
        <v>2.4503277705058779</v>
      </c>
      <c r="N420" s="47">
        <f t="shared" si="184"/>
        <v>2.6741907963128084</v>
      </c>
      <c r="O420" s="47">
        <f t="shared" si="184"/>
        <v>2.91698433300787</v>
      </c>
      <c r="P420" s="47">
        <f t="shared" si="184"/>
        <v>3.1802736917776149</v>
      </c>
      <c r="Q420" s="47">
        <f t="shared" si="184"/>
        <v>3.465752528039018</v>
      </c>
      <c r="R420" s="47">
        <f t="shared" si="184"/>
        <v>3.775253328339736</v>
      </c>
      <c r="S420" s="47">
        <f t="shared" si="184"/>
        <v>4.1107587528788523</v>
      </c>
      <c r="T420" s="47">
        <f t="shared" si="184"/>
        <v>4.3271273004397042</v>
      </c>
      <c r="U420" s="47">
        <f t="shared" si="184"/>
        <v>4.5545981977677101</v>
      </c>
      <c r="V420" s="47">
        <f t="shared" si="184"/>
        <v>4.7937355945659581</v>
      </c>
    </row>
    <row r="422" spans="2:22">
      <c r="B422" t="s">
        <v>1018</v>
      </c>
      <c r="I422" s="49">
        <f>SUM(J422:V422)</f>
        <v>-1.0831809783600002</v>
      </c>
      <c r="J422" s="53">
        <f>-Calculation_FSL!J945*$F$414</f>
        <v>-8.3321613719999993E-2</v>
      </c>
      <c r="K422" s="53">
        <f>-Calculation_FSL!K945*$F$414</f>
        <v>-8.3321613719999993E-2</v>
      </c>
      <c r="L422" s="53">
        <f>-Calculation_FSL!L945*$F$414</f>
        <v>-8.3321613719999993E-2</v>
      </c>
      <c r="M422" s="53">
        <f>-Calculation_FSL!M945*$F$414</f>
        <v>-8.3321613719999993E-2</v>
      </c>
      <c r="N422" s="53">
        <f>-Calculation_FSL!N945*$F$414</f>
        <v>-8.3321613719999993E-2</v>
      </c>
      <c r="O422" s="53">
        <f>-Calculation_FSL!O945*$F$414</f>
        <v>-8.3321613719999993E-2</v>
      </c>
      <c r="P422" s="53">
        <f>-Calculation_FSL!P945*$F$414</f>
        <v>-8.3321613719999993E-2</v>
      </c>
      <c r="Q422" s="53">
        <f>-Calculation_FSL!Q945*$F$414</f>
        <v>-8.3321613719999993E-2</v>
      </c>
      <c r="R422" s="53">
        <f>-Calculation_FSL!R945*$F$414</f>
        <v>-8.3321613719999993E-2</v>
      </c>
      <c r="S422" s="53">
        <f>-Calculation_FSL!S945*$F$414</f>
        <v>-8.3321613719999993E-2</v>
      </c>
      <c r="T422" s="53">
        <f>-Calculation_FSL!T945*$F$414</f>
        <v>-8.3321613719999993E-2</v>
      </c>
      <c r="U422" s="53">
        <f>-Calculation_FSL!U945*$F$414</f>
        <v>-8.3321613719999993E-2</v>
      </c>
      <c r="V422" s="53">
        <f>-Calculation_FSL!V945*$F$414</f>
        <v>-8.3321613719999993E-2</v>
      </c>
    </row>
    <row r="423" spans="2:22">
      <c r="B423" s="28" t="s">
        <v>434</v>
      </c>
      <c r="C423" s="28"/>
      <c r="D423" s="28"/>
      <c r="E423" s="28"/>
      <c r="F423" s="28"/>
      <c r="G423" s="28"/>
      <c r="H423" s="28"/>
      <c r="I423" s="49">
        <f>SUM(J423:V423)</f>
        <v>41.341881456422414</v>
      </c>
      <c r="J423" s="47">
        <f t="shared" ref="J423:V423" si="185">SUM(J420,J422)</f>
        <v>1.7950736498770514</v>
      </c>
      <c r="K423" s="47">
        <f t="shared" si="185"/>
        <v>1.9703946709865221</v>
      </c>
      <c r="L423" s="47">
        <f t="shared" si="185"/>
        <v>2.1606269791236925</v>
      </c>
      <c r="M423" s="47">
        <f t="shared" si="185"/>
        <v>2.367006156785878</v>
      </c>
      <c r="N423" s="47">
        <f t="shared" si="185"/>
        <v>2.5908691825928085</v>
      </c>
      <c r="O423" s="47">
        <f t="shared" si="185"/>
        <v>2.8336627192878701</v>
      </c>
      <c r="P423" s="47">
        <f t="shared" si="185"/>
        <v>3.096952078057615</v>
      </c>
      <c r="Q423" s="47">
        <f t="shared" si="185"/>
        <v>3.3824309143190181</v>
      </c>
      <c r="R423" s="47">
        <f t="shared" si="185"/>
        <v>3.6919317146197361</v>
      </c>
      <c r="S423" s="47">
        <f t="shared" si="185"/>
        <v>4.0274371391588524</v>
      </c>
      <c r="T423" s="47">
        <f t="shared" si="185"/>
        <v>4.2438056867197043</v>
      </c>
      <c r="U423" s="47">
        <f t="shared" si="185"/>
        <v>4.4712765840477102</v>
      </c>
      <c r="V423" s="47">
        <f t="shared" si="185"/>
        <v>4.7104139808459582</v>
      </c>
    </row>
    <row r="424" spans="2:22"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</row>
    <row r="425" spans="2:22">
      <c r="B425" t="s">
        <v>881</v>
      </c>
      <c r="I425" s="48">
        <f>SUM(J425:V425)</f>
        <v>0</v>
      </c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</row>
    <row r="426" spans="2:22">
      <c r="B426" s="28" t="s">
        <v>1019</v>
      </c>
      <c r="C426" s="28"/>
      <c r="D426" s="28"/>
      <c r="E426" s="28"/>
      <c r="F426" s="28"/>
      <c r="G426" s="28"/>
      <c r="H426" s="28"/>
      <c r="I426" s="48">
        <f>SUM(J426:V426)</f>
        <v>41.341881456422414</v>
      </c>
      <c r="J426" s="47">
        <f t="shared" ref="J426:V426" si="186">SUM(J423,J425)</f>
        <v>1.7950736498770514</v>
      </c>
      <c r="K426" s="47">
        <f t="shared" si="186"/>
        <v>1.9703946709865221</v>
      </c>
      <c r="L426" s="47">
        <f t="shared" si="186"/>
        <v>2.1606269791236925</v>
      </c>
      <c r="M426" s="47">
        <f t="shared" si="186"/>
        <v>2.367006156785878</v>
      </c>
      <c r="N426" s="47">
        <f t="shared" si="186"/>
        <v>2.5908691825928085</v>
      </c>
      <c r="O426" s="47">
        <f t="shared" si="186"/>
        <v>2.8336627192878701</v>
      </c>
      <c r="P426" s="47">
        <f t="shared" si="186"/>
        <v>3.096952078057615</v>
      </c>
      <c r="Q426" s="47">
        <f t="shared" si="186"/>
        <v>3.3824309143190181</v>
      </c>
      <c r="R426" s="47">
        <f t="shared" si="186"/>
        <v>3.6919317146197361</v>
      </c>
      <c r="S426" s="47">
        <f t="shared" si="186"/>
        <v>4.0274371391588524</v>
      </c>
      <c r="T426" s="47">
        <f t="shared" si="186"/>
        <v>4.2438056867197043</v>
      </c>
      <c r="U426" s="47">
        <f t="shared" si="186"/>
        <v>4.4712765840477102</v>
      </c>
      <c r="V426" s="47">
        <f t="shared" si="186"/>
        <v>4.7104139808459582</v>
      </c>
    </row>
    <row r="427" spans="2:22"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</row>
    <row r="428" spans="2:22">
      <c r="B428" t="s">
        <v>759</v>
      </c>
      <c r="I428" s="48">
        <f>SUM(J428:V428)</f>
        <v>-9.0952139204129328</v>
      </c>
      <c r="J428" s="23">
        <f>-IF(J426&lt;0,0,J426*22%)</f>
        <v>-0.39491620297295132</v>
      </c>
      <c r="K428" s="23">
        <f t="shared" ref="K428:V428" si="187">-IF(K426&lt;0,0,K426*22%)</f>
        <v>-0.43348682761703489</v>
      </c>
      <c r="L428" s="23">
        <f t="shared" si="187"/>
        <v>-0.47533793540721236</v>
      </c>
      <c r="M428" s="23">
        <f t="shared" si="187"/>
        <v>-0.52074135449289316</v>
      </c>
      <c r="N428" s="23">
        <f t="shared" si="187"/>
        <v>-0.56999122017041792</v>
      </c>
      <c r="O428" s="23">
        <f t="shared" si="187"/>
        <v>-0.62340579824333142</v>
      </c>
      <c r="P428" s="23">
        <f t="shared" si="187"/>
        <v>-0.68132945717267535</v>
      </c>
      <c r="Q428" s="23">
        <f t="shared" si="187"/>
        <v>-0.74413480115018393</v>
      </c>
      <c r="R428" s="23">
        <f t="shared" si="187"/>
        <v>-0.8122249772163419</v>
      </c>
      <c r="S428" s="23">
        <f t="shared" si="187"/>
        <v>-0.88603617061494755</v>
      </c>
      <c r="T428" s="23">
        <f t="shared" si="187"/>
        <v>-0.93363725107833495</v>
      </c>
      <c r="U428" s="23">
        <f t="shared" si="187"/>
        <v>-0.98368084849049631</v>
      </c>
      <c r="V428" s="23">
        <f t="shared" si="187"/>
        <v>-1.0362910757861108</v>
      </c>
    </row>
    <row r="429" spans="2:22">
      <c r="B429" s="28" t="s">
        <v>1020</v>
      </c>
      <c r="C429" s="28"/>
      <c r="D429" s="28"/>
      <c r="E429" s="28"/>
      <c r="F429" s="28"/>
      <c r="G429" s="28"/>
      <c r="H429" s="28"/>
      <c r="I429" s="48">
        <f>SUM(J429:V429)</f>
        <v>32.24666753600949</v>
      </c>
      <c r="J429" s="47">
        <f t="shared" ref="J429:V429" si="188">SUM(J426,J428)</f>
        <v>1.4001574469041</v>
      </c>
      <c r="K429" s="47">
        <f t="shared" si="188"/>
        <v>1.5369078433694872</v>
      </c>
      <c r="L429" s="47">
        <f t="shared" si="188"/>
        <v>1.6852890437164803</v>
      </c>
      <c r="M429" s="47">
        <f t="shared" si="188"/>
        <v>1.8462648022929848</v>
      </c>
      <c r="N429" s="47">
        <f t="shared" si="188"/>
        <v>2.0208779624223907</v>
      </c>
      <c r="O429" s="47">
        <f t="shared" si="188"/>
        <v>2.2102569210445386</v>
      </c>
      <c r="P429" s="47">
        <f t="shared" si="188"/>
        <v>2.4156226208849398</v>
      </c>
      <c r="Q429" s="47">
        <f t="shared" si="188"/>
        <v>2.6382961131688343</v>
      </c>
      <c r="R429" s="47">
        <f t="shared" si="188"/>
        <v>2.879706737403394</v>
      </c>
      <c r="S429" s="47">
        <f t="shared" si="188"/>
        <v>3.1414009685439046</v>
      </c>
      <c r="T429" s="47">
        <f t="shared" si="188"/>
        <v>3.3101684356413692</v>
      </c>
      <c r="U429" s="47">
        <f t="shared" si="188"/>
        <v>3.487595735557214</v>
      </c>
      <c r="V429" s="47">
        <f t="shared" si="188"/>
        <v>3.6741229050598472</v>
      </c>
    </row>
    <row r="431" spans="2:22">
      <c r="B431" s="407" t="s">
        <v>32</v>
      </c>
      <c r="C431" s="407"/>
      <c r="D431" s="407"/>
      <c r="E431" s="407"/>
      <c r="F431" s="407"/>
      <c r="G431" s="407"/>
      <c r="H431" s="407"/>
      <c r="I431" s="407"/>
      <c r="J431" s="9">
        <f>J$8</f>
        <v>2024</v>
      </c>
      <c r="K431" s="9">
        <f t="shared" ref="K431:V431" si="189">K$8</f>
        <v>2025</v>
      </c>
      <c r="L431" s="9">
        <f t="shared" si="189"/>
        <v>2026</v>
      </c>
      <c r="M431" s="9">
        <f t="shared" si="189"/>
        <v>2027</v>
      </c>
      <c r="N431" s="9">
        <f t="shared" si="189"/>
        <v>2028</v>
      </c>
      <c r="O431" s="9">
        <f t="shared" si="189"/>
        <v>2029</v>
      </c>
      <c r="P431" s="9">
        <f t="shared" si="189"/>
        <v>2030</v>
      </c>
      <c r="Q431" s="9">
        <f t="shared" si="189"/>
        <v>2031</v>
      </c>
      <c r="R431" s="9">
        <f t="shared" si="189"/>
        <v>2032</v>
      </c>
      <c r="S431" s="9">
        <f t="shared" si="189"/>
        <v>2033</v>
      </c>
      <c r="T431" s="9">
        <f t="shared" si="189"/>
        <v>2034</v>
      </c>
      <c r="U431" s="9">
        <f t="shared" si="189"/>
        <v>2035</v>
      </c>
      <c r="V431" s="9">
        <f t="shared" si="189"/>
        <v>2036</v>
      </c>
    </row>
    <row r="432" spans="2:22">
      <c r="B432" s="55" t="s">
        <v>1021</v>
      </c>
      <c r="C432" s="51"/>
      <c r="D432" s="51"/>
      <c r="E432" s="51"/>
      <c r="F432" s="51"/>
      <c r="G432" s="51"/>
      <c r="H432" s="51"/>
      <c r="I432" s="51"/>
      <c r="J432" s="56">
        <f>IFERROR(J417/J415,0)</f>
        <v>0.21328758258414063</v>
      </c>
      <c r="K432" s="56">
        <f t="shared" ref="K432:V432" si="190">IFERROR(K417/K415,0)</f>
        <v>0.21492821995570524</v>
      </c>
      <c r="L432" s="56">
        <f t="shared" si="190"/>
        <v>0.2164976131868934</v>
      </c>
      <c r="M432" s="56">
        <f t="shared" si="190"/>
        <v>0.21799887849837973</v>
      </c>
      <c r="N432" s="56">
        <f t="shared" si="190"/>
        <v>0.21943499413088943</v>
      </c>
      <c r="O432" s="56">
        <f t="shared" si="190"/>
        <v>0.22080880657884874</v>
      </c>
      <c r="P432" s="56">
        <f t="shared" si="190"/>
        <v>0.22212303653332838</v>
      </c>
      <c r="Q432" s="56">
        <f t="shared" si="190"/>
        <v>0.22338028454848338</v>
      </c>
      <c r="R432" s="56">
        <f t="shared" si="190"/>
        <v>0.22458303644496022</v>
      </c>
      <c r="S432" s="56">
        <f t="shared" si="190"/>
        <v>0.22573366846304568</v>
      </c>
      <c r="T432" s="56">
        <f t="shared" si="190"/>
        <v>0.22610263102643507</v>
      </c>
      <c r="U432" s="56">
        <f t="shared" si="190"/>
        <v>0.2264660964665732</v>
      </c>
      <c r="V432" s="56">
        <f t="shared" si="190"/>
        <v>0.22682415408662499</v>
      </c>
    </row>
    <row r="433" spans="2:22">
      <c r="B433" s="55" t="s">
        <v>1022</v>
      </c>
      <c r="C433" s="51"/>
      <c r="D433" s="51"/>
      <c r="E433" s="51"/>
      <c r="F433" s="51"/>
      <c r="G433" s="51"/>
      <c r="H433" s="51"/>
      <c r="I433" s="51"/>
      <c r="J433" s="56">
        <f>IFERROR(J420/J415,0)</f>
        <v>0.2042875479053595</v>
      </c>
      <c r="K433" s="52">
        <f t="shared" ref="K433:T433" si="191">IFERROR(K423/K417,0)</f>
        <v>0.92190924404854679</v>
      </c>
      <c r="L433" s="52">
        <f t="shared" si="191"/>
        <v>0.92795848128266412</v>
      </c>
      <c r="M433" s="52">
        <f t="shared" si="191"/>
        <v>0.93351320995393705</v>
      </c>
      <c r="N433" s="52">
        <f t="shared" si="191"/>
        <v>0.9386169959037457</v>
      </c>
      <c r="O433" s="52">
        <f t="shared" si="191"/>
        <v>0.94330917412107829</v>
      </c>
      <c r="P433" s="52">
        <f t="shared" si="191"/>
        <v>0.94762531002194317</v>
      </c>
      <c r="Q433" s="52">
        <f t="shared" si="191"/>
        <v>0.95159760380115821</v>
      </c>
      <c r="R433" s="52">
        <f t="shared" si="191"/>
        <v>0.95525524578485377</v>
      </c>
      <c r="S433" s="52">
        <f t="shared" si="191"/>
        <v>0.95862472947878508</v>
      </c>
      <c r="T433" s="52">
        <f t="shared" si="191"/>
        <v>0.96045444860045792</v>
      </c>
      <c r="U433" s="52">
        <f>IFERROR(U423/U417,0)</f>
        <v>0.96220130122131919</v>
      </c>
      <c r="V433" s="52">
        <f>IFERROR(V423/V417,0)</f>
        <v>0.9638691434235489</v>
      </c>
    </row>
    <row r="434" spans="2:22">
      <c r="B434" s="55" t="s">
        <v>990</v>
      </c>
      <c r="C434" s="51"/>
      <c r="D434" s="51"/>
      <c r="E434" s="51"/>
      <c r="F434" s="51"/>
      <c r="G434" s="51"/>
      <c r="H434" s="51"/>
      <c r="I434" s="51"/>
      <c r="J434" s="52">
        <f>IFERROR(J429/J415,0)</f>
        <v>0.1522761141133428</v>
      </c>
      <c r="K434" s="52">
        <f t="shared" ref="K434:V434" si="192">IFERROR(K429/K415,0)</f>
        <v>0.15455256397156991</v>
      </c>
      <c r="L434" s="52">
        <f t="shared" si="192"/>
        <v>0.15670262114070041</v>
      </c>
      <c r="M434" s="52">
        <f t="shared" si="192"/>
        <v>0.15873376961003699</v>
      </c>
      <c r="N434" s="52">
        <f t="shared" si="192"/>
        <v>0.16065302369008738</v>
      </c>
      <c r="O434" s="52">
        <f t="shared" si="192"/>
        <v>0.16246695891859267</v>
      </c>
      <c r="P434" s="52">
        <f t="shared" si="192"/>
        <v>0.16418174085917037</v>
      </c>
      <c r="Q434" s="52">
        <f t="shared" si="192"/>
        <v>0.16580315193995099</v>
      </c>
      <c r="R434" s="52">
        <f t="shared" si="192"/>
        <v>0.16733661646910458</v>
      </c>
      <c r="S434" s="52">
        <f t="shared" si="192"/>
        <v>0.16878722395441992</v>
      </c>
      <c r="T434" s="52">
        <f t="shared" si="192"/>
        <v>0.16938579669149384</v>
      </c>
      <c r="U434" s="52">
        <f t="shared" si="192"/>
        <v>0.16996665870806665</v>
      </c>
      <c r="V434" s="52">
        <f t="shared" si="192"/>
        <v>0.17053046642365208</v>
      </c>
    </row>
    <row r="436" spans="2:22" ht="24" thickBot="1">
      <c r="B436" s="14" t="s">
        <v>1041</v>
      </c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</row>
    <row r="437" spans="2:22">
      <c r="B437" s="2" t="s">
        <v>29</v>
      </c>
      <c r="F437" s="6">
        <f>Output_FSL!$F$39</f>
        <v>1</v>
      </c>
    </row>
    <row r="438" spans="2:22">
      <c r="B438" s="407" t="s">
        <v>623</v>
      </c>
      <c r="I438" s="48">
        <f>SUM(J438:V438)</f>
        <v>473.88246903428347</v>
      </c>
      <c r="J438" s="23">
        <f>Calculation_FSL!J1028*$F$437</f>
        <v>18.511773624249535</v>
      </c>
      <c r="K438" s="23">
        <f>Calculation_FSL!K1028*$F$437</f>
        <v>20.020483174625877</v>
      </c>
      <c r="L438" s="23">
        <f>Calculation_FSL!L1028*$F$437</f>
        <v>26.50890603876671</v>
      </c>
      <c r="M438" s="23">
        <f>Calculation_FSL!M1028*$F$437</f>
        <v>28.669381880926206</v>
      </c>
      <c r="N438" s="23">
        <f>Calculation_FSL!N1028*$F$437</f>
        <v>31.005936504221687</v>
      </c>
      <c r="O438" s="23">
        <f>Calculation_FSL!O1028*$F$437</f>
        <v>33.532920329315758</v>
      </c>
      <c r="P438" s="23">
        <f>Calculation_FSL!P1028*$F$437</f>
        <v>36.265853336155004</v>
      </c>
      <c r="Q438" s="23">
        <f>Calculation_FSL!Q1028*$F$437</f>
        <v>39.221520383051626</v>
      </c>
      <c r="R438" s="23">
        <f>Calculation_FSL!R1028*$F$437</f>
        <v>42.41807429427034</v>
      </c>
      <c r="S438" s="23">
        <f>Calculation_FSL!S1028*$F$437</f>
        <v>45.875147349253375</v>
      </c>
      <c r="T438" s="23">
        <f>Calculation_FSL!T1028*$F$437</f>
        <v>48.168904716716042</v>
      </c>
      <c r="U438" s="23">
        <f>Calculation_FSL!U1028*$F$437</f>
        <v>50.577349952551849</v>
      </c>
      <c r="V438" s="23">
        <f>Calculation_FSL!V1028*$F$437</f>
        <v>53.106217450179443</v>
      </c>
    </row>
    <row r="439" spans="2:22">
      <c r="B439" s="407" t="s">
        <v>473</v>
      </c>
      <c r="I439" s="48">
        <f>SUM(J439:V439)</f>
        <v>-235.93780191740254</v>
      </c>
      <c r="J439" s="23">
        <f>-Calculation_FSL!J1030*$F$437</f>
        <v>-9.3151188748294285</v>
      </c>
      <c r="K439" s="23">
        <f>-Calculation_FSL!K1030*$F$437</f>
        <v>-10.061949460445287</v>
      </c>
      <c r="L439" s="23">
        <f>-Calculation_FSL!L1030*$F$437</f>
        <v>-13.243441646842074</v>
      </c>
      <c r="M439" s="23">
        <f>-Calculation_FSL!M1030*$F$437</f>
        <v>-14.309550795475888</v>
      </c>
      <c r="N439" s="23">
        <f>-Calculation_FSL!N1030*$F$437</f>
        <v>-15.462084742627914</v>
      </c>
      <c r="O439" s="23">
        <f>-Calculation_FSL!O1030*$F$437</f>
        <v>-16.708070900979063</v>
      </c>
      <c r="P439" s="23">
        <f>-Calculation_FSL!P1030*$F$437</f>
        <v>-18.055108850049781</v>
      </c>
      <c r="Q439" s="23">
        <f>-Calculation_FSL!Q1030*$F$437</f>
        <v>-19.511416947942177</v>
      </c>
      <c r="R439" s="23">
        <f>-Calculation_FSL!R1030*$F$437</f>
        <v>-21.085882741244284</v>
      </c>
      <c r="S439" s="23">
        <f>-Calculation_FSL!S1030*$F$437</f>
        <v>-22.788117482622077</v>
      </c>
      <c r="T439" s="23">
        <f>-Calculation_FSL!T1030*$F$437</f>
        <v>-23.922093044945182</v>
      </c>
      <c r="U439" s="23">
        <f>-Calculation_FSL!U1030*$F$437</f>
        <v>-25.112577324471165</v>
      </c>
      <c r="V439" s="23">
        <f>-Calculation_FSL!V1030*$F$437</f>
        <v>-26.362389104928202</v>
      </c>
    </row>
    <row r="440" spans="2:22">
      <c r="B440" s="28" t="s">
        <v>1017</v>
      </c>
      <c r="C440" s="28"/>
      <c r="D440" s="28"/>
      <c r="E440" s="28"/>
      <c r="F440" s="28"/>
      <c r="G440" s="28"/>
      <c r="H440" s="28"/>
      <c r="I440" s="49">
        <f>SUM(J440:V440)</f>
        <v>237.94466711688094</v>
      </c>
      <c r="J440" s="47">
        <f t="shared" ref="J440:V440" si="193">SUM(J438:J439)</f>
        <v>9.196654749420107</v>
      </c>
      <c r="K440" s="47">
        <f t="shared" si="193"/>
        <v>9.9585337141805894</v>
      </c>
      <c r="L440" s="47">
        <f t="shared" si="193"/>
        <v>13.265464391924636</v>
      </c>
      <c r="M440" s="47">
        <f t="shared" si="193"/>
        <v>14.359831085450319</v>
      </c>
      <c r="N440" s="47">
        <f t="shared" si="193"/>
        <v>15.543851761593773</v>
      </c>
      <c r="O440" s="47">
        <f t="shared" si="193"/>
        <v>16.824849428336695</v>
      </c>
      <c r="P440" s="47">
        <f t="shared" si="193"/>
        <v>18.210744486105224</v>
      </c>
      <c r="Q440" s="47">
        <f t="shared" si="193"/>
        <v>19.710103435109449</v>
      </c>
      <c r="R440" s="47">
        <f t="shared" si="193"/>
        <v>21.332191553026057</v>
      </c>
      <c r="S440" s="47">
        <f t="shared" si="193"/>
        <v>23.087029866631298</v>
      </c>
      <c r="T440" s="47">
        <f t="shared" si="193"/>
        <v>24.24681167177086</v>
      </c>
      <c r="U440" s="47">
        <f t="shared" si="193"/>
        <v>25.464772628080684</v>
      </c>
      <c r="V440" s="47">
        <f t="shared" si="193"/>
        <v>26.743828345251242</v>
      </c>
    </row>
    <row r="441" spans="2:22">
      <c r="L441" s="1"/>
    </row>
    <row r="442" spans="2:22">
      <c r="B442" t="s">
        <v>852</v>
      </c>
      <c r="I442" s="48">
        <f>SUM(J442:V442)</f>
        <v>-5.8020220252569432</v>
      </c>
      <c r="J442" s="53">
        <f>-Calculation_FSL!J1057*$F$437</f>
        <v>-0.42015237867130001</v>
      </c>
      <c r="K442" s="53">
        <f>-Calculation_FSL!K1057*$F$437</f>
        <v>-0.42435390245801302</v>
      </c>
      <c r="L442" s="53">
        <f>-Calculation_FSL!L1057*$F$437</f>
        <v>-0.42859744148259304</v>
      </c>
      <c r="M442" s="53">
        <f>-Calculation_FSL!M1057*$F$437</f>
        <v>-0.43288341589741908</v>
      </c>
      <c r="N442" s="53">
        <f>-Calculation_FSL!N1057*$F$437</f>
        <v>-0.43721225005639319</v>
      </c>
      <c r="O442" s="53">
        <f>-Calculation_FSL!O1057*$F$437</f>
        <v>-0.44158437255695715</v>
      </c>
      <c r="P442" s="53">
        <f>-Calculation_FSL!P1057*$F$437</f>
        <v>-0.44600021628252667</v>
      </c>
      <c r="Q442" s="53">
        <f>-Calculation_FSL!Q1057*$F$437</f>
        <v>-0.450460218445352</v>
      </c>
      <c r="R442" s="53">
        <f>-Calculation_FSL!R1057*$F$437</f>
        <v>-0.45496482062980548</v>
      </c>
      <c r="S442" s="53">
        <f>-Calculation_FSL!S1057*$F$437</f>
        <v>-0.45951446883610364</v>
      </c>
      <c r="T442" s="53">
        <f>-Calculation_FSL!T1057*$F$437</f>
        <v>-0.46410961352446461</v>
      </c>
      <c r="U442" s="53">
        <f>-Calculation_FSL!U1057*$F$437</f>
        <v>-0.46875070965970933</v>
      </c>
      <c r="V442" s="53">
        <f>-Calculation_FSL!V1057*$F$437</f>
        <v>-0.47343821675630643</v>
      </c>
    </row>
    <row r="443" spans="2:22">
      <c r="B443" s="28" t="s">
        <v>139</v>
      </c>
      <c r="C443" s="28"/>
      <c r="D443" s="28"/>
      <c r="E443" s="28"/>
      <c r="F443" s="28"/>
      <c r="G443" s="28"/>
      <c r="H443" s="28"/>
      <c r="I443" s="49">
        <f>SUM(J443:V443)</f>
        <v>232.14264509162402</v>
      </c>
      <c r="J443" s="47">
        <f t="shared" ref="J443:V443" si="194">SUM(J440,J442)</f>
        <v>8.7765023707488066</v>
      </c>
      <c r="K443" s="47">
        <f t="shared" si="194"/>
        <v>9.5341798117225771</v>
      </c>
      <c r="L443" s="47">
        <f t="shared" si="194"/>
        <v>12.836866950442044</v>
      </c>
      <c r="M443" s="47">
        <f t="shared" si="194"/>
        <v>13.926947669552899</v>
      </c>
      <c r="N443" s="47">
        <f t="shared" si="194"/>
        <v>15.106639511537379</v>
      </c>
      <c r="O443" s="47">
        <f t="shared" si="194"/>
        <v>16.383265055779738</v>
      </c>
      <c r="P443" s="47">
        <f t="shared" si="194"/>
        <v>17.764744269822696</v>
      </c>
      <c r="Q443" s="47">
        <f t="shared" si="194"/>
        <v>19.259643216664099</v>
      </c>
      <c r="R443" s="47">
        <f t="shared" si="194"/>
        <v>20.877226732396252</v>
      </c>
      <c r="S443" s="47">
        <f t="shared" si="194"/>
        <v>22.627515397795193</v>
      </c>
      <c r="T443" s="47">
        <f t="shared" si="194"/>
        <v>23.782702058246397</v>
      </c>
      <c r="U443" s="47">
        <f t="shared" si="194"/>
        <v>24.996021918420976</v>
      </c>
      <c r="V443" s="47">
        <f t="shared" si="194"/>
        <v>26.270390128494935</v>
      </c>
    </row>
    <row r="445" spans="2:22">
      <c r="B445" t="s">
        <v>1018</v>
      </c>
      <c r="I445" s="49">
        <f>SUM(J445:V445)</f>
        <v>-0.21345999960999995</v>
      </c>
      <c r="J445" s="53">
        <f>-Calculation_FSL!J1033*$F$437</f>
        <v>-1.6419999970000002E-2</v>
      </c>
      <c r="K445" s="53">
        <f>-Calculation_FSL!K1033*$F$437</f>
        <v>-1.6419999970000002E-2</v>
      </c>
      <c r="L445" s="53">
        <f>-Calculation_FSL!L1033*$F$437</f>
        <v>-1.6419999970000002E-2</v>
      </c>
      <c r="M445" s="53">
        <f>-Calculation_FSL!M1033*$F$437</f>
        <v>-1.6419999970000002E-2</v>
      </c>
      <c r="N445" s="53">
        <f>-Calculation_FSL!N1033*$F$437</f>
        <v>-1.6419999970000002E-2</v>
      </c>
      <c r="O445" s="53">
        <f>-Calculation_FSL!O1033*$F$437</f>
        <v>-1.6419999970000002E-2</v>
      </c>
      <c r="P445" s="53">
        <f>-Calculation_FSL!P1033*$F$437</f>
        <v>-1.6419999970000002E-2</v>
      </c>
      <c r="Q445" s="53">
        <f>-Calculation_FSL!Q1033*$F$437</f>
        <v>-1.6419999970000002E-2</v>
      </c>
      <c r="R445" s="53">
        <f>-Calculation_FSL!R1033*$F$437</f>
        <v>-1.6419999970000002E-2</v>
      </c>
      <c r="S445" s="53">
        <f>-Calculation_FSL!S1033*$F$437</f>
        <v>-1.6419999970000002E-2</v>
      </c>
      <c r="T445" s="53">
        <f>-Calculation_FSL!T1033*$F$437</f>
        <v>-1.6419999970000002E-2</v>
      </c>
      <c r="U445" s="53">
        <f>-Calculation_FSL!U1033*$F$437</f>
        <v>-1.6419999970000002E-2</v>
      </c>
      <c r="V445" s="53">
        <f>-Calculation_FSL!V1033*$F$437</f>
        <v>-1.6419999970000002E-2</v>
      </c>
    </row>
    <row r="446" spans="2:22">
      <c r="B446" s="28" t="s">
        <v>434</v>
      </c>
      <c r="C446" s="28"/>
      <c r="D446" s="28"/>
      <c r="E446" s="28"/>
      <c r="F446" s="28"/>
      <c r="G446" s="28"/>
      <c r="H446" s="28"/>
      <c r="I446" s="49">
        <f>SUM(J446:V446)</f>
        <v>231.929185092014</v>
      </c>
      <c r="J446" s="47">
        <f t="shared" ref="J446:V446" si="195">SUM(J443,J445)</f>
        <v>8.7600823707788074</v>
      </c>
      <c r="K446" s="47">
        <f t="shared" si="195"/>
        <v>9.5177598117525779</v>
      </c>
      <c r="L446" s="47">
        <f t="shared" si="195"/>
        <v>12.820446950472045</v>
      </c>
      <c r="M446" s="47">
        <f t="shared" si="195"/>
        <v>13.910527669582899</v>
      </c>
      <c r="N446" s="47">
        <f t="shared" si="195"/>
        <v>15.09021951156738</v>
      </c>
      <c r="O446" s="47">
        <f t="shared" si="195"/>
        <v>16.366845055809737</v>
      </c>
      <c r="P446" s="47">
        <f t="shared" si="195"/>
        <v>17.748324269852695</v>
      </c>
      <c r="Q446" s="47">
        <f t="shared" si="195"/>
        <v>19.243223216694098</v>
      </c>
      <c r="R446" s="47">
        <f t="shared" si="195"/>
        <v>20.860806732426251</v>
      </c>
      <c r="S446" s="47">
        <f t="shared" si="195"/>
        <v>22.611095397825192</v>
      </c>
      <c r="T446" s="47">
        <f t="shared" si="195"/>
        <v>23.766282058276396</v>
      </c>
      <c r="U446" s="47">
        <f t="shared" si="195"/>
        <v>24.979601918450975</v>
      </c>
      <c r="V446" s="47">
        <f t="shared" si="195"/>
        <v>26.253970128524934</v>
      </c>
    </row>
    <row r="447" spans="2:22"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</row>
    <row r="448" spans="2:22">
      <c r="B448" t="s">
        <v>881</v>
      </c>
      <c r="I448" s="48">
        <f>SUM(J448:V448)</f>
        <v>0</v>
      </c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</row>
    <row r="449" spans="2:22">
      <c r="B449" s="28" t="s">
        <v>1019</v>
      </c>
      <c r="C449" s="28"/>
      <c r="D449" s="28"/>
      <c r="E449" s="28"/>
      <c r="F449" s="28"/>
      <c r="G449" s="28"/>
      <c r="H449" s="28"/>
      <c r="I449" s="48">
        <f>SUM(J449:V449)</f>
        <v>231.929185092014</v>
      </c>
      <c r="J449" s="47">
        <f t="shared" ref="J449:V449" si="196">SUM(J446,J448)</f>
        <v>8.7600823707788074</v>
      </c>
      <c r="K449" s="47">
        <f t="shared" si="196"/>
        <v>9.5177598117525779</v>
      </c>
      <c r="L449" s="47">
        <f t="shared" si="196"/>
        <v>12.820446950472045</v>
      </c>
      <c r="M449" s="47">
        <f t="shared" si="196"/>
        <v>13.910527669582899</v>
      </c>
      <c r="N449" s="47">
        <f t="shared" si="196"/>
        <v>15.09021951156738</v>
      </c>
      <c r="O449" s="47">
        <f t="shared" si="196"/>
        <v>16.366845055809737</v>
      </c>
      <c r="P449" s="47">
        <f t="shared" si="196"/>
        <v>17.748324269852695</v>
      </c>
      <c r="Q449" s="47">
        <f t="shared" si="196"/>
        <v>19.243223216694098</v>
      </c>
      <c r="R449" s="47">
        <f t="shared" si="196"/>
        <v>20.860806732426251</v>
      </c>
      <c r="S449" s="47">
        <f t="shared" si="196"/>
        <v>22.611095397825192</v>
      </c>
      <c r="T449" s="47">
        <f t="shared" si="196"/>
        <v>23.766282058276396</v>
      </c>
      <c r="U449" s="47">
        <f t="shared" si="196"/>
        <v>24.979601918450975</v>
      </c>
      <c r="V449" s="47">
        <f t="shared" si="196"/>
        <v>26.253970128524934</v>
      </c>
    </row>
    <row r="450" spans="2:22"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</row>
    <row r="451" spans="2:22">
      <c r="B451" t="s">
        <v>759</v>
      </c>
      <c r="I451" s="48">
        <f>SUM(J451:V451)</f>
        <v>-51.024420720243072</v>
      </c>
      <c r="J451" s="23">
        <f>-IF(J449&lt;0,0,J449*22%)</f>
        <v>-1.9272181215713375</v>
      </c>
      <c r="K451" s="23">
        <f t="shared" ref="K451:V451" si="197">-IF(K449&lt;0,0,K449*22%)</f>
        <v>-2.0939071585855671</v>
      </c>
      <c r="L451" s="23">
        <f t="shared" si="197"/>
        <v>-2.8204983291038497</v>
      </c>
      <c r="M451" s="23">
        <f t="shared" si="197"/>
        <v>-3.0603160873082378</v>
      </c>
      <c r="N451" s="23">
        <f t="shared" si="197"/>
        <v>-3.3198482925448234</v>
      </c>
      <c r="O451" s="23">
        <f t="shared" si="197"/>
        <v>-3.600705912278142</v>
      </c>
      <c r="P451" s="23">
        <f t="shared" si="197"/>
        <v>-3.9046313393675929</v>
      </c>
      <c r="Q451" s="23">
        <f t="shared" si="197"/>
        <v>-4.2335091076727016</v>
      </c>
      <c r="R451" s="23">
        <f t="shared" si="197"/>
        <v>-4.5893774811337753</v>
      </c>
      <c r="S451" s="23">
        <f t="shared" si="197"/>
        <v>-4.9744409875215423</v>
      </c>
      <c r="T451" s="23">
        <f t="shared" si="197"/>
        <v>-5.2285820528208067</v>
      </c>
      <c r="U451" s="23">
        <f t="shared" si="197"/>
        <v>-5.4955124220592149</v>
      </c>
      <c r="V451" s="23">
        <f t="shared" si="197"/>
        <v>-5.7758734282754851</v>
      </c>
    </row>
    <row r="452" spans="2:22">
      <c r="B452" s="28" t="s">
        <v>1020</v>
      </c>
      <c r="C452" s="28"/>
      <c r="D452" s="28"/>
      <c r="E452" s="28"/>
      <c r="F452" s="28"/>
      <c r="G452" s="28"/>
      <c r="H452" s="28"/>
      <c r="I452" s="48">
        <f>SUM(J452:V452)</f>
        <v>180.90476437177091</v>
      </c>
      <c r="J452" s="47">
        <f t="shared" ref="J452:V452" si="198">SUM(J449,J451)</f>
        <v>6.8328642492074696</v>
      </c>
      <c r="K452" s="47">
        <f t="shared" si="198"/>
        <v>7.4238526531670104</v>
      </c>
      <c r="L452" s="47">
        <f t="shared" si="198"/>
        <v>9.9999486213681941</v>
      </c>
      <c r="M452" s="47">
        <f t="shared" si="198"/>
        <v>10.850211582274662</v>
      </c>
      <c r="N452" s="47">
        <f t="shared" si="198"/>
        <v>11.770371219022557</v>
      </c>
      <c r="O452" s="47">
        <f t="shared" si="198"/>
        <v>12.766139143531595</v>
      </c>
      <c r="P452" s="47">
        <f t="shared" si="198"/>
        <v>13.843692930485101</v>
      </c>
      <c r="Q452" s="47">
        <f t="shared" si="198"/>
        <v>15.009714109021395</v>
      </c>
      <c r="R452" s="47">
        <f t="shared" si="198"/>
        <v>16.271429251292474</v>
      </c>
      <c r="S452" s="47">
        <f t="shared" si="198"/>
        <v>17.636654410303649</v>
      </c>
      <c r="T452" s="47">
        <f t="shared" si="198"/>
        <v>18.537700005455591</v>
      </c>
      <c r="U452" s="47">
        <f t="shared" si="198"/>
        <v>19.484089496391761</v>
      </c>
      <c r="V452" s="47">
        <f t="shared" si="198"/>
        <v>20.478096700249449</v>
      </c>
    </row>
    <row r="454" spans="2:22">
      <c r="B454" s="407" t="s">
        <v>32</v>
      </c>
      <c r="C454" s="407"/>
      <c r="D454" s="407"/>
      <c r="E454" s="407"/>
      <c r="F454" s="407"/>
      <c r="G454" s="407"/>
      <c r="H454" s="407"/>
      <c r="I454" s="407"/>
      <c r="J454" s="9">
        <f>J$8</f>
        <v>2024</v>
      </c>
      <c r="K454" s="9">
        <f t="shared" ref="K454:V454" si="199">K$8</f>
        <v>2025</v>
      </c>
      <c r="L454" s="9">
        <f t="shared" si="199"/>
        <v>2026</v>
      </c>
      <c r="M454" s="9">
        <f t="shared" si="199"/>
        <v>2027</v>
      </c>
      <c r="N454" s="9">
        <f t="shared" si="199"/>
        <v>2028</v>
      </c>
      <c r="O454" s="9">
        <f t="shared" si="199"/>
        <v>2029</v>
      </c>
      <c r="P454" s="9">
        <f t="shared" si="199"/>
        <v>2030</v>
      </c>
      <c r="Q454" s="9">
        <f t="shared" si="199"/>
        <v>2031</v>
      </c>
      <c r="R454" s="9">
        <f t="shared" si="199"/>
        <v>2032</v>
      </c>
      <c r="S454" s="9">
        <f t="shared" si="199"/>
        <v>2033</v>
      </c>
      <c r="T454" s="9">
        <f t="shared" si="199"/>
        <v>2034</v>
      </c>
      <c r="U454" s="9">
        <f t="shared" si="199"/>
        <v>2035</v>
      </c>
      <c r="V454" s="9">
        <f t="shared" si="199"/>
        <v>2036</v>
      </c>
    </row>
    <row r="455" spans="2:22">
      <c r="B455" s="55" t="s">
        <v>1021</v>
      </c>
      <c r="C455" s="51"/>
      <c r="D455" s="51"/>
      <c r="E455" s="51"/>
      <c r="F455" s="51"/>
      <c r="G455" s="51"/>
      <c r="H455" s="51"/>
      <c r="I455" s="51"/>
      <c r="J455" s="56">
        <f>IFERROR(J440/J438,0)</f>
        <v>0.49680030320665386</v>
      </c>
      <c r="K455" s="56">
        <f t="shared" ref="K455:V455" si="200">IFERROR(K440/K438,0)</f>
        <v>0.49741725148782201</v>
      </c>
      <c r="L455" s="56">
        <f t="shared" si="200"/>
        <v>0.50041538389117901</v>
      </c>
      <c r="M455" s="56">
        <f t="shared" si="200"/>
        <v>0.50087689874485719</v>
      </c>
      <c r="N455" s="56">
        <f t="shared" si="200"/>
        <v>0.50131857038013872</v>
      </c>
      <c r="O455" s="56">
        <f t="shared" si="200"/>
        <v>0.50174125197284913</v>
      </c>
      <c r="P455" s="56">
        <f t="shared" si="200"/>
        <v>0.50214576001580369</v>
      </c>
      <c r="Q455" s="56">
        <f t="shared" si="200"/>
        <v>0.5025328758960238</v>
      </c>
      <c r="R455" s="56">
        <f t="shared" si="200"/>
        <v>0.50290334740414</v>
      </c>
      <c r="S455" s="56">
        <f t="shared" si="200"/>
        <v>0.50325789017889755</v>
      </c>
      <c r="T455" s="56">
        <f t="shared" si="200"/>
        <v>0.50337062497824447</v>
      </c>
      <c r="U455" s="56">
        <f t="shared" si="200"/>
        <v>0.50348174928045786</v>
      </c>
      <c r="V455" s="56">
        <f t="shared" si="200"/>
        <v>0.50359128609263948</v>
      </c>
    </row>
    <row r="456" spans="2:22">
      <c r="B456" s="55" t="s">
        <v>1022</v>
      </c>
      <c r="C456" s="51"/>
      <c r="D456" s="51"/>
      <c r="E456" s="51"/>
      <c r="F456" s="51"/>
      <c r="G456" s="51"/>
      <c r="H456" s="51"/>
      <c r="I456" s="51"/>
      <c r="J456" s="56">
        <f>IFERROR(J443/J438,0)</f>
        <v>0.47410380814359188</v>
      </c>
      <c r="K456" s="52">
        <f t="shared" ref="K456:T456" si="201">IFERROR(K446/K440,0)</f>
        <v>0.95573907614527975</v>
      </c>
      <c r="L456" s="52">
        <f t="shared" si="201"/>
        <v>0.96645293158952683</v>
      </c>
      <c r="M456" s="52">
        <f t="shared" si="201"/>
        <v>0.96871109324380122</v>
      </c>
      <c r="N456" s="52">
        <f t="shared" si="201"/>
        <v>0.97081596910572443</v>
      </c>
      <c r="O456" s="52">
        <f t="shared" si="201"/>
        <v>0.97277809976976204</v>
      </c>
      <c r="P456" s="52">
        <f t="shared" si="201"/>
        <v>0.97460728656066997</v>
      </c>
      <c r="Q456" s="52">
        <f t="shared" si="201"/>
        <v>0.97631264493601277</v>
      </c>
      <c r="R456" s="52">
        <f t="shared" si="201"/>
        <v>0.97790265386338437</v>
      </c>
      <c r="S456" s="52">
        <f t="shared" si="201"/>
        <v>0.97938520149384856</v>
      </c>
      <c r="T456" s="52">
        <f t="shared" si="201"/>
        <v>0.98018174018096094</v>
      </c>
      <c r="U456" s="52">
        <f>IFERROR(U446/U440,0)</f>
        <v>0.98094737711913838</v>
      </c>
      <c r="V456" s="52">
        <f>IFERROR(V446/V440,0)</f>
        <v>0.98168331734699865</v>
      </c>
    </row>
    <row r="457" spans="2:22">
      <c r="B457" s="55" t="s">
        <v>990</v>
      </c>
      <c r="C457" s="51"/>
      <c r="D457" s="51"/>
      <c r="E457" s="51"/>
      <c r="F457" s="51"/>
      <c r="G457" s="51"/>
      <c r="H457" s="51"/>
      <c r="I457" s="51"/>
      <c r="J457" s="52">
        <f>IFERROR(J452/J438,0)</f>
        <v>0.36910910796017649</v>
      </c>
      <c r="K457" s="52">
        <f t="shared" ref="K457:V457" si="202">IFERROR(K452/K438,0)</f>
        <v>0.37081286142864234</v>
      </c>
      <c r="L457" s="52">
        <f t="shared" si="202"/>
        <v>0.37722977352382014</v>
      </c>
      <c r="M457" s="52">
        <f t="shared" si="202"/>
        <v>0.3784599063676824</v>
      </c>
      <c r="N457" s="52">
        <f t="shared" si="202"/>
        <v>0.37961669751274679</v>
      </c>
      <c r="O457" s="52">
        <f t="shared" si="202"/>
        <v>0.38070466330279468</v>
      </c>
      <c r="P457" s="52">
        <f t="shared" si="202"/>
        <v>0.38172803496901925</v>
      </c>
      <c r="Q457" s="52">
        <f t="shared" si="202"/>
        <v>0.38269077696201143</v>
      </c>
      <c r="R457" s="52">
        <f t="shared" si="202"/>
        <v>0.38359660408936463</v>
      </c>
      <c r="S457" s="52">
        <f t="shared" si="202"/>
        <v>0.38444899753745831</v>
      </c>
      <c r="T457" s="52">
        <f t="shared" si="202"/>
        <v>0.38484786221477979</v>
      </c>
      <c r="U457" s="52">
        <f t="shared" si="202"/>
        <v>0.38523349907953613</v>
      </c>
      <c r="V457" s="52">
        <f t="shared" si="202"/>
        <v>0.38560638816840181</v>
      </c>
    </row>
    <row r="459" spans="2:22" ht="24" thickBot="1">
      <c r="B459" s="14" t="s">
        <v>1042</v>
      </c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</row>
    <row r="461" spans="2:22">
      <c r="B461" s="407" t="s">
        <v>623</v>
      </c>
      <c r="I461" s="48">
        <f>SUM(J461:V461)</f>
        <v>1102.6466786616038</v>
      </c>
      <c r="J461" s="458">
        <f>SUM(J369,J392,J415,J438)</f>
        <v>87.948672360753847</v>
      </c>
      <c r="K461" s="23">
        <f t="shared" ref="K461:V462" si="203">SUM(K369,K392,K415,K438)</f>
        <v>65.358641033127611</v>
      </c>
      <c r="L461" s="23">
        <f t="shared" si="203"/>
        <v>61.989728825535082</v>
      </c>
      <c r="M461" s="23">
        <f t="shared" si="203"/>
        <v>66.857705438160721</v>
      </c>
      <c r="N461" s="23">
        <f t="shared" si="203"/>
        <v>72.109308081105453</v>
      </c>
      <c r="O461" s="23">
        <f t="shared" si="203"/>
        <v>77.774868554511301</v>
      </c>
      <c r="P461" s="23">
        <f t="shared" si="203"/>
        <v>83.887124219273176</v>
      </c>
      <c r="Q461" s="23">
        <f t="shared" si="203"/>
        <v>90.481409316796075</v>
      </c>
      <c r="R461" s="23">
        <f t="shared" si="203"/>
        <v>97.595861544291125</v>
      </c>
      <c r="S461" s="23">
        <f t="shared" si="203"/>
        <v>105.27164510494117</v>
      </c>
      <c r="T461" s="23">
        <f t="shared" si="203"/>
        <v>93.187841954612864</v>
      </c>
      <c r="U461" s="23">
        <f t="shared" si="203"/>
        <v>97.716827068910291</v>
      </c>
      <c r="V461" s="23">
        <f t="shared" si="203"/>
        <v>102.46704515958525</v>
      </c>
    </row>
    <row r="462" spans="2:22">
      <c r="B462" s="407" t="s">
        <v>473</v>
      </c>
      <c r="I462" s="48">
        <f>SUM(J462:V462)</f>
        <v>-753.05311149475165</v>
      </c>
      <c r="J462" s="458">
        <f>SUM(J370,J393,J416,J439)</f>
        <v>-71.161406516197303</v>
      </c>
      <c r="K462" s="23">
        <f t="shared" si="203"/>
        <v>-49.09818222343317</v>
      </c>
      <c r="L462" s="23">
        <f t="shared" si="203"/>
        <v>-42.926614256655782</v>
      </c>
      <c r="M462" s="23">
        <f t="shared" si="203"/>
        <v>-46.065397044757539</v>
      </c>
      <c r="N462" s="23">
        <f t="shared" si="203"/>
        <v>-49.441834180436096</v>
      </c>
      <c r="O462" s="23">
        <f t="shared" si="203"/>
        <v>-53.074260333952864</v>
      </c>
      <c r="P462" s="23">
        <f t="shared" si="203"/>
        <v>-56.982439859772285</v>
      </c>
      <c r="Q462" s="23">
        <f t="shared" si="203"/>
        <v>-61.187679033243668</v>
      </c>
      <c r="R462" s="23">
        <f t="shared" si="203"/>
        <v>-65.712947140723273</v>
      </c>
      <c r="S462" s="23">
        <f t="shared" si="203"/>
        <v>-70.583007124157547</v>
      </c>
      <c r="T462" s="23">
        <f t="shared" si="203"/>
        <v>-59.453507794507061</v>
      </c>
      <c r="U462" s="23">
        <f t="shared" si="203"/>
        <v>-62.229322986933823</v>
      </c>
      <c r="V462" s="23">
        <f t="shared" si="203"/>
        <v>-65.13651299998125</v>
      </c>
    </row>
    <row r="463" spans="2:22">
      <c r="B463" s="28" t="s">
        <v>1017</v>
      </c>
      <c r="C463" s="28"/>
      <c r="D463" s="28"/>
      <c r="E463" s="28"/>
      <c r="F463" s="28"/>
      <c r="G463" s="28"/>
      <c r="H463" s="28"/>
      <c r="I463" s="49">
        <f>SUM(J463:V463)</f>
        <v>349.59356716685227</v>
      </c>
      <c r="J463" s="47">
        <f t="shared" ref="J463:V463" si="204">SUM(J461:J462)</f>
        <v>16.787265844556543</v>
      </c>
      <c r="K463" s="47">
        <f t="shared" si="204"/>
        <v>16.260458809694441</v>
      </c>
      <c r="L463" s="47">
        <f t="shared" si="204"/>
        <v>19.0631145688793</v>
      </c>
      <c r="M463" s="47">
        <f t="shared" si="204"/>
        <v>20.792308393403182</v>
      </c>
      <c r="N463" s="47">
        <f t="shared" si="204"/>
        <v>22.667473900669357</v>
      </c>
      <c r="O463" s="47">
        <f t="shared" si="204"/>
        <v>24.700608220558436</v>
      </c>
      <c r="P463" s="47">
        <f t="shared" si="204"/>
        <v>26.904684359500891</v>
      </c>
      <c r="Q463" s="47">
        <f t="shared" si="204"/>
        <v>29.293730283552406</v>
      </c>
      <c r="R463" s="47">
        <f t="shared" si="204"/>
        <v>31.882914403567852</v>
      </c>
      <c r="S463" s="47">
        <f t="shared" si="204"/>
        <v>34.688637980783625</v>
      </c>
      <c r="T463" s="47">
        <f t="shared" si="204"/>
        <v>33.734334160105803</v>
      </c>
      <c r="U463" s="47">
        <f t="shared" si="204"/>
        <v>35.487504081976468</v>
      </c>
      <c r="V463" s="47">
        <f t="shared" si="204"/>
        <v>37.330532159604005</v>
      </c>
    </row>
    <row r="464" spans="2:22">
      <c r="L464" s="1"/>
    </row>
    <row r="465" spans="2:22">
      <c r="B465" t="s">
        <v>852</v>
      </c>
      <c r="I465" s="48">
        <f>SUM(J465:V465)</f>
        <v>-31.648001522972834</v>
      </c>
      <c r="J465" s="53">
        <f>SUM(J373,J396,J419,J442)</f>
        <v>-2.2917843231526001</v>
      </c>
      <c r="K465" s="53">
        <f t="shared" ref="K465:V465" si="205">SUM(K373,K396,K419,K442)</f>
        <v>-2.3147021663841261</v>
      </c>
      <c r="L465" s="53">
        <f t="shared" si="205"/>
        <v>-2.3378491880479668</v>
      </c>
      <c r="M465" s="53">
        <f t="shared" si="205"/>
        <v>-2.3612276799284468</v>
      </c>
      <c r="N465" s="53">
        <f t="shared" si="205"/>
        <v>-2.3848399567277312</v>
      </c>
      <c r="O465" s="53">
        <f t="shared" si="205"/>
        <v>-2.4086883562950079</v>
      </c>
      <c r="P465" s="53">
        <f t="shared" si="205"/>
        <v>-2.4327752398579583</v>
      </c>
      <c r="Q465" s="53">
        <f t="shared" si="205"/>
        <v>-2.4571029922565382</v>
      </c>
      <c r="R465" s="53">
        <f t="shared" si="205"/>
        <v>-2.4816740221791034</v>
      </c>
      <c r="S465" s="53">
        <f t="shared" si="205"/>
        <v>-2.5064907624008947</v>
      </c>
      <c r="T465" s="53">
        <f t="shared" si="205"/>
        <v>-2.5315556700249036</v>
      </c>
      <c r="U465" s="53">
        <f t="shared" si="205"/>
        <v>-2.556871226725153</v>
      </c>
      <c r="V465" s="53">
        <f t="shared" si="205"/>
        <v>-2.5824399389924046</v>
      </c>
    </row>
    <row r="466" spans="2:22">
      <c r="B466" s="28" t="s">
        <v>139</v>
      </c>
      <c r="C466" s="28"/>
      <c r="D466" s="28"/>
      <c r="E466" s="28"/>
      <c r="F466" s="28"/>
      <c r="G466" s="28"/>
      <c r="H466" s="28"/>
      <c r="I466" s="49">
        <f>SUM(J466:V466)</f>
        <v>317.94556564387949</v>
      </c>
      <c r="J466" s="47">
        <f t="shared" ref="J466:V466" si="206">SUM(J463,J465)</f>
        <v>14.495481521403944</v>
      </c>
      <c r="K466" s="47">
        <f t="shared" si="206"/>
        <v>13.945756643310315</v>
      </c>
      <c r="L466" s="47">
        <f t="shared" si="206"/>
        <v>16.725265380831331</v>
      </c>
      <c r="M466" s="47">
        <f t="shared" si="206"/>
        <v>18.431080713474735</v>
      </c>
      <c r="N466" s="47">
        <f t="shared" si="206"/>
        <v>20.282633943941626</v>
      </c>
      <c r="O466" s="47">
        <f t="shared" si="206"/>
        <v>22.291919864263427</v>
      </c>
      <c r="P466" s="47">
        <f t="shared" si="206"/>
        <v>24.471909119642934</v>
      </c>
      <c r="Q466" s="47">
        <f t="shared" si="206"/>
        <v>26.836627291295869</v>
      </c>
      <c r="R466" s="47">
        <f t="shared" si="206"/>
        <v>29.40124038138875</v>
      </c>
      <c r="S466" s="47">
        <f t="shared" si="206"/>
        <v>32.182147218382731</v>
      </c>
      <c r="T466" s="47">
        <f t="shared" si="206"/>
        <v>31.202778490080899</v>
      </c>
      <c r="U466" s="47">
        <f t="shared" si="206"/>
        <v>32.930632855251318</v>
      </c>
      <c r="V466" s="47">
        <f t="shared" si="206"/>
        <v>34.748092220611596</v>
      </c>
    </row>
    <row r="468" spans="2:22">
      <c r="B468" t="s">
        <v>1018</v>
      </c>
      <c r="I468" s="49">
        <f>SUM(J468:V468)</f>
        <v>-5.7132453995499999</v>
      </c>
      <c r="J468" s="53">
        <f>SUM(J376,J399,J422,J445)</f>
        <v>-0.43948041534999993</v>
      </c>
      <c r="K468" s="53">
        <f t="shared" ref="K468:V468" si="207">SUM(K376,K399,K422,K445)</f>
        <v>-0.43948041534999993</v>
      </c>
      <c r="L468" s="53">
        <f t="shared" si="207"/>
        <v>-0.43948041534999993</v>
      </c>
      <c r="M468" s="53">
        <f t="shared" si="207"/>
        <v>-0.43948041534999993</v>
      </c>
      <c r="N468" s="53">
        <f t="shared" si="207"/>
        <v>-0.43948041534999993</v>
      </c>
      <c r="O468" s="53">
        <f t="shared" si="207"/>
        <v>-0.43948041534999993</v>
      </c>
      <c r="P468" s="53">
        <f t="shared" si="207"/>
        <v>-0.43948041534999993</v>
      </c>
      <c r="Q468" s="53">
        <f t="shared" si="207"/>
        <v>-0.43948041534999993</v>
      </c>
      <c r="R468" s="53">
        <f t="shared" si="207"/>
        <v>-0.43948041534999993</v>
      </c>
      <c r="S468" s="53">
        <f t="shared" si="207"/>
        <v>-0.43948041534999993</v>
      </c>
      <c r="T468" s="53">
        <f t="shared" si="207"/>
        <v>-0.43948041534999993</v>
      </c>
      <c r="U468" s="53">
        <f t="shared" si="207"/>
        <v>-0.43948041534999993</v>
      </c>
      <c r="V468" s="53">
        <f t="shared" si="207"/>
        <v>-0.43948041534999993</v>
      </c>
    </row>
    <row r="469" spans="2:22">
      <c r="B469" s="28" t="s">
        <v>434</v>
      </c>
      <c r="C469" s="28"/>
      <c r="D469" s="28"/>
      <c r="E469" s="28"/>
      <c r="F469" s="28"/>
      <c r="G469" s="28"/>
      <c r="H469" s="28"/>
      <c r="I469" s="49">
        <f>SUM(J469:V469)</f>
        <v>312.23232024432951</v>
      </c>
      <c r="J469" s="47">
        <f t="shared" ref="J469:V469" si="208">SUM(J466,J468)</f>
        <v>14.056001106053944</v>
      </c>
      <c r="K469" s="47">
        <f t="shared" si="208"/>
        <v>13.506276227960315</v>
      </c>
      <c r="L469" s="47">
        <f t="shared" si="208"/>
        <v>16.28578496548133</v>
      </c>
      <c r="M469" s="47">
        <f t="shared" si="208"/>
        <v>17.991600298124734</v>
      </c>
      <c r="N469" s="47">
        <f t="shared" si="208"/>
        <v>19.843153528591625</v>
      </c>
      <c r="O469" s="47">
        <f t="shared" si="208"/>
        <v>21.852439448913426</v>
      </c>
      <c r="P469" s="47">
        <f t="shared" si="208"/>
        <v>24.032428704292933</v>
      </c>
      <c r="Q469" s="47">
        <f t="shared" si="208"/>
        <v>26.397146875945868</v>
      </c>
      <c r="R469" s="47">
        <f t="shared" si="208"/>
        <v>28.961759966038748</v>
      </c>
      <c r="S469" s="47">
        <f t="shared" si="208"/>
        <v>31.74266680303273</v>
      </c>
      <c r="T469" s="47">
        <f t="shared" si="208"/>
        <v>30.763298074730898</v>
      </c>
      <c r="U469" s="47">
        <f t="shared" si="208"/>
        <v>32.49115243990132</v>
      </c>
      <c r="V469" s="47">
        <f t="shared" si="208"/>
        <v>34.308611805261599</v>
      </c>
    </row>
    <row r="470" spans="2:22"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</row>
    <row r="471" spans="2:22">
      <c r="B471" t="s">
        <v>881</v>
      </c>
      <c r="I471" s="48">
        <f>SUM(J471:V471)</f>
        <v>0</v>
      </c>
      <c r="J471" s="43">
        <f>SUM(J379,J402,J425,J448)</f>
        <v>0</v>
      </c>
      <c r="K471" s="43">
        <f t="shared" ref="K471:V471" si="209">SUM(K379,K402,K425,K448)</f>
        <v>0</v>
      </c>
      <c r="L471" s="43">
        <f t="shared" si="209"/>
        <v>0</v>
      </c>
      <c r="M471" s="43">
        <f t="shared" si="209"/>
        <v>0</v>
      </c>
      <c r="N471" s="43">
        <f t="shared" si="209"/>
        <v>0</v>
      </c>
      <c r="O471" s="43">
        <f t="shared" si="209"/>
        <v>0</v>
      </c>
      <c r="P471" s="43">
        <f t="shared" si="209"/>
        <v>0</v>
      </c>
      <c r="Q471" s="43">
        <f t="shared" si="209"/>
        <v>0</v>
      </c>
      <c r="R471" s="43">
        <f t="shared" si="209"/>
        <v>0</v>
      </c>
      <c r="S471" s="43">
        <f t="shared" si="209"/>
        <v>0</v>
      </c>
      <c r="T471" s="43">
        <f t="shared" si="209"/>
        <v>0</v>
      </c>
      <c r="U471" s="43">
        <f t="shared" si="209"/>
        <v>0</v>
      </c>
      <c r="V471" s="43">
        <f t="shared" si="209"/>
        <v>0</v>
      </c>
    </row>
    <row r="472" spans="2:22">
      <c r="B472" s="28" t="s">
        <v>1019</v>
      </c>
      <c r="C472" s="28"/>
      <c r="D472" s="28"/>
      <c r="E472" s="28"/>
      <c r="F472" s="28"/>
      <c r="G472" s="28"/>
      <c r="H472" s="28"/>
      <c r="I472" s="48">
        <f>SUM(J472:V472)</f>
        <v>312.23232024432951</v>
      </c>
      <c r="J472" s="47">
        <f t="shared" ref="J472:V472" si="210">SUM(J469,J471)</f>
        <v>14.056001106053944</v>
      </c>
      <c r="K472" s="47">
        <f t="shared" si="210"/>
        <v>13.506276227960315</v>
      </c>
      <c r="L472" s="47">
        <f t="shared" si="210"/>
        <v>16.28578496548133</v>
      </c>
      <c r="M472" s="47">
        <f t="shared" si="210"/>
        <v>17.991600298124734</v>
      </c>
      <c r="N472" s="47">
        <f t="shared" si="210"/>
        <v>19.843153528591625</v>
      </c>
      <c r="O472" s="47">
        <f t="shared" si="210"/>
        <v>21.852439448913426</v>
      </c>
      <c r="P472" s="47">
        <f t="shared" si="210"/>
        <v>24.032428704292933</v>
      </c>
      <c r="Q472" s="47">
        <f t="shared" si="210"/>
        <v>26.397146875945868</v>
      </c>
      <c r="R472" s="47">
        <f t="shared" si="210"/>
        <v>28.961759966038748</v>
      </c>
      <c r="S472" s="47">
        <f t="shared" si="210"/>
        <v>31.74266680303273</v>
      </c>
      <c r="T472" s="47">
        <f t="shared" si="210"/>
        <v>30.763298074730898</v>
      </c>
      <c r="U472" s="47">
        <f t="shared" si="210"/>
        <v>32.49115243990132</v>
      </c>
      <c r="V472" s="47">
        <f t="shared" si="210"/>
        <v>34.308611805261599</v>
      </c>
    </row>
    <row r="473" spans="2:22"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</row>
    <row r="474" spans="2:22">
      <c r="B474" t="s">
        <v>759</v>
      </c>
      <c r="I474" s="48">
        <f>SUM(J474:V474)</f>
        <v>-68.691110453752486</v>
      </c>
      <c r="J474" s="23">
        <f>-IF(J472&lt;0,0,J472*22%)</f>
        <v>-3.0923202433318679</v>
      </c>
      <c r="K474" s="23">
        <f t="shared" ref="K474:V474" si="211">-IF(K472&lt;0,0,K472*22%)</f>
        <v>-2.9713807701512693</v>
      </c>
      <c r="L474" s="23">
        <f t="shared" si="211"/>
        <v>-3.5828726924058927</v>
      </c>
      <c r="M474" s="23">
        <f t="shared" si="211"/>
        <v>-3.9581520655874414</v>
      </c>
      <c r="N474" s="23">
        <f t="shared" si="211"/>
        <v>-4.3654937762901573</v>
      </c>
      <c r="O474" s="23">
        <f t="shared" si="211"/>
        <v>-4.8075366787609539</v>
      </c>
      <c r="P474" s="23">
        <f t="shared" si="211"/>
        <v>-5.2871343149444456</v>
      </c>
      <c r="Q474" s="23">
        <f t="shared" si="211"/>
        <v>-5.8073723127080914</v>
      </c>
      <c r="R474" s="23">
        <f t="shared" si="211"/>
        <v>-6.3715871925285246</v>
      </c>
      <c r="S474" s="23">
        <f t="shared" si="211"/>
        <v>-6.9833866966672007</v>
      </c>
      <c r="T474" s="23">
        <f t="shared" si="211"/>
        <v>-6.7679255764407973</v>
      </c>
      <c r="U474" s="23">
        <f t="shared" si="211"/>
        <v>-7.1480535367782903</v>
      </c>
      <c r="V474" s="23">
        <f t="shared" si="211"/>
        <v>-7.5478945971575522</v>
      </c>
    </row>
    <row r="475" spans="2:22">
      <c r="B475" s="28" t="s">
        <v>1020</v>
      </c>
      <c r="C475" s="28"/>
      <c r="D475" s="28"/>
      <c r="E475" s="28"/>
      <c r="F475" s="28"/>
      <c r="G475" s="28"/>
      <c r="H475" s="28"/>
      <c r="I475" s="48">
        <f>SUM(J475:V475)</f>
        <v>243.541209790577</v>
      </c>
      <c r="J475" s="47">
        <f t="shared" ref="J475:V475" si="212">SUM(J472,J474)</f>
        <v>10.963680862722077</v>
      </c>
      <c r="K475" s="47">
        <f t="shared" si="212"/>
        <v>10.534895457809046</v>
      </c>
      <c r="L475" s="47">
        <f t="shared" si="212"/>
        <v>12.702912273075437</v>
      </c>
      <c r="M475" s="47">
        <f t="shared" si="212"/>
        <v>14.033448232537292</v>
      </c>
      <c r="N475" s="47">
        <f t="shared" si="212"/>
        <v>15.477659752301467</v>
      </c>
      <c r="O475" s="47">
        <f t="shared" si="212"/>
        <v>17.044902770152472</v>
      </c>
      <c r="P475" s="47">
        <f t="shared" si="212"/>
        <v>18.745294389348487</v>
      </c>
      <c r="Q475" s="47">
        <f t="shared" si="212"/>
        <v>20.589774563237775</v>
      </c>
      <c r="R475" s="47">
        <f t="shared" si="212"/>
        <v>22.590172773510226</v>
      </c>
      <c r="S475" s="47">
        <f t="shared" si="212"/>
        <v>24.75928010636553</v>
      </c>
      <c r="T475" s="47">
        <f t="shared" si="212"/>
        <v>23.995372498290102</v>
      </c>
      <c r="U475" s="47">
        <f t="shared" si="212"/>
        <v>25.343098903123028</v>
      </c>
      <c r="V475" s="47">
        <f t="shared" si="212"/>
        <v>26.760717208104047</v>
      </c>
    </row>
    <row r="477" spans="2:22">
      <c r="B477" s="407" t="s">
        <v>32</v>
      </c>
      <c r="C477" s="407"/>
      <c r="D477" s="407"/>
      <c r="E477" s="407"/>
      <c r="F477" s="407"/>
      <c r="G477" s="407"/>
      <c r="H477" s="407"/>
      <c r="I477" s="407"/>
      <c r="J477" s="9">
        <f>J$8</f>
        <v>2024</v>
      </c>
      <c r="K477" s="9">
        <f t="shared" ref="K477:V477" si="213">K$8</f>
        <v>2025</v>
      </c>
      <c r="L477" s="9">
        <f t="shared" si="213"/>
        <v>2026</v>
      </c>
      <c r="M477" s="9">
        <f t="shared" si="213"/>
        <v>2027</v>
      </c>
      <c r="N477" s="9">
        <f t="shared" si="213"/>
        <v>2028</v>
      </c>
      <c r="O477" s="9">
        <f t="shared" si="213"/>
        <v>2029</v>
      </c>
      <c r="P477" s="9">
        <f t="shared" si="213"/>
        <v>2030</v>
      </c>
      <c r="Q477" s="9">
        <f t="shared" si="213"/>
        <v>2031</v>
      </c>
      <c r="R477" s="9">
        <f t="shared" si="213"/>
        <v>2032</v>
      </c>
      <c r="S477" s="9">
        <f t="shared" si="213"/>
        <v>2033</v>
      </c>
      <c r="T477" s="9">
        <f t="shared" si="213"/>
        <v>2034</v>
      </c>
      <c r="U477" s="9">
        <f t="shared" si="213"/>
        <v>2035</v>
      </c>
      <c r="V477" s="9">
        <f t="shared" si="213"/>
        <v>2036</v>
      </c>
    </row>
    <row r="478" spans="2:22">
      <c r="B478" s="55" t="s">
        <v>1021</v>
      </c>
      <c r="C478" s="51"/>
      <c r="D478" s="51"/>
      <c r="E478" s="51"/>
      <c r="F478" s="51"/>
      <c r="G478" s="51"/>
      <c r="H478" s="51"/>
      <c r="I478" s="51"/>
      <c r="J478" s="56">
        <f>IFERROR(J463/J461,0)</f>
        <v>0.1908757164144263</v>
      </c>
      <c r="K478" s="56">
        <f t="shared" ref="K478:V478" si="214">IFERROR(K463/K461,0)</f>
        <v>0.24878820233506205</v>
      </c>
      <c r="L478" s="56">
        <f t="shared" si="214"/>
        <v>0.3075205349345993</v>
      </c>
      <c r="M478" s="56">
        <f t="shared" si="214"/>
        <v>0.31099344880501162</v>
      </c>
      <c r="N478" s="56">
        <f t="shared" si="214"/>
        <v>0.31434879218607886</v>
      </c>
      <c r="O478" s="56">
        <f t="shared" si="214"/>
        <v>0.31759112782358651</v>
      </c>
      <c r="P478" s="56">
        <f t="shared" si="214"/>
        <v>0.32072483840517096</v>
      </c>
      <c r="Q478" s="56">
        <f t="shared" si="214"/>
        <v>0.32375413363631822</v>
      </c>
      <c r="R478" s="56">
        <f t="shared" si="214"/>
        <v>0.3266830570382197</v>
      </c>
      <c r="S478" s="56">
        <f t="shared" si="214"/>
        <v>0.3295154924785671</v>
      </c>
      <c r="T478" s="56">
        <f t="shared" si="214"/>
        <v>0.36200359888724659</v>
      </c>
      <c r="U478" s="56">
        <f t="shared" si="214"/>
        <v>0.36316676611849608</v>
      </c>
      <c r="V478" s="56">
        <f t="shared" si="214"/>
        <v>0.36431744568670166</v>
      </c>
    </row>
    <row r="479" spans="2:22">
      <c r="B479" s="55" t="s">
        <v>1022</v>
      </c>
      <c r="C479" s="51"/>
      <c r="D479" s="51"/>
      <c r="E479" s="51"/>
      <c r="F479" s="51"/>
      <c r="G479" s="51"/>
      <c r="H479" s="51"/>
      <c r="I479" s="51"/>
      <c r="J479" s="56">
        <f>IFERROR(J466/J461,0)</f>
        <v>0.16481751381016183</v>
      </c>
      <c r="K479" s="52">
        <f t="shared" ref="K479:T479" si="215">IFERROR(K469/K463,0)</f>
        <v>0.83062085676868536</v>
      </c>
      <c r="L479" s="52">
        <f t="shared" si="215"/>
        <v>0.85430871784550966</v>
      </c>
      <c r="M479" s="52">
        <f t="shared" si="215"/>
        <v>0.86530076207569939</v>
      </c>
      <c r="N479" s="52">
        <f t="shared" si="215"/>
        <v>0.87540206798277898</v>
      </c>
      <c r="O479" s="52">
        <f t="shared" si="215"/>
        <v>0.88469236278665941</v>
      </c>
      <c r="P479" s="52">
        <f t="shared" si="215"/>
        <v>0.89324328742055381</v>
      </c>
      <c r="Q479" s="52">
        <f t="shared" si="215"/>
        <v>0.90111933920437282</v>
      </c>
      <c r="R479" s="52">
        <f t="shared" si="215"/>
        <v>0.90837868832962732</v>
      </c>
      <c r="S479" s="52">
        <f t="shared" si="215"/>
        <v>0.91507388732348427</v>
      </c>
      <c r="T479" s="52">
        <f t="shared" si="215"/>
        <v>0.91192842072192282</v>
      </c>
      <c r="U479" s="52">
        <f>IFERROR(U469/U463,0)</f>
        <v>0.91556600782197739</v>
      </c>
      <c r="V479" s="52">
        <f>IFERROR(V469/V463,0)</f>
        <v>0.91904963097170966</v>
      </c>
    </row>
    <row r="480" spans="2:22">
      <c r="B480" s="55" t="s">
        <v>990</v>
      </c>
      <c r="C480" s="51"/>
      <c r="D480" s="51"/>
      <c r="E480" s="51"/>
      <c r="F480" s="51"/>
      <c r="G480" s="51"/>
      <c r="H480" s="51"/>
      <c r="I480" s="51"/>
      <c r="J480" s="52">
        <f>IFERROR(J475/J461,0)</f>
        <v>0.12465999279387079</v>
      </c>
      <c r="K480" s="52">
        <f t="shared" ref="K480:V480" si="216">IFERROR(K475/K461,0)</f>
        <v>0.16118596242644245</v>
      </c>
      <c r="L480" s="52">
        <f t="shared" si="216"/>
        <v>0.20491962965069138</v>
      </c>
      <c r="M480" s="52">
        <f t="shared" si="216"/>
        <v>0.2099002372361907</v>
      </c>
      <c r="N480" s="52">
        <f t="shared" si="216"/>
        <v>0.21464163454311416</v>
      </c>
      <c r="O480" s="52">
        <f t="shared" si="216"/>
        <v>0.21915694731397639</v>
      </c>
      <c r="P480" s="52">
        <f t="shared" si="216"/>
        <v>0.22345854103127941</v>
      </c>
      <c r="Q480" s="52">
        <f t="shared" si="216"/>
        <v>0.22755806655429375</v>
      </c>
      <c r="R480" s="52">
        <f t="shared" si="216"/>
        <v>0.23146650294447488</v>
      </c>
      <c r="S480" s="52">
        <f t="shared" si="216"/>
        <v>0.23519419765582628</v>
      </c>
      <c r="T480" s="52">
        <f t="shared" si="216"/>
        <v>0.25749466877854138</v>
      </c>
      <c r="U480" s="52">
        <f t="shared" si="216"/>
        <v>0.25935245405840873</v>
      </c>
      <c r="V480" s="52">
        <f t="shared" si="216"/>
        <v>0.26116413493163682</v>
      </c>
    </row>
    <row r="482" spans="2:22" ht="24" thickBot="1">
      <c r="B482" s="14" t="s">
        <v>1043</v>
      </c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</row>
    <row r="483" spans="2:22">
      <c r="B483" s="2" t="s">
        <v>29</v>
      </c>
      <c r="F483" s="6">
        <f>Output_FSL!$F$40</f>
        <v>0</v>
      </c>
    </row>
    <row r="484" spans="2:22">
      <c r="B484" s="407" t="s">
        <v>623</v>
      </c>
      <c r="I484" s="48">
        <f>SUM(J484:V484)</f>
        <v>0</v>
      </c>
      <c r="J484" s="458">
        <f>Calculation_FSL!J1119*$F$483</f>
        <v>0</v>
      </c>
      <c r="K484" s="23">
        <f>Calculation_FSL!K1119*$F$483</f>
        <v>0</v>
      </c>
      <c r="L484" s="23">
        <f>Calculation_FSL!L1119*$F$483</f>
        <v>0</v>
      </c>
      <c r="M484" s="23">
        <f>Calculation_FSL!M1119*$F$483</f>
        <v>0</v>
      </c>
      <c r="N484" s="23">
        <f>Calculation_FSL!N1119*$F$483</f>
        <v>0</v>
      </c>
      <c r="O484" s="23">
        <f>Calculation_FSL!O1119*$F$483</f>
        <v>0</v>
      </c>
      <c r="P484" s="23">
        <f>Calculation_FSL!P1119*$F$483</f>
        <v>0</v>
      </c>
      <c r="Q484" s="23">
        <f>Calculation_FSL!Q1119*$F$483</f>
        <v>0</v>
      </c>
      <c r="R484" s="23">
        <f>Calculation_FSL!R1119*$F$483</f>
        <v>0</v>
      </c>
      <c r="S484" s="23">
        <f>Calculation_FSL!S1119*$F$483</f>
        <v>0</v>
      </c>
      <c r="T484" s="23">
        <f>Calculation_FSL!T1119*$F$483</f>
        <v>0</v>
      </c>
      <c r="U484" s="23">
        <f>Calculation_FSL!U1119*$F$483</f>
        <v>0</v>
      </c>
      <c r="V484" s="23">
        <f>Calculation_FSL!V1119*$F$483</f>
        <v>0</v>
      </c>
    </row>
    <row r="485" spans="2:22">
      <c r="B485" s="407" t="s">
        <v>473</v>
      </c>
      <c r="I485" s="48">
        <f>SUM(J485:V485)</f>
        <v>0</v>
      </c>
      <c r="J485" s="458">
        <f>-Calculation_FSL!J1140*$F$483</f>
        <v>0</v>
      </c>
      <c r="K485" s="23">
        <f>-Calculation_FSL!K1140*$F$483</f>
        <v>0</v>
      </c>
      <c r="L485" s="23">
        <f>-Calculation_FSL!L1140*$F$483</f>
        <v>0</v>
      </c>
      <c r="M485" s="23">
        <f>-Calculation_FSL!M1140*$F$483</f>
        <v>0</v>
      </c>
      <c r="N485" s="23">
        <f>-Calculation_FSL!N1140*$F$483</f>
        <v>0</v>
      </c>
      <c r="O485" s="23">
        <f>-Calculation_FSL!O1140*$F$483</f>
        <v>0</v>
      </c>
      <c r="P485" s="23">
        <f>-Calculation_FSL!P1140*$F$483</f>
        <v>0</v>
      </c>
      <c r="Q485" s="23">
        <f>-Calculation_FSL!Q1140*$F$483</f>
        <v>0</v>
      </c>
      <c r="R485" s="23">
        <f>-Calculation_FSL!R1140*$F$483</f>
        <v>0</v>
      </c>
      <c r="S485" s="23">
        <f>-Calculation_FSL!S1140*$F$483</f>
        <v>0</v>
      </c>
      <c r="T485" s="23">
        <f>-Calculation_FSL!T1140*$F$483</f>
        <v>0</v>
      </c>
      <c r="U485" s="23">
        <f>-Calculation_FSL!U1140*$F$483</f>
        <v>0</v>
      </c>
      <c r="V485" s="23">
        <f>-Calculation_FSL!V1140*$F$483</f>
        <v>0</v>
      </c>
    </row>
    <row r="486" spans="2:22">
      <c r="B486" s="28" t="s">
        <v>1017</v>
      </c>
      <c r="C486" s="28"/>
      <c r="D486" s="28"/>
      <c r="E486" s="28"/>
      <c r="F486" s="28"/>
      <c r="G486" s="28"/>
      <c r="H486" s="28"/>
      <c r="I486" s="49">
        <f>SUM(J486:V486)</f>
        <v>0</v>
      </c>
      <c r="J486" s="47">
        <f t="shared" ref="J486:V486" si="217">SUM(J484:J485)</f>
        <v>0</v>
      </c>
      <c r="K486" s="47">
        <f t="shared" si="217"/>
        <v>0</v>
      </c>
      <c r="L486" s="47">
        <f t="shared" si="217"/>
        <v>0</v>
      </c>
      <c r="M486" s="47">
        <f t="shared" si="217"/>
        <v>0</v>
      </c>
      <c r="N486" s="47">
        <f t="shared" si="217"/>
        <v>0</v>
      </c>
      <c r="O486" s="47">
        <f t="shared" si="217"/>
        <v>0</v>
      </c>
      <c r="P486" s="47">
        <f t="shared" si="217"/>
        <v>0</v>
      </c>
      <c r="Q486" s="47">
        <f t="shared" si="217"/>
        <v>0</v>
      </c>
      <c r="R486" s="47">
        <f t="shared" si="217"/>
        <v>0</v>
      </c>
      <c r="S486" s="47">
        <f t="shared" si="217"/>
        <v>0</v>
      </c>
      <c r="T486" s="47">
        <f t="shared" si="217"/>
        <v>0</v>
      </c>
      <c r="U486" s="47">
        <f t="shared" si="217"/>
        <v>0</v>
      </c>
      <c r="V486" s="47">
        <f t="shared" si="217"/>
        <v>0</v>
      </c>
    </row>
    <row r="487" spans="2:22">
      <c r="L487" s="1"/>
    </row>
    <row r="488" spans="2:22">
      <c r="B488" t="s">
        <v>852</v>
      </c>
      <c r="I488" s="48">
        <f>SUM(J488:V488)</f>
        <v>0</v>
      </c>
      <c r="J488" s="53">
        <f>-Calculation_FSL!J1159*$F$483</f>
        <v>0</v>
      </c>
      <c r="K488" s="53">
        <f>-Calculation_FSL!K1159*$F$483</f>
        <v>0</v>
      </c>
      <c r="L488" s="53">
        <f>-Calculation_FSL!L1159*$F$483</f>
        <v>0</v>
      </c>
      <c r="M488" s="53">
        <f>-Calculation_FSL!M1159*$F$483</f>
        <v>0</v>
      </c>
      <c r="N488" s="53">
        <f>-Calculation_FSL!N1159*$F$483</f>
        <v>0</v>
      </c>
      <c r="O488" s="53">
        <f>-Calculation_FSL!O1159*$F$483</f>
        <v>0</v>
      </c>
      <c r="P488" s="53">
        <f>-Calculation_FSL!P1159*$F$483</f>
        <v>0</v>
      </c>
      <c r="Q488" s="53">
        <f>-Calculation_FSL!Q1159*$F$483</f>
        <v>0</v>
      </c>
      <c r="R488" s="53">
        <f>-Calculation_FSL!R1159*$F$483</f>
        <v>0</v>
      </c>
      <c r="S488" s="53">
        <f>-Calculation_FSL!S1159*$F$483</f>
        <v>0</v>
      </c>
      <c r="T488" s="53">
        <f>-Calculation_FSL!T1159*$F$483</f>
        <v>0</v>
      </c>
      <c r="U488" s="53">
        <f>-Calculation_FSL!U1159*$F$483</f>
        <v>0</v>
      </c>
      <c r="V488" s="53">
        <f>-Calculation_FSL!V1159*$F$483</f>
        <v>0</v>
      </c>
    </row>
    <row r="489" spans="2:22">
      <c r="B489" s="28" t="s">
        <v>139</v>
      </c>
      <c r="C489" s="28"/>
      <c r="D489" s="28"/>
      <c r="E489" s="28"/>
      <c r="F489" s="28"/>
      <c r="G489" s="28"/>
      <c r="H489" s="28"/>
      <c r="I489" s="49">
        <f>SUM(J489:V489)</f>
        <v>0</v>
      </c>
      <c r="J489" s="47">
        <f t="shared" ref="J489:V489" si="218">SUM(J486,J488)</f>
        <v>0</v>
      </c>
      <c r="K489" s="47">
        <f t="shared" si="218"/>
        <v>0</v>
      </c>
      <c r="L489" s="47">
        <f t="shared" si="218"/>
        <v>0</v>
      </c>
      <c r="M489" s="47">
        <f t="shared" si="218"/>
        <v>0</v>
      </c>
      <c r="N489" s="47">
        <f t="shared" si="218"/>
        <v>0</v>
      </c>
      <c r="O489" s="47">
        <f t="shared" si="218"/>
        <v>0</v>
      </c>
      <c r="P489" s="47">
        <f t="shared" si="218"/>
        <v>0</v>
      </c>
      <c r="Q489" s="47">
        <f t="shared" si="218"/>
        <v>0</v>
      </c>
      <c r="R489" s="47">
        <f t="shared" si="218"/>
        <v>0</v>
      </c>
      <c r="S489" s="47">
        <f t="shared" si="218"/>
        <v>0</v>
      </c>
      <c r="T489" s="47">
        <f t="shared" si="218"/>
        <v>0</v>
      </c>
      <c r="U489" s="47">
        <f t="shared" si="218"/>
        <v>0</v>
      </c>
      <c r="V489" s="47">
        <f t="shared" si="218"/>
        <v>0</v>
      </c>
    </row>
    <row r="491" spans="2:22">
      <c r="B491" t="s">
        <v>1018</v>
      </c>
      <c r="I491" s="49">
        <f>SUM(J491:V491)</f>
        <v>0</v>
      </c>
      <c r="J491" s="53">
        <f>-Calculation_FSL!J1121*$F$483</f>
        <v>0</v>
      </c>
      <c r="K491" s="53">
        <f>-Calculation_FSL!K1121*$F$483</f>
        <v>0</v>
      </c>
      <c r="L491" s="53">
        <f>-Calculation_FSL!L1121*$F$483</f>
        <v>0</v>
      </c>
      <c r="M491" s="53">
        <f>-Calculation_FSL!M1121*$F$483</f>
        <v>0</v>
      </c>
      <c r="N491" s="53">
        <f>-Calculation_FSL!N1121*$F$483</f>
        <v>0</v>
      </c>
      <c r="O491" s="53">
        <f>-Calculation_FSL!O1121*$F$483</f>
        <v>0</v>
      </c>
      <c r="P491" s="53">
        <f>-Calculation_FSL!P1121*$F$483</f>
        <v>0</v>
      </c>
      <c r="Q491" s="53">
        <f>-Calculation_FSL!Q1121*$F$483</f>
        <v>0</v>
      </c>
      <c r="R491" s="53">
        <f>-Calculation_FSL!R1121*$F$483</f>
        <v>0</v>
      </c>
      <c r="S491" s="53">
        <f>-Calculation_FSL!S1121*$F$483</f>
        <v>0</v>
      </c>
      <c r="T491" s="53">
        <f>-Calculation_FSL!T1121*$F$483</f>
        <v>0</v>
      </c>
      <c r="U491" s="53">
        <f>-Calculation_FSL!U1121*$F$483</f>
        <v>0</v>
      </c>
      <c r="V491" s="53">
        <f>-Calculation_FSL!V1121*$F$483</f>
        <v>0</v>
      </c>
    </row>
    <row r="492" spans="2:22">
      <c r="B492" s="28" t="s">
        <v>434</v>
      </c>
      <c r="C492" s="28"/>
      <c r="D492" s="28"/>
      <c r="E492" s="28"/>
      <c r="F492" s="28"/>
      <c r="G492" s="28"/>
      <c r="H492" s="28"/>
      <c r="I492" s="49">
        <f>SUM(J492:V492)</f>
        <v>0</v>
      </c>
      <c r="J492" s="47">
        <f t="shared" ref="J492:V492" si="219">SUM(J489,J491)</f>
        <v>0</v>
      </c>
      <c r="K492" s="47">
        <f t="shared" si="219"/>
        <v>0</v>
      </c>
      <c r="L492" s="47">
        <f t="shared" si="219"/>
        <v>0</v>
      </c>
      <c r="M492" s="47">
        <f t="shared" si="219"/>
        <v>0</v>
      </c>
      <c r="N492" s="47">
        <f t="shared" si="219"/>
        <v>0</v>
      </c>
      <c r="O492" s="47">
        <f t="shared" si="219"/>
        <v>0</v>
      </c>
      <c r="P492" s="47">
        <f t="shared" si="219"/>
        <v>0</v>
      </c>
      <c r="Q492" s="47">
        <f t="shared" si="219"/>
        <v>0</v>
      </c>
      <c r="R492" s="47">
        <f t="shared" si="219"/>
        <v>0</v>
      </c>
      <c r="S492" s="47">
        <f t="shared" si="219"/>
        <v>0</v>
      </c>
      <c r="T492" s="47">
        <f t="shared" si="219"/>
        <v>0</v>
      </c>
      <c r="U492" s="47">
        <f t="shared" si="219"/>
        <v>0</v>
      </c>
      <c r="V492" s="47">
        <f t="shared" si="219"/>
        <v>0</v>
      </c>
    </row>
    <row r="493" spans="2:22"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</row>
    <row r="494" spans="2:22">
      <c r="B494" t="s">
        <v>881</v>
      </c>
      <c r="I494" s="48">
        <f>SUM(J494:V494)</f>
        <v>0</v>
      </c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</row>
    <row r="495" spans="2:22">
      <c r="B495" s="28" t="s">
        <v>1019</v>
      </c>
      <c r="C495" s="28"/>
      <c r="D495" s="28"/>
      <c r="E495" s="28"/>
      <c r="F495" s="28"/>
      <c r="G495" s="28"/>
      <c r="H495" s="28"/>
      <c r="I495" s="48">
        <f>SUM(J495:V495)</f>
        <v>0</v>
      </c>
      <c r="J495" s="47">
        <f t="shared" ref="J495:V495" si="220">SUM(J492,J494)</f>
        <v>0</v>
      </c>
      <c r="K495" s="47">
        <f t="shared" si="220"/>
        <v>0</v>
      </c>
      <c r="L495" s="47">
        <f t="shared" si="220"/>
        <v>0</v>
      </c>
      <c r="M495" s="47">
        <f t="shared" si="220"/>
        <v>0</v>
      </c>
      <c r="N495" s="47">
        <f t="shared" si="220"/>
        <v>0</v>
      </c>
      <c r="O495" s="47">
        <f t="shared" si="220"/>
        <v>0</v>
      </c>
      <c r="P495" s="47">
        <f t="shared" si="220"/>
        <v>0</v>
      </c>
      <c r="Q495" s="47">
        <f t="shared" si="220"/>
        <v>0</v>
      </c>
      <c r="R495" s="47">
        <f t="shared" si="220"/>
        <v>0</v>
      </c>
      <c r="S495" s="47">
        <f t="shared" si="220"/>
        <v>0</v>
      </c>
      <c r="T495" s="47">
        <f t="shared" si="220"/>
        <v>0</v>
      </c>
      <c r="U495" s="47">
        <f t="shared" si="220"/>
        <v>0</v>
      </c>
      <c r="V495" s="47">
        <f t="shared" si="220"/>
        <v>0</v>
      </c>
    </row>
    <row r="496" spans="2:22"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</row>
    <row r="497" spans="2:22">
      <c r="B497" t="s">
        <v>759</v>
      </c>
      <c r="I497" s="48">
        <f>SUM(J497:V497)</f>
        <v>0</v>
      </c>
      <c r="J497" s="23">
        <f>-IF(J495&lt;0,0,J495*22%)</f>
        <v>0</v>
      </c>
      <c r="K497" s="23">
        <f t="shared" ref="K497:V497" si="221">-IF(K495&lt;0,0,K495*22%)</f>
        <v>0</v>
      </c>
      <c r="L497" s="23">
        <f t="shared" si="221"/>
        <v>0</v>
      </c>
      <c r="M497" s="23">
        <f t="shared" si="221"/>
        <v>0</v>
      </c>
      <c r="N497" s="23">
        <f t="shared" si="221"/>
        <v>0</v>
      </c>
      <c r="O497" s="23">
        <f t="shared" si="221"/>
        <v>0</v>
      </c>
      <c r="P497" s="23">
        <f t="shared" si="221"/>
        <v>0</v>
      </c>
      <c r="Q497" s="23">
        <f t="shared" si="221"/>
        <v>0</v>
      </c>
      <c r="R497" s="23">
        <f t="shared" si="221"/>
        <v>0</v>
      </c>
      <c r="S497" s="23">
        <f t="shared" si="221"/>
        <v>0</v>
      </c>
      <c r="T497" s="23">
        <f t="shared" si="221"/>
        <v>0</v>
      </c>
      <c r="U497" s="23">
        <f t="shared" si="221"/>
        <v>0</v>
      </c>
      <c r="V497" s="23">
        <f t="shared" si="221"/>
        <v>0</v>
      </c>
    </row>
    <row r="498" spans="2:22">
      <c r="B498" s="28" t="s">
        <v>1020</v>
      </c>
      <c r="C498" s="28"/>
      <c r="D498" s="28"/>
      <c r="E498" s="28"/>
      <c r="F498" s="28"/>
      <c r="G498" s="28"/>
      <c r="H498" s="28"/>
      <c r="I498" s="48">
        <f>SUM(J498:V498)</f>
        <v>0</v>
      </c>
      <c r="J498" s="47">
        <f t="shared" ref="J498:V498" si="222">SUM(J495,J497)</f>
        <v>0</v>
      </c>
      <c r="K498" s="47">
        <f t="shared" si="222"/>
        <v>0</v>
      </c>
      <c r="L498" s="47">
        <f t="shared" si="222"/>
        <v>0</v>
      </c>
      <c r="M498" s="47">
        <f t="shared" si="222"/>
        <v>0</v>
      </c>
      <c r="N498" s="47">
        <f t="shared" si="222"/>
        <v>0</v>
      </c>
      <c r="O498" s="47">
        <f t="shared" si="222"/>
        <v>0</v>
      </c>
      <c r="P498" s="47">
        <f t="shared" si="222"/>
        <v>0</v>
      </c>
      <c r="Q498" s="47">
        <f t="shared" si="222"/>
        <v>0</v>
      </c>
      <c r="R498" s="47">
        <f t="shared" si="222"/>
        <v>0</v>
      </c>
      <c r="S498" s="47">
        <f t="shared" si="222"/>
        <v>0</v>
      </c>
      <c r="T498" s="47">
        <f t="shared" si="222"/>
        <v>0</v>
      </c>
      <c r="U498" s="47">
        <f t="shared" si="222"/>
        <v>0</v>
      </c>
      <c r="V498" s="47">
        <f t="shared" si="222"/>
        <v>0</v>
      </c>
    </row>
    <row r="500" spans="2:22">
      <c r="B500" s="407" t="s">
        <v>32</v>
      </c>
      <c r="C500" s="407"/>
      <c r="D500" s="407"/>
      <c r="E500" s="407"/>
      <c r="F500" s="407"/>
      <c r="G500" s="407"/>
      <c r="H500" s="407"/>
      <c r="I500" s="407"/>
      <c r="J500" s="9">
        <f>J$8</f>
        <v>2024</v>
      </c>
      <c r="K500" s="9">
        <f t="shared" ref="K500:V500" si="223">K$8</f>
        <v>2025</v>
      </c>
      <c r="L500" s="9">
        <f t="shared" si="223"/>
        <v>2026</v>
      </c>
      <c r="M500" s="9">
        <f t="shared" si="223"/>
        <v>2027</v>
      </c>
      <c r="N500" s="9">
        <f t="shared" si="223"/>
        <v>2028</v>
      </c>
      <c r="O500" s="9">
        <f t="shared" si="223"/>
        <v>2029</v>
      </c>
      <c r="P500" s="9">
        <f t="shared" si="223"/>
        <v>2030</v>
      </c>
      <c r="Q500" s="9">
        <f t="shared" si="223"/>
        <v>2031</v>
      </c>
      <c r="R500" s="9">
        <f t="shared" si="223"/>
        <v>2032</v>
      </c>
      <c r="S500" s="9">
        <f t="shared" si="223"/>
        <v>2033</v>
      </c>
      <c r="T500" s="9">
        <f t="shared" si="223"/>
        <v>2034</v>
      </c>
      <c r="U500" s="9">
        <f t="shared" si="223"/>
        <v>2035</v>
      </c>
      <c r="V500" s="9">
        <f t="shared" si="223"/>
        <v>2036</v>
      </c>
    </row>
    <row r="501" spans="2:22">
      <c r="B501" s="55" t="s">
        <v>1021</v>
      </c>
      <c r="C501" s="51"/>
      <c r="D501" s="51"/>
      <c r="E501" s="51"/>
      <c r="F501" s="51"/>
      <c r="G501" s="51"/>
      <c r="H501" s="51"/>
      <c r="I501" s="51"/>
      <c r="J501" s="56">
        <f>IFERROR(J486/J484,0)</f>
        <v>0</v>
      </c>
      <c r="K501" s="56">
        <f t="shared" ref="K501:V501" si="224">IFERROR(K486/K484,0)</f>
        <v>0</v>
      </c>
      <c r="L501" s="56">
        <f t="shared" si="224"/>
        <v>0</v>
      </c>
      <c r="M501" s="56">
        <f t="shared" si="224"/>
        <v>0</v>
      </c>
      <c r="N501" s="56">
        <f t="shared" si="224"/>
        <v>0</v>
      </c>
      <c r="O501" s="56">
        <f t="shared" si="224"/>
        <v>0</v>
      </c>
      <c r="P501" s="56">
        <f t="shared" si="224"/>
        <v>0</v>
      </c>
      <c r="Q501" s="56">
        <f t="shared" si="224"/>
        <v>0</v>
      </c>
      <c r="R501" s="56">
        <f t="shared" si="224"/>
        <v>0</v>
      </c>
      <c r="S501" s="56">
        <f t="shared" si="224"/>
        <v>0</v>
      </c>
      <c r="T501" s="56">
        <f t="shared" si="224"/>
        <v>0</v>
      </c>
      <c r="U501" s="56">
        <f t="shared" si="224"/>
        <v>0</v>
      </c>
      <c r="V501" s="56">
        <f t="shared" si="224"/>
        <v>0</v>
      </c>
    </row>
    <row r="502" spans="2:22">
      <c r="B502" s="55" t="s">
        <v>1022</v>
      </c>
      <c r="C502" s="51"/>
      <c r="D502" s="51"/>
      <c r="E502" s="51"/>
      <c r="F502" s="51"/>
      <c r="G502" s="51"/>
      <c r="H502" s="51"/>
      <c r="I502" s="51"/>
      <c r="J502" s="56">
        <f>IFERROR(J489/J484,0)</f>
        <v>0</v>
      </c>
      <c r="K502" s="52">
        <f t="shared" ref="K502:T502" si="225">IFERROR(K492/K486,0)</f>
        <v>0</v>
      </c>
      <c r="L502" s="52">
        <f t="shared" si="225"/>
        <v>0</v>
      </c>
      <c r="M502" s="52">
        <f t="shared" si="225"/>
        <v>0</v>
      </c>
      <c r="N502" s="52">
        <f t="shared" si="225"/>
        <v>0</v>
      </c>
      <c r="O502" s="52">
        <f t="shared" si="225"/>
        <v>0</v>
      </c>
      <c r="P502" s="52">
        <f t="shared" si="225"/>
        <v>0</v>
      </c>
      <c r="Q502" s="52">
        <f t="shared" si="225"/>
        <v>0</v>
      </c>
      <c r="R502" s="52">
        <f t="shared" si="225"/>
        <v>0</v>
      </c>
      <c r="S502" s="52">
        <f t="shared" si="225"/>
        <v>0</v>
      </c>
      <c r="T502" s="52">
        <f t="shared" si="225"/>
        <v>0</v>
      </c>
      <c r="U502" s="52">
        <f>IFERROR(U492/U486,0)</f>
        <v>0</v>
      </c>
      <c r="V502" s="52">
        <f>IFERROR(V492/V486,0)</f>
        <v>0</v>
      </c>
    </row>
    <row r="503" spans="2:22">
      <c r="B503" s="55" t="s">
        <v>990</v>
      </c>
      <c r="C503" s="51"/>
      <c r="D503" s="51"/>
      <c r="E503" s="51"/>
      <c r="F503" s="51"/>
      <c r="G503" s="51"/>
      <c r="H503" s="51"/>
      <c r="I503" s="51"/>
      <c r="J503" s="52">
        <f>IFERROR(J498/J484,0)</f>
        <v>0</v>
      </c>
      <c r="K503" s="52">
        <f t="shared" ref="K503:V503" si="226">IFERROR(K498/K484,0)</f>
        <v>0</v>
      </c>
      <c r="L503" s="52">
        <f t="shared" si="226"/>
        <v>0</v>
      </c>
      <c r="M503" s="52">
        <f t="shared" si="226"/>
        <v>0</v>
      </c>
      <c r="N503" s="52">
        <f t="shared" si="226"/>
        <v>0</v>
      </c>
      <c r="O503" s="52">
        <f t="shared" si="226"/>
        <v>0</v>
      </c>
      <c r="P503" s="52">
        <f t="shared" si="226"/>
        <v>0</v>
      </c>
      <c r="Q503" s="52">
        <f t="shared" si="226"/>
        <v>0</v>
      </c>
      <c r="R503" s="52">
        <f t="shared" si="226"/>
        <v>0</v>
      </c>
      <c r="S503" s="52">
        <f t="shared" si="226"/>
        <v>0</v>
      </c>
      <c r="T503" s="52">
        <f t="shared" si="226"/>
        <v>0</v>
      </c>
      <c r="U503" s="52">
        <f t="shared" si="226"/>
        <v>0</v>
      </c>
      <c r="V503" s="52">
        <f t="shared" si="226"/>
        <v>0</v>
      </c>
    </row>
    <row r="505" spans="2:22" ht="24" thickBot="1">
      <c r="B505" s="14" t="s">
        <v>1044</v>
      </c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</row>
    <row r="506" spans="2:22">
      <c r="B506" s="2" t="s">
        <v>29</v>
      </c>
      <c r="F506" s="6">
        <f>Output_FSL!F36</f>
        <v>1</v>
      </c>
    </row>
    <row r="507" spans="2:22">
      <c r="B507" s="407" t="s">
        <v>623</v>
      </c>
      <c r="I507" s="48">
        <f>SUM(J507:V507)</f>
        <v>37.484707472289401</v>
      </c>
      <c r="J507" s="458">
        <f>SUM(J92,J231,J300,J346,)</f>
        <v>0</v>
      </c>
      <c r="K507" s="23">
        <f t="shared" ref="K507:V508" si="227">SUM(K92,K231,K300,K346,)</f>
        <v>0</v>
      </c>
      <c r="L507" s="23">
        <f t="shared" si="227"/>
        <v>0</v>
      </c>
      <c r="M507" s="23">
        <f t="shared" si="227"/>
        <v>2.7524007129335306</v>
      </c>
      <c r="N507" s="23">
        <f t="shared" si="227"/>
        <v>3.3007727343215363</v>
      </c>
      <c r="O507" s="23">
        <f t="shared" si="227"/>
        <v>3.4340759163511825</v>
      </c>
      <c r="P507" s="23">
        <f t="shared" si="227"/>
        <v>3.5746261938417185</v>
      </c>
      <c r="Q507" s="23">
        <f t="shared" si="227"/>
        <v>3.7229657796569704</v>
      </c>
      <c r="R507" s="23">
        <f t="shared" si="227"/>
        <v>3.8549822730466792</v>
      </c>
      <c r="S507" s="23">
        <f t="shared" si="227"/>
        <v>3.9920709124380802</v>
      </c>
      <c r="T507" s="23">
        <f t="shared" si="227"/>
        <v>4.1344505612832219</v>
      </c>
      <c r="U507" s="23">
        <f t="shared" si="227"/>
        <v>4.282350650882039</v>
      </c>
      <c r="V507" s="23">
        <f t="shared" si="227"/>
        <v>4.4360117375344394</v>
      </c>
    </row>
    <row r="508" spans="2:22">
      <c r="B508" s="407" t="s">
        <v>473</v>
      </c>
      <c r="I508" s="48">
        <f>SUM(J508:V508)</f>
        <v>0</v>
      </c>
      <c r="J508" s="458">
        <f>SUM(J93,J232,J301,J347,)</f>
        <v>0</v>
      </c>
      <c r="K508" s="23">
        <f t="shared" si="227"/>
        <v>0</v>
      </c>
      <c r="L508" s="23">
        <f t="shared" si="227"/>
        <v>0</v>
      </c>
      <c r="M508" s="23">
        <f t="shared" si="227"/>
        <v>0</v>
      </c>
      <c r="N508" s="23">
        <f t="shared" si="227"/>
        <v>0</v>
      </c>
      <c r="O508" s="23">
        <f t="shared" si="227"/>
        <v>0</v>
      </c>
      <c r="P508" s="23">
        <f t="shared" si="227"/>
        <v>0</v>
      </c>
      <c r="Q508" s="23">
        <f t="shared" si="227"/>
        <v>0</v>
      </c>
      <c r="R508" s="23">
        <f t="shared" si="227"/>
        <v>0</v>
      </c>
      <c r="S508" s="23">
        <f t="shared" si="227"/>
        <v>0</v>
      </c>
      <c r="T508" s="23">
        <f t="shared" si="227"/>
        <v>0</v>
      </c>
      <c r="U508" s="23">
        <f t="shared" si="227"/>
        <v>0</v>
      </c>
      <c r="V508" s="23">
        <f t="shared" si="227"/>
        <v>0</v>
      </c>
    </row>
    <row r="509" spans="2:22">
      <c r="B509" s="28" t="s">
        <v>1017</v>
      </c>
      <c r="C509" s="28"/>
      <c r="D509" s="28"/>
      <c r="E509" s="28"/>
      <c r="F509" s="28"/>
      <c r="G509" s="28"/>
      <c r="H509" s="28"/>
      <c r="I509" s="49">
        <f>SUM(J509:V509)</f>
        <v>37.484707472289401</v>
      </c>
      <c r="J509" s="47">
        <f t="shared" ref="J509:V509" si="228">SUM(J507:J508)</f>
        <v>0</v>
      </c>
      <c r="K509" s="47">
        <f t="shared" si="228"/>
        <v>0</v>
      </c>
      <c r="L509" s="47">
        <f t="shared" si="228"/>
        <v>0</v>
      </c>
      <c r="M509" s="47">
        <f t="shared" si="228"/>
        <v>2.7524007129335306</v>
      </c>
      <c r="N509" s="47">
        <f t="shared" si="228"/>
        <v>3.3007727343215363</v>
      </c>
      <c r="O509" s="47">
        <f t="shared" si="228"/>
        <v>3.4340759163511825</v>
      </c>
      <c r="P509" s="47">
        <f t="shared" si="228"/>
        <v>3.5746261938417185</v>
      </c>
      <c r="Q509" s="47">
        <f t="shared" si="228"/>
        <v>3.7229657796569704</v>
      </c>
      <c r="R509" s="47">
        <f t="shared" si="228"/>
        <v>3.8549822730466792</v>
      </c>
      <c r="S509" s="47">
        <f t="shared" si="228"/>
        <v>3.9920709124380802</v>
      </c>
      <c r="T509" s="47">
        <f t="shared" si="228"/>
        <v>4.1344505612832219</v>
      </c>
      <c r="U509" s="47">
        <f t="shared" si="228"/>
        <v>4.282350650882039</v>
      </c>
      <c r="V509" s="47">
        <f t="shared" si="228"/>
        <v>4.4360117375344394</v>
      </c>
    </row>
    <row r="510" spans="2:22">
      <c r="L510" s="1"/>
    </row>
    <row r="511" spans="2:22">
      <c r="B511" t="s">
        <v>852</v>
      </c>
      <c r="I511" s="48">
        <f>SUM(J511:V511)</f>
        <v>-7.4969414944578805</v>
      </c>
      <c r="J511" s="1">
        <f>SUM(J96,J235,J304,J350,)</f>
        <v>0</v>
      </c>
      <c r="K511" s="1">
        <f t="shared" ref="K511:V511" si="229">SUM(K96,K235,K304,K350,)</f>
        <v>0</v>
      </c>
      <c r="L511" s="1">
        <f t="shared" si="229"/>
        <v>0</v>
      </c>
      <c r="M511" s="1">
        <f t="shared" si="229"/>
        <v>-0.55048014258670608</v>
      </c>
      <c r="N511" s="1">
        <f t="shared" si="229"/>
        <v>-0.6601545468643073</v>
      </c>
      <c r="O511" s="1">
        <f t="shared" si="229"/>
        <v>-0.6868151832702365</v>
      </c>
      <c r="P511" s="1">
        <f t="shared" si="229"/>
        <v>-0.7149252387683438</v>
      </c>
      <c r="Q511" s="1">
        <f t="shared" si="229"/>
        <v>-0.74459315593139408</v>
      </c>
      <c r="R511" s="1">
        <f t="shared" si="229"/>
        <v>-0.77099645460933586</v>
      </c>
      <c r="S511" s="1">
        <f t="shared" si="229"/>
        <v>-0.79841418248761609</v>
      </c>
      <c r="T511" s="1">
        <f t="shared" si="229"/>
        <v>-0.82689011225664455</v>
      </c>
      <c r="U511" s="1">
        <f t="shared" si="229"/>
        <v>-0.85647013017640794</v>
      </c>
      <c r="V511" s="1">
        <f t="shared" si="229"/>
        <v>-0.88720234750688798</v>
      </c>
    </row>
    <row r="512" spans="2:22">
      <c r="B512" s="28" t="s">
        <v>139</v>
      </c>
      <c r="C512" s="28"/>
      <c r="D512" s="28"/>
      <c r="E512" s="28"/>
      <c r="F512" s="28"/>
      <c r="G512" s="28"/>
      <c r="H512" s="28"/>
      <c r="I512" s="49">
        <f>SUM(J512:V512)</f>
        <v>29.987765977831522</v>
      </c>
      <c r="J512" s="47">
        <f t="shared" ref="J512:V512" si="230">SUM(J509,J511)</f>
        <v>0</v>
      </c>
      <c r="K512" s="47">
        <f t="shared" si="230"/>
        <v>0</v>
      </c>
      <c r="L512" s="47">
        <f t="shared" si="230"/>
        <v>0</v>
      </c>
      <c r="M512" s="47">
        <f t="shared" si="230"/>
        <v>2.2019205703468243</v>
      </c>
      <c r="N512" s="47">
        <f t="shared" si="230"/>
        <v>2.6406181874572292</v>
      </c>
      <c r="O512" s="47">
        <f t="shared" si="230"/>
        <v>2.747260733080946</v>
      </c>
      <c r="P512" s="47">
        <f t="shared" si="230"/>
        <v>2.8597009550733747</v>
      </c>
      <c r="Q512" s="47">
        <f t="shared" si="230"/>
        <v>2.9783726237255763</v>
      </c>
      <c r="R512" s="47">
        <f t="shared" si="230"/>
        <v>3.0839858184373434</v>
      </c>
      <c r="S512" s="47">
        <f t="shared" si="230"/>
        <v>3.1936567299504643</v>
      </c>
      <c r="T512" s="47">
        <f t="shared" si="230"/>
        <v>3.3075604490265773</v>
      </c>
      <c r="U512" s="47">
        <f t="shared" si="230"/>
        <v>3.4258805207056309</v>
      </c>
      <c r="V512" s="47">
        <f t="shared" si="230"/>
        <v>3.5488093900275515</v>
      </c>
    </row>
    <row r="514" spans="2:22">
      <c r="B514" t="s">
        <v>1018</v>
      </c>
      <c r="I514" s="49">
        <f>SUM(J514:V514)</f>
        <v>-4.7819099999999999</v>
      </c>
      <c r="J514" s="53">
        <f>SUM(J99,J238,J307,J353,)</f>
        <v>0</v>
      </c>
      <c r="K514" s="53">
        <f t="shared" ref="K514:V514" si="231">SUM(K99,K238,K307,K353,)</f>
        <v>0</v>
      </c>
      <c r="L514" s="53">
        <f t="shared" si="231"/>
        <v>0</v>
      </c>
      <c r="M514" s="53">
        <f t="shared" si="231"/>
        <v>-0.39036000000000004</v>
      </c>
      <c r="N514" s="53">
        <f t="shared" si="231"/>
        <v>-0.48795000000000005</v>
      </c>
      <c r="O514" s="53">
        <f t="shared" si="231"/>
        <v>-0.48795000000000005</v>
      </c>
      <c r="P514" s="53">
        <f t="shared" si="231"/>
        <v>-0.48795000000000005</v>
      </c>
      <c r="Q514" s="53">
        <f t="shared" si="231"/>
        <v>-0.48795000000000005</v>
      </c>
      <c r="R514" s="53">
        <f t="shared" si="231"/>
        <v>-0.48795000000000005</v>
      </c>
      <c r="S514" s="53">
        <f t="shared" si="231"/>
        <v>-0.48795000000000005</v>
      </c>
      <c r="T514" s="53">
        <f t="shared" si="231"/>
        <v>-0.48795000000000005</v>
      </c>
      <c r="U514" s="53">
        <f t="shared" si="231"/>
        <v>-0.48795000000000005</v>
      </c>
      <c r="V514" s="53">
        <f t="shared" si="231"/>
        <v>-0.48795000000000005</v>
      </c>
    </row>
    <row r="515" spans="2:22">
      <c r="B515" s="28" t="s">
        <v>434</v>
      </c>
      <c r="C515" s="28"/>
      <c r="D515" s="28"/>
      <c r="E515" s="28"/>
      <c r="F515" s="28"/>
      <c r="G515" s="28"/>
      <c r="H515" s="28"/>
      <c r="I515" s="49">
        <f>SUM(J515:V515)</f>
        <v>25.205855977831519</v>
      </c>
      <c r="J515" s="47">
        <f t="shared" ref="J515:V515" si="232">SUM(J512,J514)</f>
        <v>0</v>
      </c>
      <c r="K515" s="47">
        <f t="shared" si="232"/>
        <v>0</v>
      </c>
      <c r="L515" s="47">
        <f t="shared" si="232"/>
        <v>0</v>
      </c>
      <c r="M515" s="47">
        <f t="shared" si="232"/>
        <v>1.8115605703468243</v>
      </c>
      <c r="N515" s="47">
        <f t="shared" si="232"/>
        <v>2.1526681874572291</v>
      </c>
      <c r="O515" s="47">
        <f t="shared" si="232"/>
        <v>2.2593107330809459</v>
      </c>
      <c r="P515" s="47">
        <f t="shared" si="232"/>
        <v>2.3717509550733746</v>
      </c>
      <c r="Q515" s="47">
        <f t="shared" si="232"/>
        <v>2.4904226237255762</v>
      </c>
      <c r="R515" s="47">
        <f t="shared" si="232"/>
        <v>2.5960358184373433</v>
      </c>
      <c r="S515" s="47">
        <f t="shared" si="232"/>
        <v>2.7057067299504642</v>
      </c>
      <c r="T515" s="47">
        <f t="shared" si="232"/>
        <v>2.8196104490265772</v>
      </c>
      <c r="U515" s="47">
        <f t="shared" si="232"/>
        <v>2.9379305207056308</v>
      </c>
      <c r="V515" s="47">
        <f t="shared" si="232"/>
        <v>3.0608593900275514</v>
      </c>
    </row>
    <row r="516" spans="2:22"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</row>
    <row r="517" spans="2:22">
      <c r="B517" t="s">
        <v>881</v>
      </c>
      <c r="I517" s="48">
        <f>SUM(J517:V517)</f>
        <v>0</v>
      </c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</row>
    <row r="518" spans="2:22">
      <c r="B518" s="28" t="s">
        <v>1019</v>
      </c>
      <c r="C518" s="28"/>
      <c r="D518" s="28"/>
      <c r="E518" s="28"/>
      <c r="F518" s="28"/>
      <c r="G518" s="28"/>
      <c r="H518" s="28"/>
      <c r="I518" s="48">
        <f>SUM(J518:V518)</f>
        <v>25.205855977831519</v>
      </c>
      <c r="J518" s="47">
        <f t="shared" ref="J518:V518" si="233">SUM(J515,J517)</f>
        <v>0</v>
      </c>
      <c r="K518" s="47">
        <f t="shared" si="233"/>
        <v>0</v>
      </c>
      <c r="L518" s="47">
        <f t="shared" si="233"/>
        <v>0</v>
      </c>
      <c r="M518" s="47">
        <f t="shared" si="233"/>
        <v>1.8115605703468243</v>
      </c>
      <c r="N518" s="47">
        <f t="shared" si="233"/>
        <v>2.1526681874572291</v>
      </c>
      <c r="O518" s="47">
        <f t="shared" si="233"/>
        <v>2.2593107330809459</v>
      </c>
      <c r="P518" s="47">
        <f t="shared" si="233"/>
        <v>2.3717509550733746</v>
      </c>
      <c r="Q518" s="47">
        <f t="shared" si="233"/>
        <v>2.4904226237255762</v>
      </c>
      <c r="R518" s="47">
        <f t="shared" si="233"/>
        <v>2.5960358184373433</v>
      </c>
      <c r="S518" s="47">
        <f t="shared" si="233"/>
        <v>2.7057067299504642</v>
      </c>
      <c r="T518" s="47">
        <f t="shared" si="233"/>
        <v>2.8196104490265772</v>
      </c>
      <c r="U518" s="47">
        <f t="shared" si="233"/>
        <v>2.9379305207056308</v>
      </c>
      <c r="V518" s="47">
        <f t="shared" si="233"/>
        <v>3.0608593900275514</v>
      </c>
    </row>
    <row r="519" spans="2:22"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</row>
    <row r="520" spans="2:22">
      <c r="B520" t="s">
        <v>759</v>
      </c>
      <c r="I520" s="48">
        <f>SUM(J520:V520)</f>
        <v>-5.5452883151229342</v>
      </c>
      <c r="J520" s="23">
        <f>SUM(J105,J244,J313,J359,)</f>
        <v>0</v>
      </c>
      <c r="K520" s="23">
        <f t="shared" ref="K520:V520" si="234">SUM(K105,K244,K313,K359,)</f>
        <v>0</v>
      </c>
      <c r="L520" s="23">
        <f t="shared" si="234"/>
        <v>0</v>
      </c>
      <c r="M520" s="23">
        <f t="shared" si="234"/>
        <v>-0.39854332547630139</v>
      </c>
      <c r="N520" s="23">
        <f t="shared" si="234"/>
        <v>-0.47358700124059044</v>
      </c>
      <c r="O520" s="23">
        <f t="shared" si="234"/>
        <v>-0.4970483612778081</v>
      </c>
      <c r="P520" s="23">
        <f t="shared" si="234"/>
        <v>-0.52178521011614243</v>
      </c>
      <c r="Q520" s="23">
        <f t="shared" si="234"/>
        <v>-0.54789297721962671</v>
      </c>
      <c r="R520" s="23">
        <f t="shared" si="234"/>
        <v>-0.57112788005621551</v>
      </c>
      <c r="S520" s="23">
        <f t="shared" si="234"/>
        <v>-0.59525548058910205</v>
      </c>
      <c r="T520" s="23">
        <f t="shared" si="234"/>
        <v>-0.62031429878584698</v>
      </c>
      <c r="U520" s="23">
        <f t="shared" si="234"/>
        <v>-0.6463447145552389</v>
      </c>
      <c r="V520" s="23">
        <f t="shared" si="234"/>
        <v>-0.67338906580606128</v>
      </c>
    </row>
    <row r="521" spans="2:22">
      <c r="B521" s="28" t="s">
        <v>1020</v>
      </c>
      <c r="C521" s="28"/>
      <c r="D521" s="28"/>
      <c r="E521" s="28"/>
      <c r="F521" s="28"/>
      <c r="G521" s="28"/>
      <c r="H521" s="28"/>
      <c r="I521" s="48">
        <f>SUM(J521:V521)</f>
        <v>19.660567662708583</v>
      </c>
      <c r="J521" s="47">
        <f t="shared" ref="J521:V521" si="235">SUM(J518,J520)</f>
        <v>0</v>
      </c>
      <c r="K521" s="47">
        <f t="shared" si="235"/>
        <v>0</v>
      </c>
      <c r="L521" s="47">
        <f t="shared" si="235"/>
        <v>0</v>
      </c>
      <c r="M521" s="47">
        <f t="shared" si="235"/>
        <v>1.4130172448705229</v>
      </c>
      <c r="N521" s="47">
        <f t="shared" si="235"/>
        <v>1.6790811862166386</v>
      </c>
      <c r="O521" s="47">
        <f t="shared" si="235"/>
        <v>1.7622623718031378</v>
      </c>
      <c r="P521" s="47">
        <f t="shared" si="235"/>
        <v>1.8499657449572322</v>
      </c>
      <c r="Q521" s="47">
        <f t="shared" si="235"/>
        <v>1.9425296465059496</v>
      </c>
      <c r="R521" s="47">
        <f t="shared" si="235"/>
        <v>2.0249079383811277</v>
      </c>
      <c r="S521" s="47">
        <f t="shared" si="235"/>
        <v>2.1104512493613621</v>
      </c>
      <c r="T521" s="47">
        <f t="shared" si="235"/>
        <v>2.1992961502407304</v>
      </c>
      <c r="U521" s="47">
        <f t="shared" si="235"/>
        <v>2.2915858061503918</v>
      </c>
      <c r="V521" s="47">
        <f t="shared" si="235"/>
        <v>2.3874703242214901</v>
      </c>
    </row>
    <row r="523" spans="2:22">
      <c r="B523" s="407" t="s">
        <v>32</v>
      </c>
      <c r="C523" s="407"/>
      <c r="D523" s="407"/>
      <c r="E523" s="407"/>
      <c r="F523" s="407"/>
      <c r="G523" s="407"/>
      <c r="H523" s="407"/>
      <c r="I523" s="407"/>
      <c r="J523" s="9">
        <f>J$8</f>
        <v>2024</v>
      </c>
      <c r="K523" s="9">
        <f t="shared" ref="K523:V523" si="236">K$8</f>
        <v>2025</v>
      </c>
      <c r="L523" s="9">
        <f t="shared" si="236"/>
        <v>2026</v>
      </c>
      <c r="M523" s="9">
        <f t="shared" si="236"/>
        <v>2027</v>
      </c>
      <c r="N523" s="9">
        <f t="shared" si="236"/>
        <v>2028</v>
      </c>
      <c r="O523" s="9">
        <f t="shared" si="236"/>
        <v>2029</v>
      </c>
      <c r="P523" s="9">
        <f t="shared" si="236"/>
        <v>2030</v>
      </c>
      <c r="Q523" s="9">
        <f t="shared" si="236"/>
        <v>2031</v>
      </c>
      <c r="R523" s="9">
        <f t="shared" si="236"/>
        <v>2032</v>
      </c>
      <c r="S523" s="9">
        <f t="shared" si="236"/>
        <v>2033</v>
      </c>
      <c r="T523" s="9">
        <f t="shared" si="236"/>
        <v>2034</v>
      </c>
      <c r="U523" s="9">
        <f t="shared" si="236"/>
        <v>2035</v>
      </c>
      <c r="V523" s="9">
        <f t="shared" si="236"/>
        <v>2036</v>
      </c>
    </row>
    <row r="524" spans="2:22">
      <c r="B524" s="55" t="s">
        <v>1021</v>
      </c>
      <c r="C524" s="51"/>
      <c r="D524" s="51"/>
      <c r="E524" s="51"/>
      <c r="F524" s="51"/>
      <c r="G524" s="51"/>
      <c r="H524" s="51"/>
      <c r="I524" s="51"/>
      <c r="J524" s="56">
        <f>IFERROR(J509/J507,0)</f>
        <v>0</v>
      </c>
      <c r="K524" s="56">
        <f t="shared" ref="K524:V524" si="237">IFERROR(K509/K507,0)</f>
        <v>0</v>
      </c>
      <c r="L524" s="56">
        <f t="shared" si="237"/>
        <v>0</v>
      </c>
      <c r="M524" s="56">
        <f t="shared" si="237"/>
        <v>1</v>
      </c>
      <c r="N524" s="56">
        <f t="shared" si="237"/>
        <v>1</v>
      </c>
      <c r="O524" s="56">
        <f t="shared" si="237"/>
        <v>1</v>
      </c>
      <c r="P524" s="56">
        <f t="shared" si="237"/>
        <v>1</v>
      </c>
      <c r="Q524" s="56">
        <f t="shared" si="237"/>
        <v>1</v>
      </c>
      <c r="R524" s="56">
        <f t="shared" si="237"/>
        <v>1</v>
      </c>
      <c r="S524" s="56">
        <f t="shared" si="237"/>
        <v>1</v>
      </c>
      <c r="T524" s="56">
        <f t="shared" si="237"/>
        <v>1</v>
      </c>
      <c r="U524" s="56">
        <f t="shared" si="237"/>
        <v>1</v>
      </c>
      <c r="V524" s="56">
        <f t="shared" si="237"/>
        <v>1</v>
      </c>
    </row>
    <row r="525" spans="2:22">
      <c r="B525" s="55" t="s">
        <v>1022</v>
      </c>
      <c r="C525" s="51"/>
      <c r="D525" s="51"/>
      <c r="E525" s="51"/>
      <c r="F525" s="51"/>
      <c r="G525" s="51"/>
      <c r="H525" s="51"/>
      <c r="I525" s="51"/>
      <c r="J525" s="56">
        <f>IFERROR(J512/J507,0)</f>
        <v>0</v>
      </c>
      <c r="K525" s="52">
        <f t="shared" ref="K525:T525" si="238">IFERROR(K515/K509,0)</f>
        <v>0</v>
      </c>
      <c r="L525" s="52">
        <f t="shared" si="238"/>
        <v>0</v>
      </c>
      <c r="M525" s="52">
        <f t="shared" si="238"/>
        <v>0.65817472064816052</v>
      </c>
      <c r="N525" s="52">
        <f t="shared" si="238"/>
        <v>0.65217097956297299</v>
      </c>
      <c r="O525" s="52">
        <f t="shared" si="238"/>
        <v>0.65790937303492614</v>
      </c>
      <c r="P525" s="52">
        <f t="shared" si="238"/>
        <v>0.66349621651611324</v>
      </c>
      <c r="Q525" s="52">
        <f t="shared" si="238"/>
        <v>0.6689351369635852</v>
      </c>
      <c r="R525" s="52">
        <f t="shared" si="238"/>
        <v>0.67342354246045288</v>
      </c>
      <c r="S525" s="52">
        <f t="shared" si="238"/>
        <v>0.67777020731778692</v>
      </c>
      <c r="T525" s="52">
        <f t="shared" si="238"/>
        <v>0.68197948124730901</v>
      </c>
      <c r="U525" s="52">
        <f>IFERROR(U515/U509,0)</f>
        <v>0.68605557092820102</v>
      </c>
      <c r="V525" s="52">
        <f>IFERROR(V515/V509,0)</f>
        <v>0.69000254533338867</v>
      </c>
    </row>
    <row r="526" spans="2:22">
      <c r="B526" s="55" t="s">
        <v>990</v>
      </c>
      <c r="C526" s="51"/>
      <c r="D526" s="51"/>
      <c r="E526" s="51"/>
      <c r="F526" s="51"/>
      <c r="G526" s="51"/>
      <c r="H526" s="51"/>
      <c r="I526" s="51"/>
      <c r="J526" s="52">
        <f>IFERROR(J521/J507,0)</f>
        <v>0</v>
      </c>
      <c r="K526" s="52">
        <f t="shared" ref="K526:V526" si="239">IFERROR(K521/K507,0)</f>
        <v>0</v>
      </c>
      <c r="L526" s="52">
        <f t="shared" si="239"/>
        <v>0</v>
      </c>
      <c r="M526" s="52">
        <f t="shared" si="239"/>
        <v>0.51337628210556518</v>
      </c>
      <c r="N526" s="52">
        <f t="shared" si="239"/>
        <v>0.50869336405911891</v>
      </c>
      <c r="O526" s="52">
        <f t="shared" si="239"/>
        <v>0.51316931096724239</v>
      </c>
      <c r="P526" s="52">
        <f t="shared" si="239"/>
        <v>0.51752704888256829</v>
      </c>
      <c r="Q526" s="52">
        <f t="shared" si="239"/>
        <v>0.52176940683159645</v>
      </c>
      <c r="R526" s="52">
        <f t="shared" si="239"/>
        <v>0.52527036311915321</v>
      </c>
      <c r="S526" s="52">
        <f t="shared" si="239"/>
        <v>0.52866076170787379</v>
      </c>
      <c r="T526" s="52">
        <f t="shared" si="239"/>
        <v>0.53194399537290105</v>
      </c>
      <c r="U526" s="52">
        <f t="shared" si="239"/>
        <v>0.53512334532399675</v>
      </c>
      <c r="V526" s="52">
        <f t="shared" si="239"/>
        <v>0.53820198536004316</v>
      </c>
    </row>
  </sheetData>
  <conditionalFormatting sqref="J11:V11">
    <cfRule type="cellIs" dxfId="17" priority="3" operator="equal">
      <formula>1</formula>
    </cfRule>
  </conditionalFormatting>
  <conditionalFormatting sqref="K12:V12">
    <cfRule type="cellIs" dxfId="16" priority="2" operator="equal">
      <formula>1</formula>
    </cfRule>
  </conditionalFormatting>
  <conditionalFormatting sqref="J12">
    <cfRule type="cellIs" dxfId="15" priority="1" operator="equal">
      <formula>1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4CC5F-2FAA-4D99-9583-6C6B8F47E624}">
  <sheetPr codeName="Sheet31">
    <tabColor theme="0" tint="-0.249977111117893"/>
  </sheetPr>
  <dimension ref="A1:W502"/>
  <sheetViews>
    <sheetView showGridLines="0" zoomScale="79" zoomScaleNormal="90" workbookViewId="0">
      <pane xSplit="9" ySplit="14" topLeftCell="J106" activePane="bottomRight" state="frozen"/>
      <selection pane="topRight" activeCell="H90" sqref="H90"/>
      <selection pane="bottomLeft" activeCell="H90" sqref="H90"/>
      <selection pane="bottomRight" activeCell="K115" sqref="K115"/>
    </sheetView>
  </sheetViews>
  <sheetFormatPr defaultColWidth="0" defaultRowHeight="15"/>
  <cols>
    <col min="1" max="1" width="3" customWidth="1"/>
    <col min="2" max="4" width="9.140625" customWidth="1"/>
    <col min="5" max="5" width="15.28515625" customWidth="1"/>
    <col min="6" max="6" width="15.42578125" bestFit="1" customWidth="1"/>
    <col min="7" max="7" width="15.28515625" customWidth="1"/>
    <col min="8" max="8" width="35.42578125" customWidth="1"/>
    <col min="9" max="9" width="13.28515625" bestFit="1" customWidth="1"/>
    <col min="10" max="11" width="12.85546875" bestFit="1" customWidth="1"/>
    <col min="12" max="22" width="12.42578125" customWidth="1"/>
    <col min="23" max="23" width="10.5703125" customWidth="1"/>
  </cols>
  <sheetData>
    <row r="1" spans="2:22" s="3" customFormat="1" ht="23.25">
      <c r="B1" s="4" t="s">
        <v>1014</v>
      </c>
    </row>
    <row r="2" spans="2:22" ht="15.75">
      <c r="B2" s="5"/>
    </row>
    <row r="3" spans="2:22">
      <c r="B3" s="2" t="s">
        <v>1045</v>
      </c>
    </row>
    <row r="4" spans="2:22">
      <c r="B4" t="s">
        <v>29</v>
      </c>
      <c r="D4" s="6">
        <v>1</v>
      </c>
    </row>
    <row r="6" spans="2:22">
      <c r="B6" t="s">
        <v>30</v>
      </c>
      <c r="J6" s="7">
        <f>I7+1</f>
        <v>45292</v>
      </c>
      <c r="K6" s="7">
        <f t="shared" ref="K6:V6" si="0">J7+1</f>
        <v>45658</v>
      </c>
      <c r="L6" s="7">
        <f t="shared" si="0"/>
        <v>46023</v>
      </c>
      <c r="M6" s="7">
        <f t="shared" si="0"/>
        <v>46388</v>
      </c>
      <c r="N6" s="7">
        <f t="shared" si="0"/>
        <v>46753</v>
      </c>
      <c r="O6" s="7">
        <f t="shared" si="0"/>
        <v>47119</v>
      </c>
      <c r="P6" s="7">
        <f t="shared" si="0"/>
        <v>47484</v>
      </c>
      <c r="Q6" s="7">
        <f t="shared" si="0"/>
        <v>47849</v>
      </c>
      <c r="R6" s="7">
        <f t="shared" si="0"/>
        <v>48214</v>
      </c>
      <c r="S6" s="7">
        <f t="shared" si="0"/>
        <v>48580</v>
      </c>
      <c r="T6" s="7">
        <f t="shared" si="0"/>
        <v>48945</v>
      </c>
      <c r="U6" s="7">
        <f t="shared" si="0"/>
        <v>49310</v>
      </c>
      <c r="V6" s="7">
        <f t="shared" si="0"/>
        <v>49675</v>
      </c>
    </row>
    <row r="7" spans="2:22">
      <c r="B7" t="s">
        <v>31</v>
      </c>
      <c r="I7" s="8">
        <f>Calculation_FSL!I7</f>
        <v>45291</v>
      </c>
      <c r="J7" s="7">
        <f>EOMONTH(J6,12-1)</f>
        <v>45657</v>
      </c>
      <c r="K7" s="7">
        <f t="shared" ref="K7:V7" si="1">EOMONTH(K6,12-1)</f>
        <v>46022</v>
      </c>
      <c r="L7" s="7">
        <f t="shared" si="1"/>
        <v>46387</v>
      </c>
      <c r="M7" s="7">
        <f t="shared" si="1"/>
        <v>46752</v>
      </c>
      <c r="N7" s="7">
        <f t="shared" si="1"/>
        <v>47118</v>
      </c>
      <c r="O7" s="7">
        <f t="shared" si="1"/>
        <v>47483</v>
      </c>
      <c r="P7" s="7">
        <f t="shared" si="1"/>
        <v>47848</v>
      </c>
      <c r="Q7" s="7">
        <f t="shared" si="1"/>
        <v>48213</v>
      </c>
      <c r="R7" s="7">
        <f t="shared" si="1"/>
        <v>48579</v>
      </c>
      <c r="S7" s="7">
        <f t="shared" si="1"/>
        <v>48944</v>
      </c>
      <c r="T7" s="7">
        <f t="shared" si="1"/>
        <v>49309</v>
      </c>
      <c r="U7" s="7">
        <f t="shared" si="1"/>
        <v>49674</v>
      </c>
      <c r="V7" s="7">
        <f t="shared" si="1"/>
        <v>50040</v>
      </c>
    </row>
    <row r="8" spans="2:22">
      <c r="B8" t="s">
        <v>32</v>
      </c>
      <c r="J8" s="9">
        <f>YEAR(J7)</f>
        <v>2024</v>
      </c>
      <c r="K8" s="9">
        <f t="shared" ref="K8:V8" si="2">YEAR(K7)</f>
        <v>2025</v>
      </c>
      <c r="L8" s="9">
        <f t="shared" si="2"/>
        <v>2026</v>
      </c>
      <c r="M8" s="9">
        <f t="shared" si="2"/>
        <v>2027</v>
      </c>
      <c r="N8" s="9">
        <f t="shared" si="2"/>
        <v>2028</v>
      </c>
      <c r="O8" s="9">
        <f t="shared" si="2"/>
        <v>2029</v>
      </c>
      <c r="P8" s="9">
        <f t="shared" si="2"/>
        <v>2030</v>
      </c>
      <c r="Q8" s="9">
        <f t="shared" si="2"/>
        <v>2031</v>
      </c>
      <c r="R8" s="9">
        <f t="shared" si="2"/>
        <v>2032</v>
      </c>
      <c r="S8" s="9">
        <f t="shared" si="2"/>
        <v>2033</v>
      </c>
      <c r="T8" s="9">
        <f t="shared" si="2"/>
        <v>2034</v>
      </c>
      <c r="U8" s="9">
        <f t="shared" si="2"/>
        <v>2035</v>
      </c>
      <c r="V8" s="9">
        <f t="shared" si="2"/>
        <v>2036</v>
      </c>
    </row>
    <row r="9" spans="2:22">
      <c r="B9" t="s">
        <v>33</v>
      </c>
      <c r="J9" s="10">
        <f>J7-J6+1</f>
        <v>366</v>
      </c>
      <c r="K9" s="10">
        <f t="shared" ref="K9:V9" si="3">K7-K6+1</f>
        <v>365</v>
      </c>
      <c r="L9" s="10">
        <f t="shared" si="3"/>
        <v>365</v>
      </c>
      <c r="M9" s="10">
        <f t="shared" si="3"/>
        <v>365</v>
      </c>
      <c r="N9" s="10">
        <f t="shared" si="3"/>
        <v>366</v>
      </c>
      <c r="O9" s="10">
        <f t="shared" si="3"/>
        <v>365</v>
      </c>
      <c r="P9" s="10">
        <f t="shared" si="3"/>
        <v>365</v>
      </c>
      <c r="Q9" s="10">
        <f t="shared" si="3"/>
        <v>365</v>
      </c>
      <c r="R9" s="10">
        <f t="shared" si="3"/>
        <v>366</v>
      </c>
      <c r="S9" s="10">
        <f t="shared" si="3"/>
        <v>365</v>
      </c>
      <c r="T9" s="10">
        <f t="shared" si="3"/>
        <v>365</v>
      </c>
      <c r="U9" s="10">
        <f t="shared" si="3"/>
        <v>365</v>
      </c>
      <c r="V9" s="10">
        <f t="shared" si="3"/>
        <v>366</v>
      </c>
    </row>
    <row r="10" spans="2:22">
      <c r="E10" s="11" t="s">
        <v>34</v>
      </c>
      <c r="F10" s="11" t="s">
        <v>35</v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</row>
    <row r="11" spans="2:22">
      <c r="B11" s="407" t="s">
        <v>36</v>
      </c>
      <c r="E11" s="12">
        <f>Calculation_FSL!E11</f>
        <v>45291</v>
      </c>
      <c r="F11" s="12">
        <f>Calculation_FSL!F11</f>
        <v>45291</v>
      </c>
      <c r="J11" s="13">
        <f t="shared" ref="J11:V11" si="4">IF(J7=$F$11,1,0)</f>
        <v>0</v>
      </c>
      <c r="K11" s="13">
        <f t="shared" si="4"/>
        <v>0</v>
      </c>
      <c r="L11" s="13">
        <f t="shared" si="4"/>
        <v>0</v>
      </c>
      <c r="M11" s="13">
        <f t="shared" si="4"/>
        <v>0</v>
      </c>
      <c r="N11" s="13">
        <f t="shared" si="4"/>
        <v>0</v>
      </c>
      <c r="O11" s="13">
        <f t="shared" si="4"/>
        <v>0</v>
      </c>
      <c r="P11" s="13">
        <f t="shared" si="4"/>
        <v>0</v>
      </c>
      <c r="Q11" s="13">
        <f t="shared" si="4"/>
        <v>0</v>
      </c>
      <c r="R11" s="13">
        <f t="shared" si="4"/>
        <v>0</v>
      </c>
      <c r="S11" s="13">
        <f t="shared" si="4"/>
        <v>0</v>
      </c>
      <c r="T11" s="13">
        <f t="shared" si="4"/>
        <v>0</v>
      </c>
      <c r="U11" s="13">
        <f t="shared" si="4"/>
        <v>0</v>
      </c>
      <c r="V11" s="13">
        <f t="shared" si="4"/>
        <v>0</v>
      </c>
    </row>
    <row r="12" spans="2:22">
      <c r="B12" t="s">
        <v>37</v>
      </c>
      <c r="E12" s="12">
        <f>Calculation_FSL!E12</f>
        <v>45292</v>
      </c>
      <c r="F12" s="12">
        <f>Calculation_FSL!F12</f>
        <v>50040</v>
      </c>
      <c r="J12" s="13">
        <f>IF(J11=1,0,IF(J7&gt;$F$12,0,1))</f>
        <v>1</v>
      </c>
      <c r="K12" s="13">
        <f>IF(K11=1,0,IF(K7&gt;$F$12,0,1))</f>
        <v>1</v>
      </c>
      <c r="L12" s="13">
        <f t="shared" ref="L12:V12" si="5">IF(L11=1,0,IF(L7&gt;$F$12,0,1))</f>
        <v>1</v>
      </c>
      <c r="M12" s="13">
        <f t="shared" si="5"/>
        <v>1</v>
      </c>
      <c r="N12" s="13">
        <f t="shared" si="5"/>
        <v>1</v>
      </c>
      <c r="O12" s="13">
        <f t="shared" si="5"/>
        <v>1</v>
      </c>
      <c r="P12" s="13">
        <f t="shared" si="5"/>
        <v>1</v>
      </c>
      <c r="Q12" s="13">
        <f t="shared" si="5"/>
        <v>1</v>
      </c>
      <c r="R12" s="13">
        <f t="shared" si="5"/>
        <v>1</v>
      </c>
      <c r="S12" s="13">
        <f t="shared" si="5"/>
        <v>1</v>
      </c>
      <c r="T12" s="13">
        <f t="shared" si="5"/>
        <v>1</v>
      </c>
      <c r="U12" s="13">
        <f t="shared" si="5"/>
        <v>1</v>
      </c>
      <c r="V12" s="13">
        <f t="shared" si="5"/>
        <v>1</v>
      </c>
    </row>
    <row r="13" spans="2:22">
      <c r="F13" s="7"/>
    </row>
    <row r="14" spans="2:22">
      <c r="B14" t="s">
        <v>38</v>
      </c>
      <c r="J14">
        <f>SUM($J$12:J12)</f>
        <v>1</v>
      </c>
      <c r="K14">
        <f>SUM($J$12:K12)</f>
        <v>2</v>
      </c>
      <c r="L14">
        <f>SUM($J$12:L12)</f>
        <v>3</v>
      </c>
      <c r="M14">
        <f>SUM($J$12:M12)</f>
        <v>4</v>
      </c>
      <c r="N14">
        <f>SUM($J$12:N12)</f>
        <v>5</v>
      </c>
      <c r="O14">
        <f>SUM($J$12:O12)</f>
        <v>6</v>
      </c>
      <c r="P14">
        <f>SUM($J$12:P12)</f>
        <v>7</v>
      </c>
      <c r="Q14">
        <f>SUM($J$12:Q12)</f>
        <v>8</v>
      </c>
      <c r="R14">
        <f>SUM($J$12:R12)</f>
        <v>9</v>
      </c>
      <c r="S14">
        <f>SUM($J$12:S12)</f>
        <v>10</v>
      </c>
      <c r="T14">
        <f>SUM($J$12:T12)</f>
        <v>11</v>
      </c>
      <c r="U14">
        <f>SUM($J$12:U12)</f>
        <v>12</v>
      </c>
      <c r="V14">
        <f>SUM($J$12:V12)</f>
        <v>13</v>
      </c>
    </row>
    <row r="18" spans="2:22" ht="24" thickBot="1">
      <c r="B18" s="14" t="s">
        <v>1016</v>
      </c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</row>
    <row r="19" spans="2:22">
      <c r="B19" s="2" t="s">
        <v>29</v>
      </c>
      <c r="F19" s="6">
        <f>Output_FSL!F28</f>
        <v>1</v>
      </c>
    </row>
    <row r="20" spans="2:22">
      <c r="B20" s="407" t="s">
        <v>623</v>
      </c>
      <c r="I20" s="48">
        <f>SUM(J20:V20)</f>
        <v>155.18686757293588</v>
      </c>
      <c r="J20" s="458">
        <f>'Output_Standalone (IDR)'!J20/USD_IDR*Thousands</f>
        <v>9.6181066224752527</v>
      </c>
      <c r="K20" s="23">
        <f>'Output_Standalone (IDR)'!K20/USD_IDR*Thousands</f>
        <v>9.9066498211495109</v>
      </c>
      <c r="L20" s="23">
        <f>'Output_Standalone (IDR)'!L20/USD_IDR*Thousands</f>
        <v>10.203849315783996</v>
      </c>
      <c r="M20" s="23">
        <f>'Output_Standalone (IDR)'!M20/USD_IDR*Thousands</f>
        <v>10.509964795257517</v>
      </c>
      <c r="N20" s="23">
        <f>'Output_Standalone (IDR)'!N20/USD_IDR*Thousands</f>
        <v>10.825263739115243</v>
      </c>
      <c r="O20" s="23">
        <f>'Output_Standalone (IDR)'!O20/USD_IDR*Thousands</f>
        <v>11.484522300827361</v>
      </c>
      <c r="P20" s="23">
        <f>'Output_Standalone (IDR)'!P20/USD_IDR*Thousands</f>
        <v>11.829057969852185</v>
      </c>
      <c r="Q20" s="23">
        <f>'Output_Standalone (IDR)'!Q20/USD_IDR*Thousands</f>
        <v>12.183929708947749</v>
      </c>
      <c r="R20" s="23">
        <f>'Output_Standalone (IDR)'!R20/USD_IDR*Thousands</f>
        <v>12.925931028222665</v>
      </c>
      <c r="S20" s="23">
        <f>'Output_Standalone (IDR)'!S20/USD_IDR*Thousands</f>
        <v>13.313708959069347</v>
      </c>
      <c r="T20" s="23">
        <f>'Output_Standalone (IDR)'!T20/USD_IDR*Thousands</f>
        <v>13.713120227841426</v>
      </c>
      <c r="U20" s="23">
        <f>'Output_Standalone (IDR)'!U20/USD_IDR*Thousands</f>
        <v>14.124513834676671</v>
      </c>
      <c r="V20" s="23">
        <f>'Output_Standalone (IDR)'!V20/USD_IDR*Thousands</f>
        <v>14.548249249716969</v>
      </c>
    </row>
    <row r="21" spans="2:22">
      <c r="B21" s="407" t="s">
        <v>473</v>
      </c>
      <c r="H21" s="21">
        <f>J21/J20</f>
        <v>-0.19134550942001666</v>
      </c>
      <c r="I21" s="48">
        <f>SUM(J21:V21)</f>
        <v>-31.996320373849695</v>
      </c>
      <c r="J21" s="23">
        <f>'Output_Standalone (IDR)'!J21/USD_IDR*Thousands</f>
        <v>-1.8403815113335631</v>
      </c>
      <c r="K21" s="23">
        <f>'Output_Standalone (IDR)'!K21/USD_IDR*Thousands</f>
        <v>-1.9251301633224198</v>
      </c>
      <c r="L21" s="23">
        <f>'Output_Standalone (IDR)'!L21/USD_IDR*Thousands</f>
        <v>-2.0155286104799139</v>
      </c>
      <c r="M21" s="23">
        <f>'Output_Standalone (IDR)'!M21/USD_IDR*Thousands</f>
        <v>-2.1091943236497137</v>
      </c>
      <c r="N21" s="23">
        <f>'Output_Standalone (IDR)'!N21/USD_IDR*Thousands</f>
        <v>-2.2076874313142736</v>
      </c>
      <c r="O21" s="23">
        <f>'Output_Standalone (IDR)'!O21/USD_IDR*Thousands</f>
        <v>-2.31258241370579</v>
      </c>
      <c r="P21" s="23">
        <f>'Output_Standalone (IDR)'!P21/USD_IDR*Thousands</f>
        <v>-2.4215398451618984</v>
      </c>
      <c r="Q21" s="23">
        <f>'Output_Standalone (IDR)'!Q21/USD_IDR*Thousands</f>
        <v>-2.5361655064148056</v>
      </c>
      <c r="R21" s="23">
        <f>'Output_Standalone (IDR)'!R21/USD_IDR*Thousands</f>
        <v>-2.65808223245417</v>
      </c>
      <c r="S21" s="23">
        <f>'Output_Standalone (IDR)'!S21/USD_IDR*Thousands</f>
        <v>-2.7850018180261955</v>
      </c>
      <c r="T21" s="23">
        <f>'Output_Standalone (IDR)'!T21/USD_IDR*Thousands</f>
        <v>-2.9185843030358192</v>
      </c>
      <c r="U21" s="23">
        <f>'Output_Standalone (IDR)'!U21/USD_IDR*Thousands</f>
        <v>-3.0592003020236418</v>
      </c>
      <c r="V21" s="23">
        <f>'Output_Standalone (IDR)'!V21/USD_IDR*Thousands</f>
        <v>-3.2072419129274929</v>
      </c>
    </row>
    <row r="22" spans="2:22">
      <c r="B22" s="28" t="s">
        <v>1017</v>
      </c>
      <c r="C22" s="28"/>
      <c r="D22" s="28"/>
      <c r="E22" s="28"/>
      <c r="F22" s="28"/>
      <c r="G22" s="28"/>
      <c r="H22" s="28"/>
      <c r="I22" s="49">
        <f>SUM(J22:V22)</f>
        <v>123.1905471990862</v>
      </c>
      <c r="J22" s="47">
        <f>SUM(J20:J21)</f>
        <v>7.7777251111416899</v>
      </c>
      <c r="K22" s="47">
        <f t="shared" ref="K22:V22" si="6">SUM(K20:K21)</f>
        <v>7.9815196578270911</v>
      </c>
      <c r="L22" s="47">
        <f t="shared" si="6"/>
        <v>8.1883207053040827</v>
      </c>
      <c r="M22" s="47">
        <f t="shared" si="6"/>
        <v>8.4007704716078031</v>
      </c>
      <c r="N22" s="47">
        <f t="shared" si="6"/>
        <v>8.6175763078009702</v>
      </c>
      <c r="O22" s="47">
        <f t="shared" si="6"/>
        <v>9.1719398871215709</v>
      </c>
      <c r="P22" s="47">
        <f t="shared" si="6"/>
        <v>9.4075181246902861</v>
      </c>
      <c r="Q22" s="47">
        <f t="shared" si="6"/>
        <v>9.6477642025329438</v>
      </c>
      <c r="R22" s="47">
        <f t="shared" si="6"/>
        <v>10.267848795768495</v>
      </c>
      <c r="S22" s="47">
        <f t="shared" si="6"/>
        <v>10.528707141043151</v>
      </c>
      <c r="T22" s="47">
        <f t="shared" si="6"/>
        <v>10.794535924805606</v>
      </c>
      <c r="U22" s="47">
        <f t="shared" si="6"/>
        <v>11.065313532653029</v>
      </c>
      <c r="V22" s="47">
        <f t="shared" si="6"/>
        <v>11.341007336789476</v>
      </c>
    </row>
    <row r="24" spans="2:22">
      <c r="B24" t="s">
        <v>852</v>
      </c>
      <c r="H24" s="21">
        <f>J24/J20</f>
        <v>-8.9453018963742789E-2</v>
      </c>
      <c r="I24" s="48">
        <f>SUM(J24:V24)</f>
        <v>-13.361370670221902</v>
      </c>
      <c r="J24" s="23">
        <f>'Output_Standalone (IDR)'!J24/USD_IDR*Thousands</f>
        <v>-0.86036867409557893</v>
      </c>
      <c r="K24" s="23">
        <f>'Output_Standalone (IDR)'!K24/USD_IDR*Thousands</f>
        <v>-0.8853723710507494</v>
      </c>
      <c r="L24" s="23">
        <f>'Output_Standalone (IDR)'!L24/USD_IDR*Thousands</f>
        <v>-0.91111003164922144</v>
      </c>
      <c r="M24" s="23">
        <f>'Output_Standalone (IDR)'!M24/USD_IDR*Thousands</f>
        <v>-0.93760335185498656</v>
      </c>
      <c r="N24" s="23">
        <f>'Output_Standalone (IDR)'!N24/USD_IDR*Thousands</f>
        <v>-0.96487467205205024</v>
      </c>
      <c r="O24" s="23">
        <f>'Output_Standalone (IDR)'!O24/USD_IDR*Thousands</f>
        <v>-0.99294699624785432</v>
      </c>
      <c r="P24" s="23">
        <f>'Output_Standalone (IDR)'!P24/USD_IDR*Thousands</f>
        <v>-1.021844011850217</v>
      </c>
      <c r="Q24" s="23">
        <f>'Output_Standalone (IDR)'!Q24/USD_IDR*Thousands</f>
        <v>-1.0515901100349492</v>
      </c>
      <c r="R24" s="23">
        <f>'Output_Standalone (IDR)'!R24/USD_IDR*Thousands</f>
        <v>-1.0822104067218081</v>
      </c>
      <c r="S24" s="23">
        <f>'Output_Standalone (IDR)'!S24/USD_IDR*Thousands</f>
        <v>-1.1137307641769891</v>
      </c>
      <c r="T24" s="23">
        <f>'Output_Standalone (IDR)'!T24/USD_IDR*Thousands</f>
        <v>-1.1461778132608957</v>
      </c>
      <c r="U24" s="23">
        <f>'Output_Standalone (IDR)'!U24/USD_IDR*Thousands</f>
        <v>-1.1795789763404914</v>
      </c>
      <c r="V24" s="23">
        <f>'Output_Standalone (IDR)'!V24/USD_IDR*Thousands</f>
        <v>-1.2139624908861113</v>
      </c>
    </row>
    <row r="25" spans="2:22">
      <c r="B25" s="28" t="s">
        <v>139</v>
      </c>
      <c r="C25" s="28"/>
      <c r="D25" s="28"/>
      <c r="E25" s="28"/>
      <c r="F25" s="28"/>
      <c r="G25" s="28"/>
      <c r="H25" s="28"/>
      <c r="I25" s="49">
        <f>SUM(J25:V25)</f>
        <v>109.82917652886431</v>
      </c>
      <c r="J25" s="47">
        <f>SUM(J22,J24)</f>
        <v>6.9173564370461111</v>
      </c>
      <c r="K25" s="47">
        <f t="shared" ref="K25:V25" si="7">SUM(K22,K24)</f>
        <v>7.0961472867763415</v>
      </c>
      <c r="L25" s="47">
        <f t="shared" si="7"/>
        <v>7.277210673654861</v>
      </c>
      <c r="M25" s="47">
        <f t="shared" si="7"/>
        <v>7.4631671197528169</v>
      </c>
      <c r="N25" s="47">
        <f t="shared" si="7"/>
        <v>7.6527016357489197</v>
      </c>
      <c r="O25" s="47">
        <f t="shared" si="7"/>
        <v>8.1789928908737171</v>
      </c>
      <c r="P25" s="47">
        <f t="shared" si="7"/>
        <v>8.3856741128400696</v>
      </c>
      <c r="Q25" s="47">
        <f t="shared" si="7"/>
        <v>8.5961740924979946</v>
      </c>
      <c r="R25" s="47">
        <f t="shared" si="7"/>
        <v>9.1856383890466873</v>
      </c>
      <c r="S25" s="47">
        <f t="shared" si="7"/>
        <v>9.4149763768661625</v>
      </c>
      <c r="T25" s="47">
        <f t="shared" si="7"/>
        <v>9.6483581115447095</v>
      </c>
      <c r="U25" s="47">
        <f t="shared" si="7"/>
        <v>9.8857345563125385</v>
      </c>
      <c r="V25" s="47">
        <f t="shared" si="7"/>
        <v>10.127044845903365</v>
      </c>
    </row>
    <row r="27" spans="2:22">
      <c r="B27" t="s">
        <v>1018</v>
      </c>
      <c r="H27" s="21">
        <f>J27/J20</f>
        <v>-0.26681910815679749</v>
      </c>
      <c r="I27" s="49">
        <f>SUM(J27:V27)</f>
        <v>-34.865667748898616</v>
      </c>
      <c r="J27" s="23">
        <f>'Output_Standalone (IDR)'!J27/USD_IDR*Thousands</f>
        <v>-2.5662946311658348</v>
      </c>
      <c r="K27" s="23">
        <f>'Output_Standalone (IDR)'!K27/USD_IDR*Thousands</f>
        <v>-2.5666311900265657</v>
      </c>
      <c r="L27" s="23">
        <f>'Output_Standalone (IDR)'!L27/USD_IDR*Thousands</f>
        <v>-2.6284561892560281</v>
      </c>
      <c r="M27" s="23">
        <f>'Output_Standalone (IDR)'!M27/USD_IDR*Thousands</f>
        <v>-2.6288063450947332</v>
      </c>
      <c r="N27" s="23">
        <f>'Output_Standalone (IDR)'!N27/USD_IDR*Thousands</f>
        <v>-2.6291635040502124</v>
      </c>
      <c r="O27" s="23">
        <f>'Output_Standalone (IDR)'!O27/USD_IDR*Thousands</f>
        <v>-2.6910095153763169</v>
      </c>
      <c r="P27" s="23">
        <f>'Output_Standalone (IDR)'!P27/USD_IDR*Thousands</f>
        <v>-2.6913811035535975</v>
      </c>
      <c r="Q27" s="23">
        <f>'Output_Standalone (IDR)'!Q27/USD_IDR*Thousands</f>
        <v>-2.6917601234944235</v>
      </c>
      <c r="R27" s="23">
        <f>'Output_Standalone (IDR)'!R27/USD_IDR*Thousands</f>
        <v>-2.753628433025582</v>
      </c>
      <c r="S27" s="23">
        <f>'Output_Standalone (IDR)'!S27/USD_IDR*Thousands</f>
        <v>-2.7540227653720177</v>
      </c>
      <c r="T27" s="23">
        <f>'Output_Standalone (IDR)'!T27/USD_IDR*Thousands</f>
        <v>-2.7544249843653823</v>
      </c>
      <c r="U27" s="23">
        <f>'Output_Standalone (IDR)'!U27/USD_IDR*Thousands</f>
        <v>-2.7548352477386135</v>
      </c>
      <c r="V27" s="23">
        <f>'Output_Standalone (IDR)'!V27/USD_IDR*Thousands</f>
        <v>-2.7552537163793103</v>
      </c>
    </row>
    <row r="28" spans="2:22">
      <c r="B28" s="28" t="s">
        <v>434</v>
      </c>
      <c r="C28" s="28"/>
      <c r="D28" s="28"/>
      <c r="E28" s="28"/>
      <c r="F28" s="28"/>
      <c r="G28" s="28"/>
      <c r="H28" s="28"/>
      <c r="I28" s="49">
        <f>SUM(J28:V28)</f>
        <v>74.963508779965679</v>
      </c>
      <c r="J28" s="47">
        <f>SUM(J25,J27)</f>
        <v>4.3510618058802759</v>
      </c>
      <c r="K28" s="47">
        <f t="shared" ref="K28:V28" si="8">SUM(K25,K27)</f>
        <v>4.5295160967497754</v>
      </c>
      <c r="L28" s="47">
        <f t="shared" si="8"/>
        <v>4.6487544843988324</v>
      </c>
      <c r="M28" s="47">
        <f t="shared" si="8"/>
        <v>4.8343607746580837</v>
      </c>
      <c r="N28" s="47">
        <f t="shared" si="8"/>
        <v>5.0235381316987073</v>
      </c>
      <c r="O28" s="47">
        <f t="shared" si="8"/>
        <v>5.4879833754974001</v>
      </c>
      <c r="P28" s="47">
        <f t="shared" si="8"/>
        <v>5.6942930092864721</v>
      </c>
      <c r="Q28" s="47">
        <f t="shared" si="8"/>
        <v>5.9044139690035706</v>
      </c>
      <c r="R28" s="47">
        <f t="shared" si="8"/>
        <v>6.4320099560211048</v>
      </c>
      <c r="S28" s="47">
        <f t="shared" si="8"/>
        <v>6.6609536114941452</v>
      </c>
      <c r="T28" s="47">
        <f t="shared" si="8"/>
        <v>6.8939331271793272</v>
      </c>
      <c r="U28" s="47">
        <f t="shared" si="8"/>
        <v>7.130899308573925</v>
      </c>
      <c r="V28" s="47">
        <f t="shared" si="8"/>
        <v>7.3717911295240546</v>
      </c>
    </row>
    <row r="29" spans="2:22"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</row>
    <row r="30" spans="2:22">
      <c r="B30" t="s">
        <v>881</v>
      </c>
      <c r="I30" s="48">
        <f>SUM(J30:V30)</f>
        <v>0</v>
      </c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</row>
    <row r="31" spans="2:22">
      <c r="B31" s="28" t="s">
        <v>1019</v>
      </c>
      <c r="C31" s="28"/>
      <c r="D31" s="28"/>
      <c r="E31" s="28"/>
      <c r="F31" s="28"/>
      <c r="G31" s="28"/>
      <c r="H31" s="28"/>
      <c r="I31" s="48">
        <f>SUM(J31:V31)</f>
        <v>74.963508779965679</v>
      </c>
      <c r="J31" s="47">
        <f>SUM(J28,J30)</f>
        <v>4.3510618058802759</v>
      </c>
      <c r="K31" s="47">
        <f t="shared" ref="K31:V31" si="9">SUM(K28,K30)</f>
        <v>4.5295160967497754</v>
      </c>
      <c r="L31" s="47">
        <f t="shared" si="9"/>
        <v>4.6487544843988324</v>
      </c>
      <c r="M31" s="47">
        <f t="shared" si="9"/>
        <v>4.8343607746580837</v>
      </c>
      <c r="N31" s="47">
        <f t="shared" si="9"/>
        <v>5.0235381316987073</v>
      </c>
      <c r="O31" s="47">
        <f t="shared" si="9"/>
        <v>5.4879833754974001</v>
      </c>
      <c r="P31" s="47">
        <f t="shared" si="9"/>
        <v>5.6942930092864721</v>
      </c>
      <c r="Q31" s="47">
        <f t="shared" si="9"/>
        <v>5.9044139690035706</v>
      </c>
      <c r="R31" s="47">
        <f t="shared" si="9"/>
        <v>6.4320099560211048</v>
      </c>
      <c r="S31" s="47">
        <f t="shared" si="9"/>
        <v>6.6609536114941452</v>
      </c>
      <c r="T31" s="47">
        <f t="shared" si="9"/>
        <v>6.8939331271793272</v>
      </c>
      <c r="U31" s="47">
        <f t="shared" si="9"/>
        <v>7.130899308573925</v>
      </c>
      <c r="V31" s="47">
        <f t="shared" si="9"/>
        <v>7.3717911295240546</v>
      </c>
    </row>
    <row r="32" spans="2:22"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</row>
    <row r="33" spans="1:22">
      <c r="B33" t="s">
        <v>759</v>
      </c>
      <c r="I33" s="48">
        <f>SUM(J33:V33)</f>
        <v>-16.491971931592449</v>
      </c>
      <c r="J33" s="23">
        <f>-IF(J31&lt;0,0,J31*22%)</f>
        <v>-0.95723359729366075</v>
      </c>
      <c r="K33" s="23">
        <f t="shared" ref="K33:V33" si="10">-IF(K31&lt;0,0,K31*22%)</f>
        <v>-0.9964935412849506</v>
      </c>
      <c r="L33" s="23">
        <f t="shared" si="10"/>
        <v>-1.0227259865677432</v>
      </c>
      <c r="M33" s="23">
        <f t="shared" si="10"/>
        <v>-1.0635593704247783</v>
      </c>
      <c r="N33" s="23">
        <f t="shared" si="10"/>
        <v>-1.1051783889737157</v>
      </c>
      <c r="O33" s="23">
        <f t="shared" si="10"/>
        <v>-1.207356342609428</v>
      </c>
      <c r="P33" s="23">
        <f t="shared" si="10"/>
        <v>-1.2527444620430239</v>
      </c>
      <c r="Q33" s="23">
        <f t="shared" si="10"/>
        <v>-1.2989710731807855</v>
      </c>
      <c r="R33" s="23">
        <f t="shared" si="10"/>
        <v>-1.4150421903246431</v>
      </c>
      <c r="S33" s="23">
        <f t="shared" si="10"/>
        <v>-1.4654097945287119</v>
      </c>
      <c r="T33" s="23">
        <f t="shared" si="10"/>
        <v>-1.516665287979452</v>
      </c>
      <c r="U33" s="23">
        <f t="shared" si="10"/>
        <v>-1.5687978478862634</v>
      </c>
      <c r="V33" s="23">
        <f t="shared" si="10"/>
        <v>-1.621794048495292</v>
      </c>
    </row>
    <row r="34" spans="1:22">
      <c r="B34" s="28" t="s">
        <v>1020</v>
      </c>
      <c r="C34" s="28"/>
      <c r="D34" s="28"/>
      <c r="E34" s="28"/>
      <c r="F34" s="28"/>
      <c r="G34" s="28"/>
      <c r="H34" s="28"/>
      <c r="I34" s="48">
        <f>SUM(J34:V34)</f>
        <v>58.471536848373233</v>
      </c>
      <c r="J34" s="47">
        <f>SUM(J31,J33)</f>
        <v>3.3938282085866152</v>
      </c>
      <c r="K34" s="47">
        <f t="shared" ref="K34:V34" si="11">SUM(K31,K33)</f>
        <v>3.5330225554648247</v>
      </c>
      <c r="L34" s="47">
        <f t="shared" si="11"/>
        <v>3.626028497831089</v>
      </c>
      <c r="M34" s="47">
        <f t="shared" si="11"/>
        <v>3.7708014042333051</v>
      </c>
      <c r="N34" s="47">
        <f t="shared" si="11"/>
        <v>3.9183597427249914</v>
      </c>
      <c r="O34" s="47">
        <f t="shared" si="11"/>
        <v>4.2806270328879723</v>
      </c>
      <c r="P34" s="47">
        <f t="shared" si="11"/>
        <v>4.4415485472434479</v>
      </c>
      <c r="Q34" s="47">
        <f t="shared" si="11"/>
        <v>4.6054428958227849</v>
      </c>
      <c r="R34" s="47">
        <f t="shared" si="11"/>
        <v>5.016967765696462</v>
      </c>
      <c r="S34" s="47">
        <f t="shared" si="11"/>
        <v>5.1955438169654329</v>
      </c>
      <c r="T34" s="47">
        <f t="shared" si="11"/>
        <v>5.3772678391998756</v>
      </c>
      <c r="U34" s="47">
        <f t="shared" si="11"/>
        <v>5.5621014606876615</v>
      </c>
      <c r="V34" s="47">
        <f t="shared" si="11"/>
        <v>5.7499970810287628</v>
      </c>
    </row>
    <row r="36" spans="1:22">
      <c r="B36" s="407" t="s">
        <v>32</v>
      </c>
      <c r="C36" s="407"/>
      <c r="D36" s="407"/>
      <c r="E36" s="407"/>
      <c r="F36" s="407"/>
      <c r="G36" s="407"/>
      <c r="H36" s="407"/>
      <c r="I36" s="407"/>
      <c r="J36" s="9">
        <f>J8</f>
        <v>2024</v>
      </c>
      <c r="K36" s="9">
        <f t="shared" ref="K36:T36" si="12">K8</f>
        <v>2025</v>
      </c>
      <c r="L36" s="9">
        <f t="shared" si="12"/>
        <v>2026</v>
      </c>
      <c r="M36" s="9">
        <f t="shared" si="12"/>
        <v>2027</v>
      </c>
      <c r="N36" s="9">
        <f t="shared" si="12"/>
        <v>2028</v>
      </c>
      <c r="O36" s="9">
        <f t="shared" si="12"/>
        <v>2029</v>
      </c>
      <c r="P36" s="9">
        <f t="shared" si="12"/>
        <v>2030</v>
      </c>
      <c r="Q36" s="9">
        <f t="shared" si="12"/>
        <v>2031</v>
      </c>
      <c r="R36" s="9">
        <f t="shared" si="12"/>
        <v>2032</v>
      </c>
      <c r="S36" s="9">
        <f t="shared" si="12"/>
        <v>2033</v>
      </c>
      <c r="T36" s="9">
        <f t="shared" si="12"/>
        <v>2034</v>
      </c>
      <c r="U36" s="9">
        <f>U8</f>
        <v>2035</v>
      </c>
      <c r="V36" s="9">
        <f>V8</f>
        <v>2036</v>
      </c>
    </row>
    <row r="37" spans="1:22">
      <c r="B37" s="55" t="s">
        <v>1021</v>
      </c>
      <c r="C37" s="51"/>
      <c r="D37" s="51"/>
      <c r="E37" s="51"/>
      <c r="F37" s="51"/>
      <c r="G37" s="51"/>
      <c r="H37" s="51"/>
      <c r="I37" s="259">
        <f>100%-J37</f>
        <v>0.1913455094200166</v>
      </c>
      <c r="J37" s="56">
        <f>IFERROR(J22/J20,0)</f>
        <v>0.8086544905799834</v>
      </c>
      <c r="K37" s="56">
        <f t="shared" ref="K37:T37" si="13">IFERROR(K22/K20,0)</f>
        <v>0.80567293705966092</v>
      </c>
      <c r="L37" s="56">
        <f t="shared" si="13"/>
        <v>0.80247369908117328</v>
      </c>
      <c r="M37" s="56">
        <f t="shared" si="13"/>
        <v>0.7993148060209051</v>
      </c>
      <c r="N37" s="56">
        <f t="shared" si="13"/>
        <v>0.79606155706514836</v>
      </c>
      <c r="O37" s="56">
        <f t="shared" si="13"/>
        <v>0.7986348623713162</v>
      </c>
      <c r="P37" s="56">
        <f t="shared" si="13"/>
        <v>0.79528886819783184</v>
      </c>
      <c r="Q37" s="56">
        <f t="shared" si="13"/>
        <v>0.79184338985866998</v>
      </c>
      <c r="R37" s="56">
        <f t="shared" si="13"/>
        <v>0.79436048152736738</v>
      </c>
      <c r="S37" s="56">
        <f t="shared" si="13"/>
        <v>0.79081698221072783</v>
      </c>
      <c r="T37" s="56">
        <f t="shared" si="13"/>
        <v>0.78716847409313262</v>
      </c>
      <c r="U37" s="56">
        <f>IFERROR(U22/U20,0)</f>
        <v>0.78341199294852248</v>
      </c>
      <c r="V37" s="56">
        <f>IFERROR(V22/V20,0)</f>
        <v>0.77954447591074305</v>
      </c>
    </row>
    <row r="38" spans="1:22">
      <c r="B38" s="55" t="s">
        <v>1022</v>
      </c>
      <c r="C38" s="51"/>
      <c r="D38" s="51"/>
      <c r="E38" s="51"/>
      <c r="F38" s="51"/>
      <c r="G38" s="51"/>
      <c r="H38" s="51"/>
      <c r="I38" s="259">
        <f>J$37-J38</f>
        <v>8.9453018963742803E-2</v>
      </c>
      <c r="J38" s="56">
        <f>IFERROR(J25/J20,0)</f>
        <v>0.7192014716162406</v>
      </c>
      <c r="K38" s="56">
        <f t="shared" ref="K38:V38" si="14">IFERROR(K25/K20,0)</f>
        <v>0.71630141519960833</v>
      </c>
      <c r="L38" s="56">
        <f t="shared" si="14"/>
        <v>0.71318288309079447</v>
      </c>
      <c r="M38" s="56">
        <f t="shared" si="14"/>
        <v>0.71010391234806736</v>
      </c>
      <c r="N38" s="56">
        <f t="shared" si="14"/>
        <v>0.70692980976502107</v>
      </c>
      <c r="O38" s="56">
        <f t="shared" si="14"/>
        <v>0.71217528048898393</v>
      </c>
      <c r="P38" s="56">
        <f t="shared" si="14"/>
        <v>0.70890464263612496</v>
      </c>
      <c r="Q38" s="56">
        <f t="shared" si="14"/>
        <v>0.70553378900282515</v>
      </c>
      <c r="R38" s="56">
        <f t="shared" si="14"/>
        <v>0.71063650030242553</v>
      </c>
      <c r="S38" s="56">
        <f t="shared" si="14"/>
        <v>0.70716405216689426</v>
      </c>
      <c r="T38" s="56">
        <f t="shared" si="14"/>
        <v>0.70358590541311483</v>
      </c>
      <c r="U38" s="56">
        <f t="shared" si="14"/>
        <v>0.69989910251228382</v>
      </c>
      <c r="V38" s="56">
        <f t="shared" si="14"/>
        <v>0.69610058723047952</v>
      </c>
    </row>
    <row r="39" spans="1:22">
      <c r="B39" s="55" t="s">
        <v>1023</v>
      </c>
      <c r="C39" s="51"/>
      <c r="D39" s="51"/>
      <c r="E39" s="51"/>
      <c r="F39" s="51"/>
      <c r="G39" s="51"/>
      <c r="H39" s="51"/>
      <c r="I39" s="259"/>
      <c r="J39" s="56">
        <f>J28/J20</f>
        <v>0.45238236345944305</v>
      </c>
      <c r="K39" s="56">
        <f t="shared" ref="K39:V39" si="15">K28/K20</f>
        <v>0.45721976435260697</v>
      </c>
      <c r="L39" s="56">
        <f t="shared" si="15"/>
        <v>0.45558831187440491</v>
      </c>
      <c r="M39" s="56">
        <f t="shared" si="15"/>
        <v>0.45997877907636048</v>
      </c>
      <c r="N39" s="56">
        <f t="shared" si="15"/>
        <v>0.4640568814547224</v>
      </c>
      <c r="O39" s="56">
        <f t="shared" si="15"/>
        <v>0.47785908997730259</v>
      </c>
      <c r="P39" s="56">
        <f t="shared" si="15"/>
        <v>0.48138178237008228</v>
      </c>
      <c r="Q39" s="56">
        <f t="shared" si="15"/>
        <v>0.48460669997689099</v>
      </c>
      <c r="R39" s="56">
        <f t="shared" si="15"/>
        <v>0.49760515834235547</v>
      </c>
      <c r="S39" s="56">
        <f t="shared" si="15"/>
        <v>0.5003078880552424</v>
      </c>
      <c r="T39" s="56">
        <f t="shared" si="15"/>
        <v>0.50272534715933848</v>
      </c>
      <c r="U39" s="56">
        <f t="shared" si="15"/>
        <v>0.50485980558616239</v>
      </c>
      <c r="V39" s="56">
        <f t="shared" si="15"/>
        <v>0.50671328233309376</v>
      </c>
    </row>
    <row r="40" spans="1:22">
      <c r="B40" s="55" t="s">
        <v>990</v>
      </c>
      <c r="C40" s="51"/>
      <c r="D40" s="51"/>
      <c r="E40" s="51"/>
      <c r="F40" s="51"/>
      <c r="G40" s="51"/>
      <c r="H40" s="51"/>
      <c r="I40" s="259">
        <f>J$37-J40</f>
        <v>0.45579624708161781</v>
      </c>
      <c r="J40" s="52">
        <f>IFERROR(J34/J20,0)</f>
        <v>0.35285824349836559</v>
      </c>
      <c r="K40" s="52">
        <f t="shared" ref="K40:V40" si="16">IFERROR(K34/K20,0)</f>
        <v>0.35663141619503341</v>
      </c>
      <c r="L40" s="52">
        <f t="shared" si="16"/>
        <v>0.3553588832620358</v>
      </c>
      <c r="M40" s="52">
        <f t="shared" si="16"/>
        <v>0.35878344767956116</v>
      </c>
      <c r="N40" s="52">
        <f t="shared" si="16"/>
        <v>0.36196436753468342</v>
      </c>
      <c r="O40" s="52">
        <f t="shared" si="16"/>
        <v>0.37273009018229603</v>
      </c>
      <c r="P40" s="52">
        <f t="shared" si="16"/>
        <v>0.37547779024866418</v>
      </c>
      <c r="Q40" s="52">
        <f t="shared" si="16"/>
        <v>0.37799322598197493</v>
      </c>
      <c r="R40" s="52">
        <f t="shared" si="16"/>
        <v>0.38813202350703729</v>
      </c>
      <c r="S40" s="52">
        <f t="shared" si="16"/>
        <v>0.39024015268308909</v>
      </c>
      <c r="T40" s="52">
        <f t="shared" si="16"/>
        <v>0.39212577078428401</v>
      </c>
      <c r="U40" s="52">
        <f t="shared" si="16"/>
        <v>0.39379064835720667</v>
      </c>
      <c r="V40" s="52">
        <f t="shared" si="16"/>
        <v>0.39523636021981318</v>
      </c>
    </row>
    <row r="42" spans="1:22" ht="24" thickBot="1">
      <c r="A42" s="260"/>
      <c r="B42" s="14" t="s">
        <v>1024</v>
      </c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</row>
    <row r="43" spans="1:22">
      <c r="A43" s="260"/>
      <c r="B43" s="2" t="s">
        <v>29</v>
      </c>
      <c r="F43" s="6">
        <f>Output_FSL!F30</f>
        <v>1</v>
      </c>
    </row>
    <row r="44" spans="1:22">
      <c r="A44" s="260"/>
      <c r="B44" s="407" t="s">
        <v>623</v>
      </c>
      <c r="I44" s="48">
        <f>SUM(J44:V44)</f>
        <v>35.034933789117737</v>
      </c>
      <c r="J44" s="23">
        <f>'Output_Standalone (IDR)'!J68/USD_IDR*Thousands</f>
        <v>0</v>
      </c>
      <c r="K44" s="23">
        <f>'Output_Standalone (IDR)'!K68/USD_IDR*Thousands</f>
        <v>0</v>
      </c>
      <c r="L44" s="23">
        <f>'Output_Standalone (IDR)'!L68/USD_IDR*Thousands</f>
        <v>2.9572702121118968</v>
      </c>
      <c r="M44" s="23">
        <f>'Output_Standalone (IDR)'!M68/USD_IDR*Thousands</f>
        <v>2.9572702121118968</v>
      </c>
      <c r="N44" s="23">
        <f>'Output_Standalone (IDR)'!N68/USD_IDR*Thousands</f>
        <v>2.9572702121118968</v>
      </c>
      <c r="O44" s="23">
        <f>'Output_Standalone (IDR)'!O68/USD_IDR*Thousands</f>
        <v>3.1612419305256685</v>
      </c>
      <c r="P44" s="23">
        <f>'Output_Standalone (IDR)'!P68/USD_IDR*Thousands</f>
        <v>3.1612419305256685</v>
      </c>
      <c r="Q44" s="23">
        <f>'Output_Standalone (IDR)'!Q68/USD_IDR*Thousands</f>
        <v>3.1612419305256685</v>
      </c>
      <c r="R44" s="23">
        <f>'Output_Standalone (IDR)'!R68/USD_IDR*Thousands</f>
        <v>3.1612419305256685</v>
      </c>
      <c r="S44" s="23">
        <f>'Output_Standalone (IDR)'!S68/USD_IDR*Thousands</f>
        <v>3.3795388576698433</v>
      </c>
      <c r="T44" s="23">
        <f>'Output_Standalone (IDR)'!T68/USD_IDR*Thousands</f>
        <v>3.3795388576698433</v>
      </c>
      <c r="U44" s="23">
        <f>'Output_Standalone (IDR)'!U68/USD_IDR*Thousands</f>
        <v>3.3795388576698433</v>
      </c>
      <c r="V44" s="23">
        <f>'Output_Standalone (IDR)'!V68/USD_IDR*Thousands</f>
        <v>3.3795388576698433</v>
      </c>
    </row>
    <row r="45" spans="1:22">
      <c r="A45" s="260"/>
      <c r="B45" s="407" t="s">
        <v>473</v>
      </c>
      <c r="H45" s="21" t="e">
        <f>K45/K44</f>
        <v>#DIV/0!</v>
      </c>
      <c r="I45" s="48">
        <f>SUM(J45:V45)</f>
        <v>0</v>
      </c>
      <c r="J45" s="23">
        <f>'Output_Standalone (IDR)'!J69/USD_IDR*Thousands</f>
        <v>0</v>
      </c>
      <c r="K45" s="23">
        <f>'Output_Standalone (IDR)'!K69/USD_IDR*Thousands</f>
        <v>0</v>
      </c>
      <c r="L45" s="23">
        <f>'Output_Standalone (IDR)'!L69/USD_IDR*Thousands</f>
        <v>0</v>
      </c>
      <c r="M45" s="23">
        <f>'Output_Standalone (IDR)'!M69/USD_IDR*Thousands</f>
        <v>0</v>
      </c>
      <c r="N45" s="23">
        <f>'Output_Standalone (IDR)'!N69/USD_IDR*Thousands</f>
        <v>0</v>
      </c>
      <c r="O45" s="23">
        <f>'Output_Standalone (IDR)'!O69/USD_IDR*Thousands</f>
        <v>0</v>
      </c>
      <c r="P45" s="23">
        <f>'Output_Standalone (IDR)'!P69/USD_IDR*Thousands</f>
        <v>0</v>
      </c>
      <c r="Q45" s="23">
        <f>'Output_Standalone (IDR)'!Q69/USD_IDR*Thousands</f>
        <v>0</v>
      </c>
      <c r="R45" s="23">
        <f>'Output_Standalone (IDR)'!R69/USD_IDR*Thousands</f>
        <v>0</v>
      </c>
      <c r="S45" s="23">
        <f>'Output_Standalone (IDR)'!S69/USD_IDR*Thousands</f>
        <v>0</v>
      </c>
      <c r="T45" s="23">
        <f>'Output_Standalone (IDR)'!T69/USD_IDR*Thousands</f>
        <v>0</v>
      </c>
      <c r="U45" s="23">
        <f>'Output_Standalone (IDR)'!U69/USD_IDR*Thousands</f>
        <v>0</v>
      </c>
      <c r="V45" s="23">
        <f>'Output_Standalone (IDR)'!V69/USD_IDR*Thousands</f>
        <v>0</v>
      </c>
    </row>
    <row r="46" spans="1:22">
      <c r="A46" s="260"/>
      <c r="B46" s="28" t="s">
        <v>1017</v>
      </c>
      <c r="C46" s="28"/>
      <c r="D46" s="28"/>
      <c r="E46" s="28"/>
      <c r="F46" s="28"/>
      <c r="G46" s="28"/>
      <c r="H46" s="28"/>
      <c r="I46" s="49">
        <f>SUM(J46:V46)</f>
        <v>35.034933789117737</v>
      </c>
      <c r="J46" s="47">
        <f t="shared" ref="J46:V46" si="17">SUM(J44:J45)</f>
        <v>0</v>
      </c>
      <c r="K46" s="47">
        <f t="shared" si="17"/>
        <v>0</v>
      </c>
      <c r="L46" s="47">
        <f t="shared" si="17"/>
        <v>2.9572702121118968</v>
      </c>
      <c r="M46" s="47">
        <f t="shared" si="17"/>
        <v>2.9572702121118968</v>
      </c>
      <c r="N46" s="47">
        <f t="shared" si="17"/>
        <v>2.9572702121118968</v>
      </c>
      <c r="O46" s="47">
        <f t="shared" si="17"/>
        <v>3.1612419305256685</v>
      </c>
      <c r="P46" s="47">
        <f t="shared" si="17"/>
        <v>3.1612419305256685</v>
      </c>
      <c r="Q46" s="47">
        <f t="shared" si="17"/>
        <v>3.1612419305256685</v>
      </c>
      <c r="R46" s="47">
        <f t="shared" si="17"/>
        <v>3.1612419305256685</v>
      </c>
      <c r="S46" s="47">
        <f t="shared" si="17"/>
        <v>3.3795388576698433</v>
      </c>
      <c r="T46" s="47">
        <f t="shared" si="17"/>
        <v>3.3795388576698433</v>
      </c>
      <c r="U46" s="47">
        <f t="shared" si="17"/>
        <v>3.3795388576698433</v>
      </c>
      <c r="V46" s="47">
        <f t="shared" si="17"/>
        <v>3.3795388576698433</v>
      </c>
    </row>
    <row r="47" spans="1:22">
      <c r="A47" s="260"/>
    </row>
    <row r="48" spans="1:22">
      <c r="A48" s="260"/>
      <c r="B48" t="s">
        <v>852</v>
      </c>
      <c r="H48" t="e">
        <f>J48/J44</f>
        <v>#DIV/0!</v>
      </c>
      <c r="I48" s="48">
        <f>SUM(J48:V48)</f>
        <v>0</v>
      </c>
      <c r="J48" s="276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</row>
    <row r="49" spans="1:22">
      <c r="A49" s="260"/>
      <c r="B49" s="28" t="s">
        <v>139</v>
      </c>
      <c r="C49" s="28"/>
      <c r="D49" s="28"/>
      <c r="E49" s="28"/>
      <c r="F49" s="28"/>
      <c r="G49" s="28"/>
      <c r="H49" s="28"/>
      <c r="I49" s="49">
        <f>SUM(J49:V49)</f>
        <v>35.034933789117737</v>
      </c>
      <c r="J49" s="47">
        <f t="shared" ref="J49:V49" si="18">SUM(J46,J48)</f>
        <v>0</v>
      </c>
      <c r="K49" s="47">
        <f t="shared" si="18"/>
        <v>0</v>
      </c>
      <c r="L49" s="47">
        <f t="shared" si="18"/>
        <v>2.9572702121118968</v>
      </c>
      <c r="M49" s="47">
        <f t="shared" si="18"/>
        <v>2.9572702121118968</v>
      </c>
      <c r="N49" s="47">
        <f t="shared" si="18"/>
        <v>2.9572702121118968</v>
      </c>
      <c r="O49" s="47">
        <f t="shared" si="18"/>
        <v>3.1612419305256685</v>
      </c>
      <c r="P49" s="47">
        <f t="shared" si="18"/>
        <v>3.1612419305256685</v>
      </c>
      <c r="Q49" s="47">
        <f t="shared" si="18"/>
        <v>3.1612419305256685</v>
      </c>
      <c r="R49" s="47">
        <f t="shared" si="18"/>
        <v>3.1612419305256685</v>
      </c>
      <c r="S49" s="47">
        <f t="shared" si="18"/>
        <v>3.3795388576698433</v>
      </c>
      <c r="T49" s="47">
        <f t="shared" si="18"/>
        <v>3.3795388576698433</v>
      </c>
      <c r="U49" s="47">
        <f t="shared" si="18"/>
        <v>3.3795388576698433</v>
      </c>
      <c r="V49" s="47">
        <f t="shared" si="18"/>
        <v>3.3795388576698433</v>
      </c>
    </row>
    <row r="50" spans="1:22">
      <c r="A50" s="260"/>
    </row>
    <row r="51" spans="1:22">
      <c r="A51" s="260"/>
      <c r="B51" t="s">
        <v>1018</v>
      </c>
      <c r="H51" s="21" t="e">
        <f>K51/K44</f>
        <v>#DIV/0!</v>
      </c>
      <c r="I51" s="49">
        <f>SUM(J51:V51)</f>
        <v>-4.9709523809523821</v>
      </c>
      <c r="J51" s="23">
        <f>'Output_Standalone (IDR)'!J75/USD_IDR*Thousands</f>
        <v>0</v>
      </c>
      <c r="K51" s="23">
        <f>'Output_Standalone (IDR)'!K75/USD_IDR*Thousands</f>
        <v>0</v>
      </c>
      <c r="L51" s="23">
        <f>'Output_Standalone (IDR)'!L75/USD_IDR*Thousands</f>
        <v>-0.54476190476190478</v>
      </c>
      <c r="M51" s="23">
        <f>'Output_Standalone (IDR)'!M75/USD_IDR*Thousands</f>
        <v>-0.54476190476190478</v>
      </c>
      <c r="N51" s="23">
        <f>'Output_Standalone (IDR)'!N75/USD_IDR*Thousands</f>
        <v>-0.54476190476190478</v>
      </c>
      <c r="O51" s="23">
        <f>'Output_Standalone (IDR)'!O75/USD_IDR*Thousands</f>
        <v>-0.54476190476190478</v>
      </c>
      <c r="P51" s="23">
        <f>'Output_Standalone (IDR)'!P75/USD_IDR*Thousands</f>
        <v>-0.54476190476190478</v>
      </c>
      <c r="Q51" s="23">
        <f>'Output_Standalone (IDR)'!Q75/USD_IDR*Thousands</f>
        <v>-0.54476190476190478</v>
      </c>
      <c r="R51" s="23">
        <f>'Output_Standalone (IDR)'!R75/USD_IDR*Thousands</f>
        <v>-0.54476190476190478</v>
      </c>
      <c r="S51" s="23">
        <f>'Output_Standalone (IDR)'!S75/USD_IDR*Thousands</f>
        <v>-0.54476190476190478</v>
      </c>
      <c r="T51" s="23">
        <f>'Output_Standalone (IDR)'!T75/USD_IDR*Thousands</f>
        <v>-0.20428571428571429</v>
      </c>
      <c r="U51" s="23">
        <f>'Output_Standalone (IDR)'!U75/USD_IDR*Thousands</f>
        <v>-0.20428571428571429</v>
      </c>
      <c r="V51" s="23">
        <f>'Output_Standalone (IDR)'!V75/USD_IDR*Thousands</f>
        <v>-0.20428571428571429</v>
      </c>
    </row>
    <row r="52" spans="1:22">
      <c r="A52" s="260"/>
      <c r="B52" s="28" t="s">
        <v>434</v>
      </c>
      <c r="C52" s="28"/>
      <c r="D52" s="28"/>
      <c r="E52" s="28"/>
      <c r="F52" s="28"/>
      <c r="G52" s="28"/>
      <c r="H52" s="28"/>
      <c r="I52" s="49">
        <f>SUM(J52:V52)</f>
        <v>30.063981408165358</v>
      </c>
      <c r="J52" s="47">
        <f t="shared" ref="J52:V52" si="19">SUM(J49,J51)</f>
        <v>0</v>
      </c>
      <c r="K52" s="47">
        <f t="shared" si="19"/>
        <v>0</v>
      </c>
      <c r="L52" s="47">
        <f t="shared" si="19"/>
        <v>2.412508307349992</v>
      </c>
      <c r="M52" s="47">
        <f t="shared" si="19"/>
        <v>2.412508307349992</v>
      </c>
      <c r="N52" s="47">
        <f t="shared" si="19"/>
        <v>2.412508307349992</v>
      </c>
      <c r="O52" s="47">
        <f t="shared" si="19"/>
        <v>2.6164800257637637</v>
      </c>
      <c r="P52" s="47">
        <f t="shared" si="19"/>
        <v>2.6164800257637637</v>
      </c>
      <c r="Q52" s="47">
        <f t="shared" si="19"/>
        <v>2.6164800257637637</v>
      </c>
      <c r="R52" s="47">
        <f t="shared" si="19"/>
        <v>2.6164800257637637</v>
      </c>
      <c r="S52" s="47">
        <f t="shared" si="19"/>
        <v>2.8347769529079385</v>
      </c>
      <c r="T52" s="47">
        <f t="shared" si="19"/>
        <v>3.1752531433841291</v>
      </c>
      <c r="U52" s="47">
        <f t="shared" si="19"/>
        <v>3.1752531433841291</v>
      </c>
      <c r="V52" s="47">
        <f t="shared" si="19"/>
        <v>3.1752531433841291</v>
      </c>
    </row>
    <row r="53" spans="1:22">
      <c r="A53" s="260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</row>
    <row r="54" spans="1:22">
      <c r="A54" s="260"/>
      <c r="B54" t="s">
        <v>881</v>
      </c>
      <c r="I54" s="48">
        <f>SUM(J54:V54)</f>
        <v>0</v>
      </c>
      <c r="J54" s="23">
        <f>-Input!K386*$F$114</f>
        <v>0</v>
      </c>
      <c r="K54" s="23">
        <f>-Input!L386*$F$114</f>
        <v>0</v>
      </c>
      <c r="L54" s="23">
        <f>-Input!M386*$F$114</f>
        <v>0</v>
      </c>
      <c r="M54" s="23">
        <f>-Input!N386*$F$114</f>
        <v>0</v>
      </c>
      <c r="N54" s="23">
        <f>-Input!O386*$F$114</f>
        <v>0</v>
      </c>
      <c r="O54" s="23">
        <f>-Input!P386*$F$114</f>
        <v>0</v>
      </c>
      <c r="P54" s="23">
        <f>-Input!Q386*$F$114</f>
        <v>0</v>
      </c>
      <c r="Q54" s="23">
        <f>-Input!R386*$F$114</f>
        <v>0</v>
      </c>
      <c r="R54" s="23">
        <f>-Input!S386*$F$114</f>
        <v>0</v>
      </c>
      <c r="S54" s="23">
        <f>-Input!T386*$F$114</f>
        <v>0</v>
      </c>
      <c r="T54" s="23">
        <f>-Input!U386*$F$114</f>
        <v>0</v>
      </c>
      <c r="U54" s="23">
        <f>-Input!V386*$F$114</f>
        <v>0</v>
      </c>
      <c r="V54" s="23">
        <f>-Input!W386*$F$114</f>
        <v>0</v>
      </c>
    </row>
    <row r="55" spans="1:22">
      <c r="A55" s="260"/>
      <c r="B55" s="28" t="s">
        <v>1019</v>
      </c>
      <c r="C55" s="28"/>
      <c r="D55" s="28"/>
      <c r="E55" s="28"/>
      <c r="F55" s="28"/>
      <c r="G55" s="28"/>
      <c r="H55" s="28"/>
      <c r="I55" s="48">
        <f>SUM(J55:V55)</f>
        <v>30.063981408165358</v>
      </c>
      <c r="J55" s="47">
        <f t="shared" ref="J55:V55" si="20">SUM(J52,J54)</f>
        <v>0</v>
      </c>
      <c r="K55" s="47">
        <f t="shared" si="20"/>
        <v>0</v>
      </c>
      <c r="L55" s="47">
        <f t="shared" si="20"/>
        <v>2.412508307349992</v>
      </c>
      <c r="M55" s="47">
        <f t="shared" si="20"/>
        <v>2.412508307349992</v>
      </c>
      <c r="N55" s="47">
        <f t="shared" si="20"/>
        <v>2.412508307349992</v>
      </c>
      <c r="O55" s="47">
        <f t="shared" si="20"/>
        <v>2.6164800257637637</v>
      </c>
      <c r="P55" s="47">
        <f t="shared" si="20"/>
        <v>2.6164800257637637</v>
      </c>
      <c r="Q55" s="47">
        <f t="shared" si="20"/>
        <v>2.6164800257637637</v>
      </c>
      <c r="R55" s="47">
        <f t="shared" si="20"/>
        <v>2.6164800257637637</v>
      </c>
      <c r="S55" s="47">
        <f t="shared" si="20"/>
        <v>2.8347769529079385</v>
      </c>
      <c r="T55" s="47">
        <f t="shared" si="20"/>
        <v>3.1752531433841291</v>
      </c>
      <c r="U55" s="47">
        <f t="shared" si="20"/>
        <v>3.1752531433841291</v>
      </c>
      <c r="V55" s="47">
        <f t="shared" si="20"/>
        <v>3.1752531433841291</v>
      </c>
    </row>
    <row r="56" spans="1:22">
      <c r="A56" s="260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</row>
    <row r="57" spans="1:22">
      <c r="A57" s="260"/>
      <c r="B57" t="s">
        <v>759</v>
      </c>
      <c r="I57" s="48">
        <f>SUM(J57:V57)</f>
        <v>-6.6140759097963793</v>
      </c>
      <c r="J57" s="23">
        <f>-IF(J55&lt;0,0,J55*22%)</f>
        <v>0</v>
      </c>
      <c r="K57" s="23">
        <f t="shared" ref="K57:V57" si="21">-IF(K55&lt;0,0,K55*22%)</f>
        <v>0</v>
      </c>
      <c r="L57" s="23">
        <f t="shared" si="21"/>
        <v>-0.53075182761699824</v>
      </c>
      <c r="M57" s="23">
        <f t="shared" si="21"/>
        <v>-0.53075182761699824</v>
      </c>
      <c r="N57" s="23">
        <f t="shared" si="21"/>
        <v>-0.53075182761699824</v>
      </c>
      <c r="O57" s="23">
        <f t="shared" si="21"/>
        <v>-0.57562560566802801</v>
      </c>
      <c r="P57" s="23">
        <f t="shared" si="21"/>
        <v>-0.57562560566802801</v>
      </c>
      <c r="Q57" s="23">
        <f t="shared" si="21"/>
        <v>-0.57562560566802801</v>
      </c>
      <c r="R57" s="23">
        <f t="shared" si="21"/>
        <v>-0.57562560566802801</v>
      </c>
      <c r="S57" s="23">
        <f t="shared" si="21"/>
        <v>-0.62365092963974644</v>
      </c>
      <c r="T57" s="23">
        <f t="shared" si="21"/>
        <v>-0.69855569154450836</v>
      </c>
      <c r="U57" s="23">
        <f t="shared" si="21"/>
        <v>-0.69855569154450836</v>
      </c>
      <c r="V57" s="23">
        <f t="shared" si="21"/>
        <v>-0.69855569154450836</v>
      </c>
    </row>
    <row r="58" spans="1:22">
      <c r="A58" s="260"/>
      <c r="B58" s="28" t="s">
        <v>1020</v>
      </c>
      <c r="C58" s="28"/>
      <c r="D58" s="28"/>
      <c r="E58" s="28"/>
      <c r="F58" s="28"/>
      <c r="G58" s="28"/>
      <c r="H58" s="28"/>
      <c r="I58" s="48">
        <f>SUM(J58:V58)</f>
        <v>23.449905498368974</v>
      </c>
      <c r="J58" s="47">
        <f t="shared" ref="J58:V58" si="22">SUM(J55,J57)</f>
        <v>0</v>
      </c>
      <c r="K58" s="47">
        <f t="shared" si="22"/>
        <v>0</v>
      </c>
      <c r="L58" s="47">
        <f t="shared" si="22"/>
        <v>1.8817564797329938</v>
      </c>
      <c r="M58" s="47">
        <f t="shared" si="22"/>
        <v>1.8817564797329938</v>
      </c>
      <c r="N58" s="47">
        <f t="shared" si="22"/>
        <v>1.8817564797329938</v>
      </c>
      <c r="O58" s="47">
        <f t="shared" si="22"/>
        <v>2.0408544200957355</v>
      </c>
      <c r="P58" s="47">
        <f t="shared" si="22"/>
        <v>2.0408544200957355</v>
      </c>
      <c r="Q58" s="47">
        <f t="shared" si="22"/>
        <v>2.0408544200957355</v>
      </c>
      <c r="R58" s="47">
        <f t="shared" si="22"/>
        <v>2.0408544200957355</v>
      </c>
      <c r="S58" s="47">
        <f t="shared" si="22"/>
        <v>2.211126023268192</v>
      </c>
      <c r="T58" s="47">
        <f t="shared" si="22"/>
        <v>2.4766974518396205</v>
      </c>
      <c r="U58" s="47">
        <f t="shared" si="22"/>
        <v>2.4766974518396205</v>
      </c>
      <c r="V58" s="47">
        <f t="shared" si="22"/>
        <v>2.4766974518396205</v>
      </c>
    </row>
    <row r="59" spans="1:22">
      <c r="A59" s="260"/>
    </row>
    <row r="60" spans="1:22">
      <c r="A60" s="260"/>
      <c r="B60" s="407" t="s">
        <v>32</v>
      </c>
      <c r="C60" s="407"/>
      <c r="D60" s="407"/>
      <c r="E60" s="407"/>
      <c r="F60" s="407"/>
      <c r="G60" s="407"/>
      <c r="H60" s="407"/>
      <c r="I60" s="407"/>
      <c r="J60" s="9">
        <f>J$8</f>
        <v>2024</v>
      </c>
      <c r="K60" s="9">
        <f t="shared" ref="K60:V60" si="23">K$8</f>
        <v>2025</v>
      </c>
      <c r="L60" s="9">
        <f t="shared" si="23"/>
        <v>2026</v>
      </c>
      <c r="M60" s="9">
        <f t="shared" si="23"/>
        <v>2027</v>
      </c>
      <c r="N60" s="9">
        <f t="shared" si="23"/>
        <v>2028</v>
      </c>
      <c r="O60" s="9">
        <f t="shared" si="23"/>
        <v>2029</v>
      </c>
      <c r="P60" s="9">
        <f t="shared" si="23"/>
        <v>2030</v>
      </c>
      <c r="Q60" s="9">
        <f t="shared" si="23"/>
        <v>2031</v>
      </c>
      <c r="R60" s="9">
        <f t="shared" si="23"/>
        <v>2032</v>
      </c>
      <c r="S60" s="9">
        <f t="shared" si="23"/>
        <v>2033</v>
      </c>
      <c r="T60" s="9">
        <f t="shared" si="23"/>
        <v>2034</v>
      </c>
      <c r="U60" s="9">
        <f t="shared" si="23"/>
        <v>2035</v>
      </c>
      <c r="V60" s="9">
        <f t="shared" si="23"/>
        <v>2036</v>
      </c>
    </row>
    <row r="61" spans="1:22">
      <c r="A61" s="260"/>
      <c r="B61" s="55" t="s">
        <v>1021</v>
      </c>
      <c r="C61" s="51"/>
      <c r="D61" s="51"/>
      <c r="E61" s="51"/>
      <c r="F61" s="51"/>
      <c r="G61" s="51"/>
      <c r="H61" s="51"/>
      <c r="I61" s="51"/>
      <c r="J61" s="56">
        <f>IFERROR(J46/J44,0)</f>
        <v>0</v>
      </c>
      <c r="K61" s="56">
        <f t="shared" ref="K61:V61" si="24">IFERROR(K46/K44,0)</f>
        <v>0</v>
      </c>
      <c r="L61" s="56">
        <f t="shared" si="24"/>
        <v>1</v>
      </c>
      <c r="M61" s="56">
        <f t="shared" si="24"/>
        <v>1</v>
      </c>
      <c r="N61" s="56">
        <f t="shared" si="24"/>
        <v>1</v>
      </c>
      <c r="O61" s="56">
        <f t="shared" si="24"/>
        <v>1</v>
      </c>
      <c r="P61" s="56">
        <f t="shared" si="24"/>
        <v>1</v>
      </c>
      <c r="Q61" s="56">
        <f t="shared" si="24"/>
        <v>1</v>
      </c>
      <c r="R61" s="56">
        <f t="shared" si="24"/>
        <v>1</v>
      </c>
      <c r="S61" s="56">
        <f t="shared" si="24"/>
        <v>1</v>
      </c>
      <c r="T61" s="56">
        <f t="shared" si="24"/>
        <v>1</v>
      </c>
      <c r="U61" s="56">
        <f t="shared" si="24"/>
        <v>1</v>
      </c>
      <c r="V61" s="56">
        <f t="shared" si="24"/>
        <v>1</v>
      </c>
    </row>
    <row r="62" spans="1:22">
      <c r="A62" s="260"/>
      <c r="B62" s="55" t="s">
        <v>1022</v>
      </c>
      <c r="C62" s="51"/>
      <c r="D62" s="51"/>
      <c r="E62" s="51"/>
      <c r="F62" s="51"/>
      <c r="G62" s="51"/>
      <c r="H62" s="51"/>
      <c r="I62" s="51"/>
      <c r="J62" s="56">
        <f>IFERROR(J49/J44,0)</f>
        <v>0</v>
      </c>
      <c r="K62" s="52">
        <f t="shared" ref="K62:T62" si="25">IFERROR(K52/K46,0)</f>
        <v>0</v>
      </c>
      <c r="L62" s="52">
        <f t="shared" si="25"/>
        <v>0.81578893178893175</v>
      </c>
      <c r="M62" s="52">
        <f t="shared" si="25"/>
        <v>0.81578893178893175</v>
      </c>
      <c r="N62" s="52">
        <f t="shared" si="25"/>
        <v>0.81578893178893175</v>
      </c>
      <c r="O62" s="52">
        <f t="shared" si="25"/>
        <v>0.8276747187548158</v>
      </c>
      <c r="P62" s="52">
        <f t="shared" si="25"/>
        <v>0.8276747187548158</v>
      </c>
      <c r="Q62" s="52">
        <f t="shared" si="25"/>
        <v>0.8276747187548158</v>
      </c>
      <c r="R62" s="52">
        <f t="shared" si="25"/>
        <v>0.8276747187548158</v>
      </c>
      <c r="S62" s="52">
        <f t="shared" si="25"/>
        <v>0.83880584668361757</v>
      </c>
      <c r="T62" s="52">
        <f t="shared" si="25"/>
        <v>0.93955219250635658</v>
      </c>
      <c r="U62" s="52">
        <f>IFERROR(U52/U46,0)</f>
        <v>0.93955219250635658</v>
      </c>
      <c r="V62" s="52">
        <f>IFERROR(V52/V46,0)</f>
        <v>0.93955219250635658</v>
      </c>
    </row>
    <row r="63" spans="1:22">
      <c r="A63" s="260"/>
      <c r="B63" s="55" t="s">
        <v>990</v>
      </c>
      <c r="C63" s="51"/>
      <c r="D63" s="51"/>
      <c r="E63" s="51"/>
      <c r="F63" s="51"/>
      <c r="G63" s="51"/>
      <c r="H63" s="51"/>
      <c r="I63" s="51"/>
      <c r="J63" s="52">
        <f>IFERROR(J58/J44,0)</f>
        <v>0</v>
      </c>
      <c r="K63" s="52">
        <f t="shared" ref="K63:V63" si="26">IFERROR(K58/K44,0)</f>
        <v>0</v>
      </c>
      <c r="L63" s="52">
        <f t="shared" si="26"/>
        <v>0.63631536679536682</v>
      </c>
      <c r="M63" s="52">
        <f t="shared" si="26"/>
        <v>0.63631536679536682</v>
      </c>
      <c r="N63" s="52">
        <f t="shared" si="26"/>
        <v>0.63631536679536682</v>
      </c>
      <c r="O63" s="52">
        <f t="shared" si="26"/>
        <v>0.64558628062875623</v>
      </c>
      <c r="P63" s="52">
        <f t="shared" si="26"/>
        <v>0.64558628062875623</v>
      </c>
      <c r="Q63" s="52">
        <f t="shared" si="26"/>
        <v>0.64558628062875623</v>
      </c>
      <c r="R63" s="52">
        <f t="shared" si="26"/>
        <v>0.64558628062875623</v>
      </c>
      <c r="S63" s="52">
        <f t="shared" si="26"/>
        <v>0.65426856041322168</v>
      </c>
      <c r="T63" s="52">
        <f t="shared" si="26"/>
        <v>0.73285071015495806</v>
      </c>
      <c r="U63" s="52">
        <f t="shared" si="26"/>
        <v>0.73285071015495806</v>
      </c>
      <c r="V63" s="52">
        <f t="shared" si="26"/>
        <v>0.73285071015495806</v>
      </c>
    </row>
    <row r="66" spans="1:22" ht="24" thickBot="1">
      <c r="A66" s="260"/>
      <c r="B66" s="14" t="s">
        <v>1025</v>
      </c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</row>
    <row r="67" spans="1:22">
      <c r="A67" s="260"/>
      <c r="B67" s="2" t="s">
        <v>29</v>
      </c>
      <c r="F67" s="6">
        <f>Output_FSL!F36</f>
        <v>1</v>
      </c>
    </row>
    <row r="68" spans="1:22">
      <c r="A68" s="260"/>
      <c r="B68" s="407" t="s">
        <v>623</v>
      </c>
      <c r="I68" s="48">
        <f>SUM(J68:V68)</f>
        <v>0.52783771769509757</v>
      </c>
      <c r="J68" s="23">
        <f>'Output_Standalone (IDR)'!J92/USD_IDR*Thousands</f>
        <v>0</v>
      </c>
      <c r="K68" s="23">
        <f>'Output_Standalone (IDR)'!K92/USD_IDR*Thousands</f>
        <v>0</v>
      </c>
      <c r="L68" s="23">
        <f>'Output_Standalone (IDR)'!L92/USD_IDR*Thousands</f>
        <v>0</v>
      </c>
      <c r="M68" s="23">
        <f>'Output_Standalone (IDR)'!M92/USD_IDR*Thousands</f>
        <v>4.5572497352199849E-2</v>
      </c>
      <c r="N68" s="23">
        <f>'Output_Standalone (IDR)'!N92/USD_IDR*Thousands</f>
        <v>4.7050339349310563E-2</v>
      </c>
      <c r="O68" s="23">
        <f>'Output_Standalone (IDR)'!O92/USD_IDR*Thousands</f>
        <v>4.8572516606334611E-2</v>
      </c>
      <c r="P68" s="23">
        <f>'Output_Standalone (IDR)'!P92/USD_IDR*Thousands</f>
        <v>5.0140359181069384E-2</v>
      </c>
      <c r="Q68" s="23">
        <f>'Output_Standalone (IDR)'!Q92/USD_IDR*Thousands</f>
        <v>5.17552370330462E-2</v>
      </c>
      <c r="R68" s="23">
        <f>'Output_Standalone (IDR)'!R92/USD_IDR*Thousands</f>
        <v>5.3418561220582306E-2</v>
      </c>
      <c r="S68" s="23">
        <f>'Output_Standalone (IDR)'!S92/USD_IDR*Thousands</f>
        <v>5.5131785133744511E-2</v>
      </c>
      <c r="T68" s="23">
        <f>'Output_Standalone (IDR)'!T92/USD_IDR*Thousands</f>
        <v>5.6896405764301557E-2</v>
      </c>
      <c r="U68" s="23">
        <f>'Output_Standalone (IDR)'!U92/USD_IDR*Thousands</f>
        <v>5.8713965013775342E-2</v>
      </c>
      <c r="V68" s="23">
        <f>'Output_Standalone (IDR)'!V92/USD_IDR*Thousands</f>
        <v>6.0586051040733328E-2</v>
      </c>
    </row>
    <row r="69" spans="1:22">
      <c r="A69" s="260"/>
      <c r="B69" s="407" t="s">
        <v>473</v>
      </c>
      <c r="H69" s="21" t="e">
        <f>L69/L68</f>
        <v>#DIV/0!</v>
      </c>
      <c r="I69" s="48">
        <f>SUM(J69:V69)</f>
        <v>0</v>
      </c>
      <c r="J69" s="276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</row>
    <row r="70" spans="1:22">
      <c r="A70" s="260"/>
      <c r="B70" s="28" t="s">
        <v>1017</v>
      </c>
      <c r="C70" s="28"/>
      <c r="D70" s="28"/>
      <c r="E70" s="28"/>
      <c r="F70" s="28"/>
      <c r="G70" s="28"/>
      <c r="H70" s="28"/>
      <c r="I70" s="49">
        <f>SUM(J70:V70)</f>
        <v>0.52783771769509757</v>
      </c>
      <c r="J70" s="47">
        <f t="shared" ref="J70:V70" si="27">SUM(J68:J69)</f>
        <v>0</v>
      </c>
      <c r="K70" s="47">
        <f t="shared" si="27"/>
        <v>0</v>
      </c>
      <c r="L70" s="47">
        <f t="shared" si="27"/>
        <v>0</v>
      </c>
      <c r="M70" s="47">
        <f t="shared" si="27"/>
        <v>4.5572497352199849E-2</v>
      </c>
      <c r="N70" s="47">
        <f t="shared" si="27"/>
        <v>4.7050339349310563E-2</v>
      </c>
      <c r="O70" s="47">
        <f t="shared" si="27"/>
        <v>4.8572516606334611E-2</v>
      </c>
      <c r="P70" s="47">
        <f t="shared" si="27"/>
        <v>5.0140359181069384E-2</v>
      </c>
      <c r="Q70" s="47">
        <f t="shared" si="27"/>
        <v>5.17552370330462E-2</v>
      </c>
      <c r="R70" s="47">
        <f t="shared" si="27"/>
        <v>5.3418561220582306E-2</v>
      </c>
      <c r="S70" s="47">
        <f t="shared" si="27"/>
        <v>5.5131785133744511E-2</v>
      </c>
      <c r="T70" s="47">
        <f t="shared" si="27"/>
        <v>5.6896405764301557E-2</v>
      </c>
      <c r="U70" s="47">
        <f t="shared" si="27"/>
        <v>5.8713965013775342E-2</v>
      </c>
      <c r="V70" s="47">
        <f t="shared" si="27"/>
        <v>6.0586051040733328E-2</v>
      </c>
    </row>
    <row r="71" spans="1:22">
      <c r="A71" s="260"/>
      <c r="L71" s="1"/>
    </row>
    <row r="72" spans="1:22">
      <c r="A72" s="260"/>
      <c r="B72" t="s">
        <v>852</v>
      </c>
      <c r="I72" s="48">
        <f>SUM(J72:V72)</f>
        <v>-0.10556754353901952</v>
      </c>
      <c r="J72">
        <f>'Output_Standalone (IDR)'!J96/USD_IDR*Thousands</f>
        <v>0</v>
      </c>
      <c r="K72">
        <f>'Output_Standalone (IDR)'!K96/USD_IDR*Thousands</f>
        <v>0</v>
      </c>
      <c r="L72">
        <f>'Output_Standalone (IDR)'!L96/USD_IDR*Thousands</f>
        <v>0</v>
      </c>
      <c r="M72">
        <f>'Output_Standalone (IDR)'!M96/USD_IDR*Thousands</f>
        <v>-9.1144994704399681E-3</v>
      </c>
      <c r="N72">
        <f>'Output_Standalone (IDR)'!N96/USD_IDR*Thousands</f>
        <v>-9.4100678698621123E-3</v>
      </c>
      <c r="O72">
        <f>'Output_Standalone (IDR)'!O96/USD_IDR*Thousands</f>
        <v>-9.7145033212669221E-3</v>
      </c>
      <c r="P72">
        <f>'Output_Standalone (IDR)'!P96/USD_IDR*Thousands</f>
        <v>-1.0028071836213877E-2</v>
      </c>
      <c r="Q72">
        <f>'Output_Standalone (IDR)'!Q96/USD_IDR*Thousands</f>
        <v>-1.035104740660924E-2</v>
      </c>
      <c r="R72">
        <f>'Output_Standalone (IDR)'!R96/USD_IDR*Thousands</f>
        <v>-1.0683712244116463E-2</v>
      </c>
      <c r="S72">
        <f>'Output_Standalone (IDR)'!S96/USD_IDR*Thousands</f>
        <v>-1.1026357026748902E-2</v>
      </c>
      <c r="T72">
        <f>'Output_Standalone (IDR)'!T96/USD_IDR*Thousands</f>
        <v>-1.1379281152860313E-2</v>
      </c>
      <c r="U72">
        <f>'Output_Standalone (IDR)'!U96/USD_IDR*Thousands</f>
        <v>-1.1742793002755068E-2</v>
      </c>
      <c r="V72">
        <f>'Output_Standalone (IDR)'!V96/USD_IDR*Thousands</f>
        <v>-1.2117210208146666E-2</v>
      </c>
    </row>
    <row r="73" spans="1:22">
      <c r="A73" s="260"/>
      <c r="B73" s="28" t="s">
        <v>139</v>
      </c>
      <c r="C73" s="28"/>
      <c r="D73" s="28"/>
      <c r="E73" s="28"/>
      <c r="F73" s="28"/>
      <c r="G73" s="28"/>
      <c r="H73" s="28"/>
      <c r="I73" s="49">
        <f>SUM(J73:V73)</f>
        <v>0.42227017415607809</v>
      </c>
      <c r="J73" s="47">
        <f t="shared" ref="J73:V73" si="28">SUM(J70,J72)</f>
        <v>0</v>
      </c>
      <c r="K73" s="47">
        <f t="shared" si="28"/>
        <v>0</v>
      </c>
      <c r="L73" s="47">
        <f t="shared" si="28"/>
        <v>0</v>
      </c>
      <c r="M73" s="47">
        <f t="shared" si="28"/>
        <v>3.6457997881759879E-2</v>
      </c>
      <c r="N73" s="47">
        <f t="shared" si="28"/>
        <v>3.7640271479448449E-2</v>
      </c>
      <c r="O73" s="47">
        <f t="shared" si="28"/>
        <v>3.8858013285067688E-2</v>
      </c>
      <c r="P73" s="47">
        <f t="shared" si="28"/>
        <v>4.0112287344855509E-2</v>
      </c>
      <c r="Q73" s="47">
        <f t="shared" si="28"/>
        <v>4.1404189626436959E-2</v>
      </c>
      <c r="R73" s="47">
        <f t="shared" si="28"/>
        <v>4.2734848976465845E-2</v>
      </c>
      <c r="S73" s="47">
        <f t="shared" si="28"/>
        <v>4.4105428106995609E-2</v>
      </c>
      <c r="T73" s="47">
        <f t="shared" si="28"/>
        <v>4.5517124611441244E-2</v>
      </c>
      <c r="U73" s="47">
        <f t="shared" si="28"/>
        <v>4.6971172011020274E-2</v>
      </c>
      <c r="V73" s="47">
        <f t="shared" si="28"/>
        <v>4.8468840832586665E-2</v>
      </c>
    </row>
    <row r="74" spans="1:22">
      <c r="A74" s="260"/>
    </row>
    <row r="75" spans="1:22">
      <c r="A75" s="260"/>
      <c r="B75" t="s">
        <v>1018</v>
      </c>
      <c r="I75" s="49">
        <f>SUM(J75:V75)</f>
        <v>-8.0000000000000029E-2</v>
      </c>
      <c r="J75" s="23">
        <f>'Output_Standalone (IDR)'!J99/USD_IDR*Thousands</f>
        <v>0</v>
      </c>
      <c r="K75" s="23">
        <f>'Output_Standalone (IDR)'!K99/USD_IDR*Thousands</f>
        <v>0</v>
      </c>
      <c r="L75" s="23">
        <f>'Output_Standalone (IDR)'!L99/USD_IDR*Thousands</f>
        <v>0</v>
      </c>
      <c r="M75" s="23">
        <f>'Output_Standalone (IDR)'!M99/USD_IDR*Thousands</f>
        <v>-8.0000000000000019E-3</v>
      </c>
      <c r="N75" s="23">
        <f>'Output_Standalone (IDR)'!N99/USD_IDR*Thousands</f>
        <v>-8.0000000000000019E-3</v>
      </c>
      <c r="O75" s="23">
        <f>'Output_Standalone (IDR)'!O99/USD_IDR*Thousands</f>
        <v>-8.0000000000000019E-3</v>
      </c>
      <c r="P75" s="23">
        <f>'Output_Standalone (IDR)'!P99/USD_IDR*Thousands</f>
        <v>-8.0000000000000019E-3</v>
      </c>
      <c r="Q75" s="23">
        <f>'Output_Standalone (IDR)'!Q99/USD_IDR*Thousands</f>
        <v>-8.0000000000000019E-3</v>
      </c>
      <c r="R75" s="23">
        <f>'Output_Standalone (IDR)'!R99/USD_IDR*Thousands</f>
        <v>-8.0000000000000019E-3</v>
      </c>
      <c r="S75" s="23">
        <f>'Output_Standalone (IDR)'!S99/USD_IDR*Thousands</f>
        <v>-8.0000000000000019E-3</v>
      </c>
      <c r="T75" s="23">
        <f>'Output_Standalone (IDR)'!T99/USD_IDR*Thousands</f>
        <v>-8.0000000000000019E-3</v>
      </c>
      <c r="U75" s="23">
        <f>'Output_Standalone (IDR)'!U99/USD_IDR*Thousands</f>
        <v>-8.0000000000000019E-3</v>
      </c>
      <c r="V75" s="23">
        <f>'Output_Standalone (IDR)'!V99/USD_IDR*Thousands</f>
        <v>-8.0000000000000019E-3</v>
      </c>
    </row>
    <row r="76" spans="1:22">
      <c r="A76" s="260"/>
      <c r="B76" s="28" t="s">
        <v>434</v>
      </c>
      <c r="C76" s="28"/>
      <c r="D76" s="28"/>
      <c r="E76" s="28"/>
      <c r="F76" s="28"/>
      <c r="G76" s="28"/>
      <c r="H76" s="28"/>
      <c r="I76" s="49">
        <f>SUM(J76:V76)</f>
        <v>0.34227017415607813</v>
      </c>
      <c r="J76" s="47">
        <f t="shared" ref="J76:V76" si="29">SUM(J73,J75)</f>
        <v>0</v>
      </c>
      <c r="K76" s="47">
        <f t="shared" si="29"/>
        <v>0</v>
      </c>
      <c r="L76" s="47">
        <f t="shared" si="29"/>
        <v>0</v>
      </c>
      <c r="M76" s="47">
        <f t="shared" si="29"/>
        <v>2.8457997881759879E-2</v>
      </c>
      <c r="N76" s="47">
        <f t="shared" si="29"/>
        <v>2.9640271479448449E-2</v>
      </c>
      <c r="O76" s="47">
        <f t="shared" si="29"/>
        <v>3.0858013285067688E-2</v>
      </c>
      <c r="P76" s="47">
        <f t="shared" si="29"/>
        <v>3.2112287344855509E-2</v>
      </c>
      <c r="Q76" s="47">
        <f t="shared" si="29"/>
        <v>3.3404189626436959E-2</v>
      </c>
      <c r="R76" s="47">
        <f t="shared" si="29"/>
        <v>3.4734848976465844E-2</v>
      </c>
      <c r="S76" s="47">
        <f t="shared" si="29"/>
        <v>3.6105428106995609E-2</v>
      </c>
      <c r="T76" s="47">
        <f t="shared" si="29"/>
        <v>3.7517124611441244E-2</v>
      </c>
      <c r="U76" s="47">
        <f t="shared" si="29"/>
        <v>3.8971172011020273E-2</v>
      </c>
      <c r="V76" s="47">
        <f t="shared" si="29"/>
        <v>4.0468840832586665E-2</v>
      </c>
    </row>
    <row r="77" spans="1:22">
      <c r="A77" s="260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</row>
    <row r="78" spans="1:22">
      <c r="A78" s="260"/>
      <c r="B78" t="s">
        <v>881</v>
      </c>
      <c r="I78" s="48">
        <f>SUM(J78:V78)</f>
        <v>0</v>
      </c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</row>
    <row r="79" spans="1:22">
      <c r="A79" s="260"/>
      <c r="B79" s="28" t="s">
        <v>1019</v>
      </c>
      <c r="C79" s="28"/>
      <c r="D79" s="28"/>
      <c r="E79" s="28"/>
      <c r="F79" s="28"/>
      <c r="G79" s="28"/>
      <c r="H79" s="28"/>
      <c r="I79" s="48">
        <f>SUM(J79:V79)</f>
        <v>0.34227017415607813</v>
      </c>
      <c r="J79" s="47">
        <f t="shared" ref="J79:V79" si="30">SUM(J76,J78)</f>
        <v>0</v>
      </c>
      <c r="K79" s="47">
        <f t="shared" si="30"/>
        <v>0</v>
      </c>
      <c r="L79" s="47">
        <f t="shared" si="30"/>
        <v>0</v>
      </c>
      <c r="M79" s="47">
        <f t="shared" si="30"/>
        <v>2.8457997881759879E-2</v>
      </c>
      <c r="N79" s="47">
        <f t="shared" si="30"/>
        <v>2.9640271479448449E-2</v>
      </c>
      <c r="O79" s="47">
        <f t="shared" si="30"/>
        <v>3.0858013285067688E-2</v>
      </c>
      <c r="P79" s="47">
        <f t="shared" si="30"/>
        <v>3.2112287344855509E-2</v>
      </c>
      <c r="Q79" s="47">
        <f t="shared" si="30"/>
        <v>3.3404189626436959E-2</v>
      </c>
      <c r="R79" s="47">
        <f t="shared" si="30"/>
        <v>3.4734848976465844E-2</v>
      </c>
      <c r="S79" s="47">
        <f t="shared" si="30"/>
        <v>3.6105428106995609E-2</v>
      </c>
      <c r="T79" s="47">
        <f t="shared" si="30"/>
        <v>3.7517124611441244E-2</v>
      </c>
      <c r="U79" s="47">
        <f t="shared" si="30"/>
        <v>3.8971172011020273E-2</v>
      </c>
      <c r="V79" s="47">
        <f t="shared" si="30"/>
        <v>4.0468840832586665E-2</v>
      </c>
    </row>
    <row r="80" spans="1:22">
      <c r="A80" s="260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</row>
    <row r="81" spans="1:22">
      <c r="A81" s="260"/>
      <c r="B81" t="s">
        <v>759</v>
      </c>
      <c r="I81" s="48">
        <f>SUM(J81:V81)</f>
        <v>-7.5299438314337178E-2</v>
      </c>
      <c r="J81" s="23">
        <f>-IF(J79&lt;0,0,J79*22%)</f>
        <v>0</v>
      </c>
      <c r="K81" s="23">
        <f t="shared" ref="K81:V81" si="31">-IF(K79&lt;0,0,K79*22%)</f>
        <v>0</v>
      </c>
      <c r="L81" s="23">
        <f t="shared" si="31"/>
        <v>0</v>
      </c>
      <c r="M81" s="23">
        <f t="shared" si="31"/>
        <v>-6.2607595339871733E-3</v>
      </c>
      <c r="N81" s="23">
        <f t="shared" si="31"/>
        <v>-6.5208597254786584E-3</v>
      </c>
      <c r="O81" s="23">
        <f t="shared" si="31"/>
        <v>-6.7887629227148917E-3</v>
      </c>
      <c r="P81" s="23">
        <f t="shared" si="31"/>
        <v>-7.0647032158682116E-3</v>
      </c>
      <c r="Q81" s="23">
        <f t="shared" si="31"/>
        <v>-7.3489217178161308E-3</v>
      </c>
      <c r="R81" s="23">
        <f t="shared" si="31"/>
        <v>-7.6416667748224858E-3</v>
      </c>
      <c r="S81" s="23">
        <f t="shared" si="31"/>
        <v>-7.9431941835390336E-3</v>
      </c>
      <c r="T81" s="23">
        <f t="shared" si="31"/>
        <v>-8.2537674145170738E-3</v>
      </c>
      <c r="U81" s="23">
        <f t="shared" si="31"/>
        <v>-8.5736578424244602E-3</v>
      </c>
      <c r="V81" s="23">
        <f t="shared" si="31"/>
        <v>-8.903144983169067E-3</v>
      </c>
    </row>
    <row r="82" spans="1:22">
      <c r="A82" s="260"/>
      <c r="B82" s="28" t="s">
        <v>1020</v>
      </c>
      <c r="C82" s="28"/>
      <c r="D82" s="28"/>
      <c r="E82" s="28"/>
      <c r="F82" s="28"/>
      <c r="G82" s="28"/>
      <c r="H82" s="28"/>
      <c r="I82" s="48">
        <f>SUM(J82:V82)</f>
        <v>0.26697073584174091</v>
      </c>
      <c r="J82" s="47">
        <f t="shared" ref="J82:V82" si="32">SUM(J79,J81)</f>
        <v>0</v>
      </c>
      <c r="K82" s="47">
        <f t="shared" si="32"/>
        <v>0</v>
      </c>
      <c r="L82" s="47">
        <f t="shared" si="32"/>
        <v>0</v>
      </c>
      <c r="M82" s="47">
        <f t="shared" si="32"/>
        <v>2.2197238347772708E-2</v>
      </c>
      <c r="N82" s="47">
        <f t="shared" si="32"/>
        <v>2.3119411753969789E-2</v>
      </c>
      <c r="O82" s="47">
        <f t="shared" si="32"/>
        <v>2.4069250362352797E-2</v>
      </c>
      <c r="P82" s="47">
        <f t="shared" si="32"/>
        <v>2.5047584128987298E-2</v>
      </c>
      <c r="Q82" s="47">
        <f t="shared" si="32"/>
        <v>2.6055267908620828E-2</v>
      </c>
      <c r="R82" s="47">
        <f t="shared" si="32"/>
        <v>2.7093182201643359E-2</v>
      </c>
      <c r="S82" s="47">
        <f t="shared" si="32"/>
        <v>2.8162233923456577E-2</v>
      </c>
      <c r="T82" s="47">
        <f t="shared" si="32"/>
        <v>2.9263357196924168E-2</v>
      </c>
      <c r="U82" s="47">
        <f t="shared" si="32"/>
        <v>3.0397514168595811E-2</v>
      </c>
      <c r="V82" s="47">
        <f t="shared" si="32"/>
        <v>3.1565695849417597E-2</v>
      </c>
    </row>
    <row r="83" spans="1:22">
      <c r="A83" s="260"/>
    </row>
    <row r="84" spans="1:22">
      <c r="A84" s="260"/>
      <c r="B84" s="407" t="s">
        <v>32</v>
      </c>
      <c r="C84" s="407"/>
      <c r="D84" s="407"/>
      <c r="E84" s="407"/>
      <c r="F84" s="407"/>
      <c r="G84" s="407"/>
      <c r="H84" s="407"/>
      <c r="I84" s="407"/>
      <c r="J84" s="9">
        <f>J$8</f>
        <v>2024</v>
      </c>
      <c r="K84" s="9">
        <f t="shared" ref="K84:V84" si="33">K$8</f>
        <v>2025</v>
      </c>
      <c r="L84" s="9">
        <f t="shared" si="33"/>
        <v>2026</v>
      </c>
      <c r="M84" s="9">
        <f t="shared" si="33"/>
        <v>2027</v>
      </c>
      <c r="N84" s="9">
        <f t="shared" si="33"/>
        <v>2028</v>
      </c>
      <c r="O84" s="9">
        <f t="shared" si="33"/>
        <v>2029</v>
      </c>
      <c r="P84" s="9">
        <f t="shared" si="33"/>
        <v>2030</v>
      </c>
      <c r="Q84" s="9">
        <f t="shared" si="33"/>
        <v>2031</v>
      </c>
      <c r="R84" s="9">
        <f t="shared" si="33"/>
        <v>2032</v>
      </c>
      <c r="S84" s="9">
        <f t="shared" si="33"/>
        <v>2033</v>
      </c>
      <c r="T84" s="9">
        <f t="shared" si="33"/>
        <v>2034</v>
      </c>
      <c r="U84" s="9">
        <f t="shared" si="33"/>
        <v>2035</v>
      </c>
      <c r="V84" s="9">
        <f t="shared" si="33"/>
        <v>2036</v>
      </c>
    </row>
    <row r="85" spans="1:22">
      <c r="A85" s="260"/>
      <c r="B85" s="55" t="s">
        <v>1021</v>
      </c>
      <c r="C85" s="51"/>
      <c r="D85" s="51"/>
      <c r="E85" s="51"/>
      <c r="F85" s="51"/>
      <c r="G85" s="51"/>
      <c r="H85" s="51"/>
      <c r="I85" s="51"/>
      <c r="J85" s="56">
        <f>IFERROR(J70/J68,0)</f>
        <v>0</v>
      </c>
      <c r="K85" s="56">
        <f t="shared" ref="K85:V85" si="34">IFERROR(K70/K68,0)</f>
        <v>0</v>
      </c>
      <c r="L85" s="56">
        <f t="shared" si="34"/>
        <v>0</v>
      </c>
      <c r="M85" s="56">
        <f t="shared" si="34"/>
        <v>1</v>
      </c>
      <c r="N85" s="56">
        <f t="shared" si="34"/>
        <v>1</v>
      </c>
      <c r="O85" s="56">
        <f t="shared" si="34"/>
        <v>1</v>
      </c>
      <c r="P85" s="56">
        <f t="shared" si="34"/>
        <v>1</v>
      </c>
      <c r="Q85" s="56">
        <f t="shared" si="34"/>
        <v>1</v>
      </c>
      <c r="R85" s="56">
        <f t="shared" si="34"/>
        <v>1</v>
      </c>
      <c r="S85" s="56">
        <f t="shared" si="34"/>
        <v>1</v>
      </c>
      <c r="T85" s="56">
        <f t="shared" si="34"/>
        <v>1</v>
      </c>
      <c r="U85" s="56">
        <f t="shared" si="34"/>
        <v>1</v>
      </c>
      <c r="V85" s="56">
        <f t="shared" si="34"/>
        <v>1</v>
      </c>
    </row>
    <row r="86" spans="1:22">
      <c r="A86" s="260"/>
      <c r="B86" s="55" t="s">
        <v>1022</v>
      </c>
      <c r="C86" s="51"/>
      <c r="D86" s="51"/>
      <c r="E86" s="51"/>
      <c r="F86" s="51"/>
      <c r="G86" s="51"/>
      <c r="H86" s="51"/>
      <c r="I86" s="51"/>
      <c r="J86" s="56">
        <f>IFERROR(J73/J68,0)</f>
        <v>0</v>
      </c>
      <c r="K86" s="52">
        <f t="shared" ref="K86:T86" si="35">IFERROR(K76/K70,0)</f>
        <v>0</v>
      </c>
      <c r="L86" s="52">
        <f t="shared" si="35"/>
        <v>0</v>
      </c>
      <c r="M86" s="52">
        <f t="shared" si="35"/>
        <v>0.62445552767992363</v>
      </c>
      <c r="N86" s="52">
        <f t="shared" si="35"/>
        <v>0.62996934537269755</v>
      </c>
      <c r="O86" s="52">
        <f t="shared" si="35"/>
        <v>0.63529780709454375</v>
      </c>
      <c r="P86" s="52">
        <f t="shared" si="35"/>
        <v>0.64044789206415542</v>
      </c>
      <c r="Q86" s="52">
        <f t="shared" si="35"/>
        <v>0.64542627068074432</v>
      </c>
      <c r="R86" s="52">
        <f t="shared" si="35"/>
        <v>0.65023932099246473</v>
      </c>
      <c r="S86" s="52">
        <f t="shared" si="35"/>
        <v>0.65489314411654265</v>
      </c>
      <c r="T86" s="52">
        <f t="shared" si="35"/>
        <v>0.65939357868859561</v>
      </c>
      <c r="U86" s="52">
        <f>IFERROR(U76/U70,0)</f>
        <v>0.66374621441214099</v>
      </c>
      <c r="V86" s="52">
        <f>IFERROR(V76/V70,0)</f>
        <v>0.66795640477341189</v>
      </c>
    </row>
    <row r="87" spans="1:22">
      <c r="A87" s="260"/>
      <c r="B87" s="55" t="s">
        <v>990</v>
      </c>
      <c r="C87" s="51"/>
      <c r="D87" s="51"/>
      <c r="E87" s="51"/>
      <c r="F87" s="51"/>
      <c r="G87" s="51"/>
      <c r="H87" s="51"/>
      <c r="I87" s="51"/>
      <c r="J87" s="52">
        <f>IFERROR(J82/J68,0)</f>
        <v>0</v>
      </c>
      <c r="K87" s="52">
        <f t="shared" ref="K87:V87" si="36">IFERROR(K82/K68,0)</f>
        <v>0</v>
      </c>
      <c r="L87" s="52">
        <f t="shared" si="36"/>
        <v>0</v>
      </c>
      <c r="M87" s="52">
        <f t="shared" si="36"/>
        <v>0.48707531159034045</v>
      </c>
      <c r="N87" s="52">
        <f t="shared" si="36"/>
        <v>0.4913760893907041</v>
      </c>
      <c r="O87" s="52">
        <f t="shared" si="36"/>
        <v>0.49553228953374412</v>
      </c>
      <c r="P87" s="52">
        <f t="shared" si="36"/>
        <v>0.49954935581004123</v>
      </c>
      <c r="Q87" s="52">
        <f t="shared" si="36"/>
        <v>0.50343249113098054</v>
      </c>
      <c r="R87" s="52">
        <f t="shared" si="36"/>
        <v>0.50718667037412246</v>
      </c>
      <c r="S87" s="52">
        <f t="shared" si="36"/>
        <v>0.51081665241090335</v>
      </c>
      <c r="T87" s="52">
        <f t="shared" si="36"/>
        <v>0.51432699137710458</v>
      </c>
      <c r="U87" s="52">
        <f t="shared" si="36"/>
        <v>0.51772204724146997</v>
      </c>
      <c r="V87" s="52">
        <f t="shared" si="36"/>
        <v>0.52100599572326123</v>
      </c>
    </row>
    <row r="89" spans="1:22" ht="24" thickBot="1">
      <c r="B89" s="14" t="s">
        <v>1026</v>
      </c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</row>
    <row r="90" spans="1:22">
      <c r="B90" s="2" t="s">
        <v>29</v>
      </c>
      <c r="F90" s="6">
        <f>Output_FSL!F31</f>
        <v>1</v>
      </c>
    </row>
    <row r="91" spans="1:22">
      <c r="B91" s="407" t="s">
        <v>623</v>
      </c>
      <c r="I91" s="48">
        <f>SUM(J91:V91)</f>
        <v>56.230490561563798</v>
      </c>
      <c r="J91" s="458">
        <f>'Output_Standalone (IDR)'!J115/USD_IDR*Thousands</f>
        <v>2.3767574546572394</v>
      </c>
      <c r="K91" s="23">
        <f>'Output_Standalone (IDR)'!K115/USD_IDR*Thousands</f>
        <v>2.8521089455886877</v>
      </c>
      <c r="L91" s="23">
        <f>'Output_Standalone (IDR)'!L115/USD_IDR*Thousands</f>
        <v>2.9376722139563478</v>
      </c>
      <c r="M91" s="23">
        <f>'Output_Standalone (IDR)'!M115/USD_IDR*Thousands</f>
        <v>3.6309628564500467</v>
      </c>
      <c r="N91" s="23">
        <f>'Output_Standalone (IDR)'!N115/USD_IDR*Thousands</f>
        <v>3.739891742143548</v>
      </c>
      <c r="O91" s="23">
        <f>'Output_Standalone (IDR)'!O115/USD_IDR*Thousands</f>
        <v>4.2372973438486401</v>
      </c>
      <c r="P91" s="23">
        <f>'Output_Standalone (IDR)'!P115/USD_IDR*Thousands</f>
        <v>4.3644162641640989</v>
      </c>
      <c r="Q91" s="23">
        <f>'Output_Standalone (IDR)'!Q115/USD_IDR*Thousands</f>
        <v>4.7650696772143633</v>
      </c>
      <c r="R91" s="23">
        <f>'Output_Standalone (IDR)'!R115/USD_IDR*Thousands</f>
        <v>4.9080217675307951</v>
      </c>
      <c r="S91" s="23">
        <f>'Output_Standalone (IDR)'!S115/USD_IDR*Thousands</f>
        <v>5.3585781657901235</v>
      </c>
      <c r="T91" s="23">
        <f>'Output_Standalone (IDR)'!T115/USD_IDR*Thousands</f>
        <v>5.5193355107638258</v>
      </c>
      <c r="U91" s="23">
        <f>'Output_Standalone (IDR)'!U115/USD_IDR*Thousands</f>
        <v>5.6849155760867411</v>
      </c>
      <c r="V91" s="23">
        <f>'Output_Standalone (IDR)'!V115/USD_IDR*Thousands</f>
        <v>5.8554630433693431</v>
      </c>
    </row>
    <row r="92" spans="1:22">
      <c r="B92" s="407" t="s">
        <v>473</v>
      </c>
      <c r="H92" s="21">
        <f>J92/J91</f>
        <v>-0.34719125238982296</v>
      </c>
      <c r="I92" s="48">
        <f>SUM(J92:V92)</f>
        <v>-13.812850345289707</v>
      </c>
      <c r="J92" s="23">
        <f>'Output_Standalone (IDR)'!J116/USD_IDR*Thousands</f>
        <v>-0.82518939730929475</v>
      </c>
      <c r="K92" s="23">
        <f>'Output_Standalone (IDR)'!K116/USD_IDR*Thousands</f>
        <v>-0.85770335910961859</v>
      </c>
      <c r="L92" s="23">
        <f>'Output_Standalone (IDR)'!L116/USD_IDR*Thousands</f>
        <v>-0.89379119724847911</v>
      </c>
      <c r="M92" s="23">
        <f>'Output_Standalone (IDR)'!M116/USD_IDR*Thousands</f>
        <v>-0.92945231306960208</v>
      </c>
      <c r="N92" s="23">
        <f>'Output_Standalone (IDR)'!N116/USD_IDR*Thousands</f>
        <v>-0.96680788323624223</v>
      </c>
      <c r="O92" s="23">
        <f>'Output_Standalone (IDR)'!O116/USD_IDR*Thousands</f>
        <v>-1.0079835069281176</v>
      </c>
      <c r="P92" s="23">
        <f>'Output_Standalone (IDR)'!P116/USD_IDR*Thousands</f>
        <v>-1.0489918667225397</v>
      </c>
      <c r="Q92" s="23">
        <f>'Output_Standalone (IDR)'!Q116/USD_IDR*Thousands</f>
        <v>-1.0919681694329801</v>
      </c>
      <c r="R92" s="23">
        <f>'Output_Standalone (IDR)'!R116/USD_IDR*Thousands</f>
        <v>-1.1390528368394739</v>
      </c>
      <c r="S92" s="23">
        <f>'Output_Standalone (IDR)'!S116/USD_IDR*Thousands</f>
        <v>-1.1862742126843451</v>
      </c>
      <c r="T92" s="23">
        <f>'Output_Standalone (IDR)'!T116/USD_IDR*Thousands</f>
        <v>-1.2357840523614583</v>
      </c>
      <c r="U92" s="23">
        <f>'Output_Standalone (IDR)'!U116/USD_IDR*Thousands</f>
        <v>-1.2877010692352497</v>
      </c>
      <c r="V92" s="23">
        <f>'Output_Standalone (IDR)'!V116/USD_IDR*Thousands</f>
        <v>-1.3421504811123059</v>
      </c>
    </row>
    <row r="93" spans="1:22">
      <c r="B93" s="28" t="s">
        <v>1017</v>
      </c>
      <c r="C93" s="28"/>
      <c r="D93" s="28"/>
      <c r="E93" s="28"/>
      <c r="F93" s="28"/>
      <c r="G93" s="28"/>
      <c r="H93" s="235"/>
      <c r="I93" s="49">
        <f>SUM(J93:V93)</f>
        <v>42.417640216274087</v>
      </c>
      <c r="J93" s="47">
        <f t="shared" ref="J93:V93" si="37">SUM(J91:J92)</f>
        <v>1.5515680573479447</v>
      </c>
      <c r="K93" s="47">
        <f t="shared" si="37"/>
        <v>1.9944055864790691</v>
      </c>
      <c r="L93" s="47">
        <f t="shared" si="37"/>
        <v>2.0438810167078687</v>
      </c>
      <c r="M93" s="47">
        <f t="shared" si="37"/>
        <v>2.7015105433804445</v>
      </c>
      <c r="N93" s="47">
        <f t="shared" si="37"/>
        <v>2.7730838589073059</v>
      </c>
      <c r="O93" s="47">
        <f t="shared" si="37"/>
        <v>3.2293138369205225</v>
      </c>
      <c r="P93" s="47">
        <f t="shared" si="37"/>
        <v>3.3154243974415589</v>
      </c>
      <c r="Q93" s="47">
        <f t="shared" si="37"/>
        <v>3.6731015077813831</v>
      </c>
      <c r="R93" s="47">
        <f t="shared" si="37"/>
        <v>3.7689689306913214</v>
      </c>
      <c r="S93" s="47">
        <f t="shared" si="37"/>
        <v>4.1723039531057786</v>
      </c>
      <c r="T93" s="47">
        <f t="shared" si="37"/>
        <v>4.2835514584023677</v>
      </c>
      <c r="U93" s="47">
        <f t="shared" si="37"/>
        <v>4.3972145068514914</v>
      </c>
      <c r="V93" s="47">
        <f t="shared" si="37"/>
        <v>4.5133125622570374</v>
      </c>
    </row>
    <row r="94" spans="1:22">
      <c r="H94" s="21"/>
    </row>
    <row r="95" spans="1:22">
      <c r="B95" t="s">
        <v>852</v>
      </c>
      <c r="H95" s="21">
        <f>J95/J91</f>
        <v>-0.23676024766467199</v>
      </c>
      <c r="I95" s="48">
        <f>SUM(J95:V95)</f>
        <v>-8.9201677092930467</v>
      </c>
      <c r="J95" s="23">
        <f>'Output_Standalone (IDR)'!J119/USD_IDR*Thousands</f>
        <v>-0.56272168360350339</v>
      </c>
      <c r="K95" s="23">
        <f>'Output_Standalone (IDR)'!K119/USD_IDR*Thousands</f>
        <v>-0.58093127700191249</v>
      </c>
      <c r="L95" s="23">
        <f>'Output_Standalone (IDR)'!L119/USD_IDR*Thousands</f>
        <v>-0.5997341124143688</v>
      </c>
      <c r="M95" s="23">
        <f>'Output_Standalone (IDR)'!M119/USD_IDR*Thousands</f>
        <v>-0.61914964002293504</v>
      </c>
      <c r="N95" s="23">
        <f>'Output_Standalone (IDR)'!N119/USD_IDR*Thousands</f>
        <v>-0.63919795155787862</v>
      </c>
      <c r="O95" s="23">
        <f>'Output_Standalone (IDR)'!O119/USD_IDR*Thousands</f>
        <v>-0.65989980157942196</v>
      </c>
      <c r="P95" s="23">
        <f>'Output_Standalone (IDR)'!P119/USD_IDR*Thousands</f>
        <v>-0.68127662946925949</v>
      </c>
      <c r="Q95" s="23">
        <f>'Output_Standalone (IDR)'!Q119/USD_IDR*Thousands</f>
        <v>-0.70335058215562829</v>
      </c>
      <c r="R95" s="23">
        <f>'Output_Standalone (IDR)'!R119/USD_IDR*Thousands</f>
        <v>-0.72614453759652553</v>
      </c>
      <c r="S95" s="23">
        <f>'Output_Standalone (IDR)'!S119/USD_IDR*Thousands</f>
        <v>-0.74968212904649223</v>
      </c>
      <c r="T95" s="23">
        <f>'Output_Standalone (IDR)'!T119/USD_IDR*Thousands</f>
        <v>-0.77398777013323838</v>
      </c>
      <c r="U95" s="23">
        <f>'Output_Standalone (IDR)'!U119/USD_IDR*Thousands</f>
        <v>-0.79908668077127243</v>
      </c>
      <c r="V95" s="23">
        <f>'Output_Standalone (IDR)'!V119/USD_IDR*Thousands</f>
        <v>-0.82500491394060949</v>
      </c>
    </row>
    <row r="96" spans="1:22">
      <c r="B96" s="28" t="s">
        <v>139</v>
      </c>
      <c r="C96" s="28"/>
      <c r="D96" s="28"/>
      <c r="E96" s="28"/>
      <c r="F96" s="28"/>
      <c r="G96" s="28"/>
      <c r="H96" s="235"/>
      <c r="I96" s="49">
        <f>SUM(J96:V96)</f>
        <v>33.497472506981055</v>
      </c>
      <c r="J96" s="47">
        <f t="shared" ref="J96:V96" si="38">SUM(J93,J95)</f>
        <v>0.98884637374444129</v>
      </c>
      <c r="K96" s="47">
        <f t="shared" si="38"/>
        <v>1.4134743094771567</v>
      </c>
      <c r="L96" s="47">
        <f t="shared" si="38"/>
        <v>1.4441469042935</v>
      </c>
      <c r="M96" s="47">
        <f t="shared" si="38"/>
        <v>2.0823609033575092</v>
      </c>
      <c r="N96" s="47">
        <f t="shared" si="38"/>
        <v>2.1338859073494274</v>
      </c>
      <c r="O96" s="47">
        <f t="shared" si="38"/>
        <v>2.5694140353411008</v>
      </c>
      <c r="P96" s="47">
        <f t="shared" si="38"/>
        <v>2.6341477679722995</v>
      </c>
      <c r="Q96" s="47">
        <f t="shared" si="38"/>
        <v>2.969750925625755</v>
      </c>
      <c r="R96" s="47">
        <f t="shared" si="38"/>
        <v>3.0428243930947958</v>
      </c>
      <c r="S96" s="47">
        <f t="shared" si="38"/>
        <v>3.4226218240592865</v>
      </c>
      <c r="T96" s="47">
        <f t="shared" si="38"/>
        <v>3.5095636882691292</v>
      </c>
      <c r="U96" s="47">
        <f t="shared" si="38"/>
        <v>3.5981278260802192</v>
      </c>
      <c r="V96" s="47">
        <f t="shared" si="38"/>
        <v>3.6883076483164281</v>
      </c>
    </row>
    <row r="97" spans="2:22">
      <c r="H97" s="21"/>
    </row>
    <row r="98" spans="2:22">
      <c r="B98" t="s">
        <v>1018</v>
      </c>
      <c r="H98" s="21">
        <f>J98/J91</f>
        <v>-1.0595185468721837</v>
      </c>
      <c r="I98" s="49">
        <f>SUM(J98:V98)</f>
        <v>-34.225796847768443</v>
      </c>
      <c r="J98" s="23">
        <f>'Output_Standalone (IDR)'!J122/USD_IDR*Thousands</f>
        <v>-2.5182186046260684</v>
      </c>
      <c r="K98" s="23">
        <f>'Output_Standalone (IDR)'!K122/USD_IDR*Thousands</f>
        <v>-2.5183780251553194</v>
      </c>
      <c r="L98" s="23">
        <f>'Output_Standalone (IDR)'!L122/USD_IDR*Thousands</f>
        <v>-2.5800223432866698</v>
      </c>
      <c r="M98" s="23">
        <f>'Output_Standalone (IDR)'!M122/USD_IDR*Thousands</f>
        <v>-2.5801882044053017</v>
      </c>
      <c r="N98" s="23">
        <f>'Output_Standalone (IDR)'!N122/USD_IDR*Thousands</f>
        <v>-2.5803573827463069</v>
      </c>
      <c r="O98" s="23">
        <f>'Output_Standalone (IDR)'!O122/USD_IDR*Thousands</f>
        <v>-2.6420116538456475</v>
      </c>
      <c r="P98" s="23">
        <f>'Output_Standalone (IDR)'!P122/USD_IDR*Thousands</f>
        <v>-2.6421876669916293</v>
      </c>
      <c r="Q98" s="23">
        <f>'Output_Standalone (IDR)'!Q122/USD_IDR*Thousands</f>
        <v>-2.6423672004005305</v>
      </c>
      <c r="R98" s="23">
        <f>'Output_Standalone (IDR)'!R122/USD_IDR*Thousands</f>
        <v>-2.704032033669125</v>
      </c>
      <c r="S98" s="23">
        <f>'Output_Standalone (IDR)'!S122/USD_IDR*Thousands</f>
        <v>-2.7042188202277457</v>
      </c>
      <c r="T98" s="23">
        <f>'Output_Standalone (IDR)'!T122/USD_IDR*Thousands</f>
        <v>-2.7044093425175393</v>
      </c>
      <c r="U98" s="23">
        <f>'Output_Standalone (IDR)'!U122/USD_IDR*Thousands</f>
        <v>-2.7046036752531282</v>
      </c>
      <c r="V98" s="23">
        <f>'Output_Standalone (IDR)'!V122/USD_IDR*Thousands</f>
        <v>-2.7048018946434289</v>
      </c>
    </row>
    <row r="99" spans="2:22">
      <c r="B99" s="28" t="s">
        <v>434</v>
      </c>
      <c r="C99" s="28"/>
      <c r="D99" s="28"/>
      <c r="E99" s="28"/>
      <c r="F99" s="28"/>
      <c r="G99" s="28"/>
      <c r="H99" s="28"/>
      <c r="I99" s="49">
        <f>SUM(J99:V99)</f>
        <v>-0.72832434078739272</v>
      </c>
      <c r="J99" s="47">
        <f t="shared" ref="J99:V99" si="39">SUM(J96,J98)</f>
        <v>-1.5293722308816271</v>
      </c>
      <c r="K99" s="47">
        <f t="shared" si="39"/>
        <v>-1.1049037156781627</v>
      </c>
      <c r="L99" s="47">
        <f t="shared" si="39"/>
        <v>-1.1358754389931698</v>
      </c>
      <c r="M99" s="47">
        <f t="shared" si="39"/>
        <v>-0.49782730104779249</v>
      </c>
      <c r="N99" s="47">
        <f t="shared" si="39"/>
        <v>-0.44647147539687948</v>
      </c>
      <c r="O99" s="47">
        <f t="shared" si="39"/>
        <v>-7.2597618504546713E-2</v>
      </c>
      <c r="P99" s="47">
        <f t="shared" si="39"/>
        <v>-8.039899019329777E-3</v>
      </c>
      <c r="Q99" s="47">
        <f t="shared" si="39"/>
        <v>0.32738372522522452</v>
      </c>
      <c r="R99" s="47">
        <f t="shared" si="39"/>
        <v>0.33879235942567076</v>
      </c>
      <c r="S99" s="47">
        <f t="shared" si="39"/>
        <v>0.71840300383154077</v>
      </c>
      <c r="T99" s="47">
        <f t="shared" si="39"/>
        <v>0.80515434575158995</v>
      </c>
      <c r="U99" s="47">
        <f t="shared" si="39"/>
        <v>0.89352415082709102</v>
      </c>
      <c r="V99" s="47">
        <f t="shared" si="39"/>
        <v>0.98350575367299919</v>
      </c>
    </row>
    <row r="100" spans="2:22"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</row>
    <row r="101" spans="2:22">
      <c r="B101" t="s">
        <v>881</v>
      </c>
      <c r="I101" s="48">
        <f>SUM(J101:V101)</f>
        <v>-0.45576864287922869</v>
      </c>
      <c r="J101" s="23">
        <f>'Output_Standalone (IDR)'!J125/USD_IDR*Thousands</f>
        <v>-0.3363606220510913</v>
      </c>
      <c r="K101" s="23">
        <f>'Output_Standalone (IDR)'!K125/USD_IDR*Thousands</f>
        <v>-0.11940802082813741</v>
      </c>
      <c r="L101" s="23">
        <f>'Output_Standalone (IDR)'!L125/USD_IDR*Thousands</f>
        <v>0</v>
      </c>
      <c r="M101" s="23">
        <f>'Output_Standalone (IDR)'!M125/USD_IDR*Thousands</f>
        <v>0</v>
      </c>
      <c r="N101" s="23">
        <f>'Output_Standalone (IDR)'!N125/USD_IDR*Thousands</f>
        <v>0</v>
      </c>
      <c r="O101" s="23">
        <f>'Output_Standalone (IDR)'!O125/USD_IDR*Thousands</f>
        <v>0</v>
      </c>
      <c r="P101" s="23">
        <f>'Output_Standalone (IDR)'!P125/USD_IDR*Thousands</f>
        <v>0</v>
      </c>
      <c r="Q101" s="23">
        <f>'Output_Standalone (IDR)'!Q125/USD_IDR*Thousands</f>
        <v>0</v>
      </c>
      <c r="R101" s="23">
        <f>'Output_Standalone (IDR)'!R125/USD_IDR*Thousands</f>
        <v>0</v>
      </c>
      <c r="S101" s="23">
        <f>'Output_Standalone (IDR)'!S125/USD_IDR*Thousands</f>
        <v>0</v>
      </c>
      <c r="T101" s="23">
        <f>'Output_Standalone (IDR)'!T125/USD_IDR*Thousands</f>
        <v>0</v>
      </c>
      <c r="U101" s="23">
        <f>'Output_Standalone (IDR)'!U125/USD_IDR*Thousands</f>
        <v>0</v>
      </c>
      <c r="V101" s="23">
        <f>'Output_Standalone (IDR)'!V125/USD_IDR*Thousands</f>
        <v>0</v>
      </c>
    </row>
    <row r="102" spans="2:22">
      <c r="B102" s="28" t="s">
        <v>1019</v>
      </c>
      <c r="C102" s="28"/>
      <c r="D102" s="28"/>
      <c r="E102" s="28"/>
      <c r="F102" s="28"/>
      <c r="G102" s="28"/>
      <c r="H102" s="28"/>
      <c r="I102" s="48">
        <f>SUM(J102:V102)</f>
        <v>-1.1840929836666207</v>
      </c>
      <c r="J102" s="47">
        <f t="shared" ref="J102:V102" si="40">SUM(J99,J101)</f>
        <v>-1.8657328529327184</v>
      </c>
      <c r="K102" s="47">
        <f t="shared" si="40"/>
        <v>-1.2243117365063001</v>
      </c>
      <c r="L102" s="47">
        <f t="shared" si="40"/>
        <v>-1.1358754389931698</v>
      </c>
      <c r="M102" s="47">
        <f t="shared" si="40"/>
        <v>-0.49782730104779249</v>
      </c>
      <c r="N102" s="47">
        <f t="shared" si="40"/>
        <v>-0.44647147539687948</v>
      </c>
      <c r="O102" s="47">
        <f t="shared" si="40"/>
        <v>-7.2597618504546713E-2</v>
      </c>
      <c r="P102" s="47">
        <f t="shared" si="40"/>
        <v>-8.039899019329777E-3</v>
      </c>
      <c r="Q102" s="47">
        <f t="shared" si="40"/>
        <v>0.32738372522522452</v>
      </c>
      <c r="R102" s="47">
        <f t="shared" si="40"/>
        <v>0.33879235942567076</v>
      </c>
      <c r="S102" s="47">
        <f t="shared" si="40"/>
        <v>0.71840300383154077</v>
      </c>
      <c r="T102" s="47">
        <f t="shared" si="40"/>
        <v>0.80515434575158995</v>
      </c>
      <c r="U102" s="47">
        <f t="shared" si="40"/>
        <v>0.89352415082709102</v>
      </c>
      <c r="V102" s="47">
        <f t="shared" si="40"/>
        <v>0.98350575367299919</v>
      </c>
    </row>
    <row r="103" spans="2:22"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</row>
    <row r="104" spans="2:22">
      <c r="B104" t="s">
        <v>759</v>
      </c>
      <c r="I104" s="48">
        <f>SUM(J104:V104)</f>
        <v>-0.89468793452150552</v>
      </c>
      <c r="J104" s="23">
        <f>-IF(J102&lt;0,0,J102*22%)</f>
        <v>0</v>
      </c>
      <c r="K104" s="23">
        <f t="shared" ref="K104:V104" si="41">-IF(K102&lt;0,0,K102*22%)</f>
        <v>0</v>
      </c>
      <c r="L104" s="23">
        <f t="shared" si="41"/>
        <v>0</v>
      </c>
      <c r="M104" s="23">
        <f t="shared" si="41"/>
        <v>0</v>
      </c>
      <c r="N104" s="23">
        <f t="shared" si="41"/>
        <v>0</v>
      </c>
      <c r="O104" s="23">
        <f t="shared" si="41"/>
        <v>0</v>
      </c>
      <c r="P104" s="23">
        <f t="shared" si="41"/>
        <v>0</v>
      </c>
      <c r="Q104" s="23">
        <f t="shared" si="41"/>
        <v>-7.2024419549549398E-2</v>
      </c>
      <c r="R104" s="23">
        <f t="shared" si="41"/>
        <v>-7.4534319073647562E-2</v>
      </c>
      <c r="S104" s="23">
        <f t="shared" si="41"/>
        <v>-0.15804866084293898</v>
      </c>
      <c r="T104" s="23">
        <f t="shared" si="41"/>
        <v>-0.17713395606534979</v>
      </c>
      <c r="U104" s="23">
        <f t="shared" si="41"/>
        <v>-0.19657531318196003</v>
      </c>
      <c r="V104" s="23">
        <f t="shared" si="41"/>
        <v>-0.21637126580805982</v>
      </c>
    </row>
    <row r="105" spans="2:22">
      <c r="B105" s="28" t="s">
        <v>1020</v>
      </c>
      <c r="C105" s="28"/>
      <c r="D105" s="28"/>
      <c r="E105" s="28"/>
      <c r="F105" s="28"/>
      <c r="G105" s="28"/>
      <c r="H105" s="28"/>
      <c r="I105" s="48">
        <f>SUM(J105:V105)</f>
        <v>-2.0787809181881274</v>
      </c>
      <c r="J105" s="47">
        <f t="shared" ref="J105:V105" si="42">SUM(J102,J104)</f>
        <v>-1.8657328529327184</v>
      </c>
      <c r="K105" s="47">
        <f t="shared" si="42"/>
        <v>-1.2243117365063001</v>
      </c>
      <c r="L105" s="47">
        <f t="shared" si="42"/>
        <v>-1.1358754389931698</v>
      </c>
      <c r="M105" s="47">
        <f t="shared" si="42"/>
        <v>-0.49782730104779249</v>
      </c>
      <c r="N105" s="47">
        <f t="shared" si="42"/>
        <v>-0.44647147539687948</v>
      </c>
      <c r="O105" s="47">
        <f t="shared" si="42"/>
        <v>-7.2597618504546713E-2</v>
      </c>
      <c r="P105" s="47">
        <f t="shared" si="42"/>
        <v>-8.039899019329777E-3</v>
      </c>
      <c r="Q105" s="47">
        <f t="shared" si="42"/>
        <v>0.25535930567567511</v>
      </c>
      <c r="R105" s="47">
        <f t="shared" si="42"/>
        <v>0.26425804035202322</v>
      </c>
      <c r="S105" s="47">
        <f t="shared" si="42"/>
        <v>0.56035434298860176</v>
      </c>
      <c r="T105" s="47">
        <f t="shared" si="42"/>
        <v>0.62802038968624019</v>
      </c>
      <c r="U105" s="47">
        <f t="shared" si="42"/>
        <v>0.69694883764513094</v>
      </c>
      <c r="V105" s="47">
        <f t="shared" si="42"/>
        <v>0.76713448786493932</v>
      </c>
    </row>
    <row r="107" spans="2:22">
      <c r="B107" s="407" t="s">
        <v>32</v>
      </c>
      <c r="C107" s="407"/>
      <c r="D107" s="407"/>
      <c r="E107" s="407"/>
      <c r="F107" s="407"/>
      <c r="G107" s="407"/>
      <c r="H107" s="407"/>
      <c r="I107" s="407"/>
      <c r="J107" s="9">
        <f>J$8</f>
        <v>2024</v>
      </c>
      <c r="K107" s="9">
        <f t="shared" ref="K107:V107" si="43">K$8</f>
        <v>2025</v>
      </c>
      <c r="L107" s="9">
        <f t="shared" si="43"/>
        <v>2026</v>
      </c>
      <c r="M107" s="9">
        <f t="shared" si="43"/>
        <v>2027</v>
      </c>
      <c r="N107" s="9">
        <f t="shared" si="43"/>
        <v>2028</v>
      </c>
      <c r="O107" s="9">
        <f t="shared" si="43"/>
        <v>2029</v>
      </c>
      <c r="P107" s="9">
        <f t="shared" si="43"/>
        <v>2030</v>
      </c>
      <c r="Q107" s="9">
        <f t="shared" si="43"/>
        <v>2031</v>
      </c>
      <c r="R107" s="9">
        <f t="shared" si="43"/>
        <v>2032</v>
      </c>
      <c r="S107" s="9">
        <f t="shared" si="43"/>
        <v>2033</v>
      </c>
      <c r="T107" s="9">
        <f t="shared" si="43"/>
        <v>2034</v>
      </c>
      <c r="U107" s="9">
        <f t="shared" si="43"/>
        <v>2035</v>
      </c>
      <c r="V107" s="9">
        <f t="shared" si="43"/>
        <v>2036</v>
      </c>
    </row>
    <row r="108" spans="2:22">
      <c r="B108" s="55" t="s">
        <v>1021</v>
      </c>
      <c r="C108" s="51"/>
      <c r="D108" s="51"/>
      <c r="E108" s="51"/>
      <c r="F108" s="51"/>
      <c r="G108" s="51"/>
      <c r="H108" s="51"/>
      <c r="I108" s="51"/>
      <c r="J108" s="56">
        <f>IFERROR(J93/J91,0)</f>
        <v>0.65280874761017704</v>
      </c>
      <c r="K108" s="56">
        <f t="shared" ref="K108:V108" si="44">IFERROR(K93/K91,0)</f>
        <v>0.69927398445413003</v>
      </c>
      <c r="L108" s="56">
        <f t="shared" si="44"/>
        <v>0.69574849331309352</v>
      </c>
      <c r="M108" s="56">
        <f t="shared" si="44"/>
        <v>0.74402042934189705</v>
      </c>
      <c r="N108" s="56">
        <f t="shared" si="44"/>
        <v>0.74148773550271041</v>
      </c>
      <c r="O108" s="56">
        <f t="shared" si="44"/>
        <v>0.76211640932128</v>
      </c>
      <c r="P108" s="56">
        <f t="shared" si="44"/>
        <v>0.75964898780720458</v>
      </c>
      <c r="Q108" s="56">
        <f t="shared" si="44"/>
        <v>0.77083899220727881</v>
      </c>
      <c r="R108" s="56">
        <f t="shared" si="44"/>
        <v>0.76792017419830505</v>
      </c>
      <c r="S108" s="56">
        <f t="shared" si="44"/>
        <v>0.77862145965180141</v>
      </c>
      <c r="T108" s="56">
        <f t="shared" si="44"/>
        <v>0.77609912462262387</v>
      </c>
      <c r="U108" s="56">
        <f t="shared" si="44"/>
        <v>0.77348809283080866</v>
      </c>
      <c r="V108" s="56">
        <f t="shared" si="44"/>
        <v>0.77078661906471413</v>
      </c>
    </row>
    <row r="109" spans="2:22">
      <c r="B109" s="55" t="s">
        <v>1022</v>
      </c>
      <c r="C109" s="51"/>
      <c r="D109" s="51"/>
      <c r="E109" s="51"/>
      <c r="F109" s="51"/>
      <c r="G109" s="51"/>
      <c r="H109" s="51"/>
      <c r="I109" s="51"/>
      <c r="J109" s="56">
        <f>IFERROR(J96/J91,0)</f>
        <v>0.41604849994550508</v>
      </c>
      <c r="K109" s="56">
        <f t="shared" ref="K109:V109" si="45">IFERROR(K96/K91,0)</f>
        <v>0.49558917153685705</v>
      </c>
      <c r="L109" s="56">
        <f t="shared" si="45"/>
        <v>0.49159565775671638</v>
      </c>
      <c r="M109" s="56">
        <f t="shared" si="45"/>
        <v>0.57350102044101081</v>
      </c>
      <c r="N109" s="56">
        <f t="shared" si="45"/>
        <v>0.57057424505191001</v>
      </c>
      <c r="O109" s="56">
        <f t="shared" si="45"/>
        <v>0.6063803945859888</v>
      </c>
      <c r="P109" s="56">
        <f t="shared" si="45"/>
        <v>0.6035509925121243</v>
      </c>
      <c r="Q109" s="56">
        <f t="shared" si="45"/>
        <v>0.62323347333755197</v>
      </c>
      <c r="R109" s="56">
        <f t="shared" si="45"/>
        <v>0.61996962059637073</v>
      </c>
      <c r="S109" s="56">
        <f t="shared" si="45"/>
        <v>0.63871827902217793</v>
      </c>
      <c r="T109" s="56">
        <f t="shared" si="45"/>
        <v>0.63586706795134429</v>
      </c>
      <c r="U109" s="56">
        <f t="shared" si="45"/>
        <v>0.63292546352236601</v>
      </c>
      <c r="V109" s="56">
        <f t="shared" si="45"/>
        <v>0.62989171325964122</v>
      </c>
    </row>
    <row r="110" spans="2:22">
      <c r="B110" s="55" t="s">
        <v>1027</v>
      </c>
      <c r="C110" s="51"/>
      <c r="D110" s="51"/>
      <c r="E110" s="51"/>
      <c r="F110" s="51"/>
      <c r="G110" s="51"/>
      <c r="H110" s="51"/>
      <c r="I110" s="51"/>
      <c r="J110" s="56">
        <f>J99/J91</f>
        <v>-0.64347004692667864</v>
      </c>
      <c r="K110" s="56">
        <f t="shared" ref="K110:V110" si="46">K99/K91</f>
        <v>-0.38739884652271084</v>
      </c>
      <c r="L110" s="56">
        <f t="shared" si="46"/>
        <v>-0.38665833226621799</v>
      </c>
      <c r="M110" s="56">
        <f t="shared" si="46"/>
        <v>-0.13710613981177239</v>
      </c>
      <c r="N110" s="56">
        <f t="shared" si="46"/>
        <v>-0.11938085543112029</v>
      </c>
      <c r="O110" s="56">
        <f t="shared" si="46"/>
        <v>-1.7133000734521963E-2</v>
      </c>
      <c r="P110" s="56">
        <f t="shared" si="46"/>
        <v>-1.8421476167030163E-3</v>
      </c>
      <c r="Q110" s="56">
        <f t="shared" si="46"/>
        <v>6.8704918794935954E-2</v>
      </c>
      <c r="R110" s="56">
        <f t="shared" si="46"/>
        <v>6.9028291941768585E-2</v>
      </c>
      <c r="S110" s="56">
        <f t="shared" si="46"/>
        <v>0.13406597451874849</v>
      </c>
      <c r="T110" s="56">
        <f t="shared" si="46"/>
        <v>0.14587885519577046</v>
      </c>
      <c r="U110" s="56">
        <f t="shared" si="46"/>
        <v>0.15717456818279715</v>
      </c>
      <c r="V110" s="56">
        <f t="shared" si="46"/>
        <v>0.16796378807081866</v>
      </c>
    </row>
    <row r="111" spans="2:22">
      <c r="B111" s="55" t="s">
        <v>990</v>
      </c>
      <c r="C111" s="51"/>
      <c r="D111" s="51"/>
      <c r="E111" s="51"/>
      <c r="F111" s="51"/>
      <c r="G111" s="51"/>
      <c r="H111" s="51"/>
      <c r="I111" s="51"/>
      <c r="J111" s="52">
        <f>IFERROR(J105/J91,0)</f>
        <v>-0.78499084930893059</v>
      </c>
      <c r="K111" s="52">
        <f t="shared" ref="K111:V111" si="47">IFERROR(K105/K91,0)</f>
        <v>-0.42926541722746037</v>
      </c>
      <c r="L111" s="52">
        <f t="shared" si="47"/>
        <v>-0.38665833226621799</v>
      </c>
      <c r="M111" s="52">
        <f t="shared" si="47"/>
        <v>-0.13710613981177239</v>
      </c>
      <c r="N111" s="52">
        <f t="shared" si="47"/>
        <v>-0.11938085543112029</v>
      </c>
      <c r="O111" s="52">
        <f t="shared" si="47"/>
        <v>-1.7133000734521963E-2</v>
      </c>
      <c r="P111" s="52">
        <f t="shared" si="47"/>
        <v>-1.8421476167030163E-3</v>
      </c>
      <c r="Q111" s="52">
        <f t="shared" si="47"/>
        <v>5.3589836660050044E-2</v>
      </c>
      <c r="R111" s="52">
        <f t="shared" si="47"/>
        <v>5.3842067714579493E-2</v>
      </c>
      <c r="S111" s="52">
        <f t="shared" si="47"/>
        <v>0.10457146012462382</v>
      </c>
      <c r="T111" s="52">
        <f t="shared" si="47"/>
        <v>0.11378550705270096</v>
      </c>
      <c r="U111" s="52">
        <f t="shared" si="47"/>
        <v>0.12259616318258176</v>
      </c>
      <c r="V111" s="52">
        <f t="shared" si="47"/>
        <v>0.13101175469523854</v>
      </c>
    </row>
    <row r="113" spans="2:22" ht="24" thickBot="1">
      <c r="B113" s="14" t="s">
        <v>1028</v>
      </c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</row>
    <row r="114" spans="2:22">
      <c r="B114" s="2" t="s">
        <v>29</v>
      </c>
      <c r="F114" s="6">
        <f>Output_FSL!$F$32</f>
        <v>1</v>
      </c>
    </row>
    <row r="115" spans="2:22">
      <c r="B115" s="407" t="s">
        <v>623</v>
      </c>
      <c r="I115" s="48">
        <f>SUM(J115:V115)</f>
        <v>116.45266451442619</v>
      </c>
      <c r="J115" s="23">
        <f>'Output_Standalone (IDR)'!J139/USD_IDR*Thousands</f>
        <v>0</v>
      </c>
      <c r="K115" s="458">
        <f>'Output_Standalone (IDR)'!K139/USD_IDR*Thousands</f>
        <v>6.1673660680105753</v>
      </c>
      <c r="L115" s="23">
        <f>'Output_Standalone (IDR)'!L139/USD_IDR*Thousands</f>
        <v>6.3523870500508925</v>
      </c>
      <c r="M115" s="23">
        <f>'Output_Standalone (IDR)'!M139/USD_IDR*Thousands</f>
        <v>7.8515503938629045</v>
      </c>
      <c r="N115" s="23">
        <f>'Output_Standalone (IDR)'!N139/USD_IDR*Thousands</f>
        <v>8.0870969056787914</v>
      </c>
      <c r="O115" s="23">
        <f>'Output_Standalone (IDR)'!O139/USD_IDR*Thousands</f>
        <v>9.1626807941340687</v>
      </c>
      <c r="P115" s="23">
        <f>'Output_Standalone (IDR)'!P139/USD_IDR*Thousands</f>
        <v>9.4375612179580894</v>
      </c>
      <c r="Q115" s="23">
        <f>'Output_Standalone (IDR)'!Q139/USD_IDR*Thousands</f>
        <v>10.303929337766649</v>
      </c>
      <c r="R115" s="23">
        <f>'Output_Standalone (IDR)'!R139/USD_IDR*Thousands</f>
        <v>10.613047217899645</v>
      </c>
      <c r="S115" s="23">
        <f>'Output_Standalone (IDR)'!S139/USD_IDR*Thousands</f>
        <v>11.587324952502833</v>
      </c>
      <c r="T115" s="23">
        <f>'Output_Standalone (IDR)'!T139/USD_IDR*Thousands</f>
        <v>11.934944701077921</v>
      </c>
      <c r="U115" s="23">
        <f>'Output_Standalone (IDR)'!U139/USD_IDR*Thousands</f>
        <v>12.292993042110256</v>
      </c>
      <c r="V115" s="23">
        <f>'Output_Standalone (IDR)'!V139/USD_IDR*Thousands</f>
        <v>12.661782833373564</v>
      </c>
    </row>
    <row r="116" spans="2:22">
      <c r="B116" s="407" t="s">
        <v>473</v>
      </c>
      <c r="H116" s="21">
        <f>K116/K115</f>
        <v>-9.4853286575082754E-2</v>
      </c>
      <c r="I116" s="48">
        <f>SUM(J116:V116)</f>
        <v>-9.6034762664200599</v>
      </c>
      <c r="J116" s="23">
        <f>'Output_Standalone (IDR)'!J140/USD_IDR*Thousands</f>
        <v>0</v>
      </c>
      <c r="K116" s="23">
        <f>'Output_Standalone (IDR)'!K140/USD_IDR*Thousands</f>
        <v>-0.58499494106244843</v>
      </c>
      <c r="L116" s="23">
        <f>'Output_Standalone (IDR)'!L140/USD_IDR*Thousands</f>
        <v>-0.61672353297315141</v>
      </c>
      <c r="M116" s="23">
        <f>'Output_Standalone (IDR)'!M140/USD_IDR*Thousands</f>
        <v>-0.65038439613121646</v>
      </c>
      <c r="N116" s="23">
        <f>'Output_Standalone (IDR)'!N140/USD_IDR*Thousands</f>
        <v>-0.68609520585560746</v>
      </c>
      <c r="O116" s="23">
        <f>'Output_Standalone (IDR)'!O140/USD_IDR*Thousands</f>
        <v>-0.72398080389221398</v>
      </c>
      <c r="P116" s="23">
        <f>'Output_Standalone (IDR)'!P140/USD_IDR*Thousands</f>
        <v>-0.76417363484924983</v>
      </c>
      <c r="Q116" s="23">
        <f>'Output_Standalone (IDR)'!Q140/USD_IDR*Thousands</f>
        <v>-0.80681420921156932</v>
      </c>
      <c r="R116" s="23">
        <f>'Output_Standalone (IDR)'!R140/USD_IDR*Thousands</f>
        <v>-0.85205159455255397</v>
      </c>
      <c r="S116" s="23">
        <f>'Output_Standalone (IDR)'!S140/USD_IDR*Thousands</f>
        <v>-0.90004393666080451</v>
      </c>
      <c r="T116" s="23">
        <f>'Output_Standalone (IDR)'!T140/USD_IDR*Thousands</f>
        <v>-0.9509590124034476</v>
      </c>
      <c r="U116" s="23">
        <f>'Output_Standalone (IDR)'!U140/USD_IDR*Thousands</f>
        <v>-1.0049748162588172</v>
      </c>
      <c r="V116" s="23">
        <f>'Output_Standalone (IDR)'!V140/USD_IDR*Thousands</f>
        <v>-1.0622801825689796</v>
      </c>
    </row>
    <row r="117" spans="2:22">
      <c r="B117" s="28" t="s">
        <v>1017</v>
      </c>
      <c r="C117" s="28"/>
      <c r="D117" s="28"/>
      <c r="E117" s="28"/>
      <c r="F117" s="28"/>
      <c r="G117" s="28"/>
      <c r="H117" s="28"/>
      <c r="I117" s="49">
        <f>SUM(J117:V117)</f>
        <v>106.84918824800612</v>
      </c>
      <c r="J117" s="47">
        <f t="shared" ref="J117:V117" si="48">SUM(J115:J116)</f>
        <v>0</v>
      </c>
      <c r="K117" s="47">
        <f t="shared" si="48"/>
        <v>5.5823711269481269</v>
      </c>
      <c r="L117" s="47">
        <f t="shared" si="48"/>
        <v>5.7356635170777412</v>
      </c>
      <c r="M117" s="47">
        <f t="shared" si="48"/>
        <v>7.201165997731688</v>
      </c>
      <c r="N117" s="47">
        <f t="shared" si="48"/>
        <v>7.4010016998231842</v>
      </c>
      <c r="O117" s="47">
        <f t="shared" si="48"/>
        <v>8.4386999902418545</v>
      </c>
      <c r="P117" s="47">
        <f t="shared" si="48"/>
        <v>8.6733875831088394</v>
      </c>
      <c r="Q117" s="47">
        <f t="shared" si="48"/>
        <v>9.4971151285550786</v>
      </c>
      <c r="R117" s="47">
        <f t="shared" si="48"/>
        <v>9.7609956233470907</v>
      </c>
      <c r="S117" s="47">
        <f t="shared" si="48"/>
        <v>10.687281015842029</v>
      </c>
      <c r="T117" s="47">
        <f t="shared" si="48"/>
        <v>10.983985688674473</v>
      </c>
      <c r="U117" s="47">
        <f t="shared" si="48"/>
        <v>11.288018225851438</v>
      </c>
      <c r="V117" s="47">
        <f t="shared" si="48"/>
        <v>11.599502650804585</v>
      </c>
    </row>
    <row r="119" spans="2:22">
      <c r="B119" t="s">
        <v>852</v>
      </c>
      <c r="H119" t="e">
        <f>J119/J115</f>
        <v>#DIV/0!</v>
      </c>
      <c r="I119" s="48">
        <f>SUM(J119:V119)</f>
        <v>0</v>
      </c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</row>
    <row r="120" spans="2:22">
      <c r="B120" s="28" t="s">
        <v>139</v>
      </c>
      <c r="C120" s="28"/>
      <c r="D120" s="28"/>
      <c r="E120" s="28"/>
      <c r="F120" s="28"/>
      <c r="G120" s="28"/>
      <c r="H120" s="28"/>
      <c r="I120" s="49">
        <f>SUM(J120:V120)</f>
        <v>106.84918824800612</v>
      </c>
      <c r="J120" s="47">
        <f t="shared" ref="J120:V120" si="49">SUM(J117,J119)</f>
        <v>0</v>
      </c>
      <c r="K120" s="47">
        <f t="shared" si="49"/>
        <v>5.5823711269481269</v>
      </c>
      <c r="L120" s="47">
        <f t="shared" si="49"/>
        <v>5.7356635170777412</v>
      </c>
      <c r="M120" s="47">
        <f t="shared" si="49"/>
        <v>7.201165997731688</v>
      </c>
      <c r="N120" s="47">
        <f t="shared" si="49"/>
        <v>7.4010016998231842</v>
      </c>
      <c r="O120" s="47">
        <f t="shared" si="49"/>
        <v>8.4386999902418545</v>
      </c>
      <c r="P120" s="47">
        <f t="shared" si="49"/>
        <v>8.6733875831088394</v>
      </c>
      <c r="Q120" s="47">
        <f t="shared" si="49"/>
        <v>9.4971151285550786</v>
      </c>
      <c r="R120" s="47">
        <f t="shared" si="49"/>
        <v>9.7609956233470907</v>
      </c>
      <c r="S120" s="47">
        <f t="shared" si="49"/>
        <v>10.687281015842029</v>
      </c>
      <c r="T120" s="47">
        <f t="shared" si="49"/>
        <v>10.983985688674473</v>
      </c>
      <c r="U120" s="47">
        <f t="shared" si="49"/>
        <v>11.288018225851438</v>
      </c>
      <c r="V120" s="47">
        <f t="shared" si="49"/>
        <v>11.599502650804585</v>
      </c>
    </row>
    <row r="122" spans="2:22">
      <c r="B122" t="s">
        <v>1018</v>
      </c>
      <c r="H122" s="21">
        <f>K122/K115</f>
        <v>-0.17743140165574961</v>
      </c>
      <c r="I122" s="49">
        <f>SUM(J122:V122)</f>
        <v>-13.13141287165471</v>
      </c>
      <c r="J122" s="23">
        <f>'Output_Standalone (IDR)'!J146/USD_IDR*Thousands</f>
        <v>0</v>
      </c>
      <c r="K122" s="23">
        <f>'Output_Standalone (IDR)'!K146/USD_IDR*Thousands</f>
        <v>-1.0942844059712256</v>
      </c>
      <c r="L122" s="23">
        <f>'Output_Standalone (IDR)'!L146/USD_IDR*Thousands</f>
        <v>-1.0942844059712256</v>
      </c>
      <c r="M122" s="23">
        <f>'Output_Standalone (IDR)'!M146/USD_IDR*Thousands</f>
        <v>-1.0942844059712256</v>
      </c>
      <c r="N122" s="23">
        <f>'Output_Standalone (IDR)'!N146/USD_IDR*Thousands</f>
        <v>-1.0942844059712256</v>
      </c>
      <c r="O122" s="23">
        <f>'Output_Standalone (IDR)'!O146/USD_IDR*Thousands</f>
        <v>-1.0942844059712256</v>
      </c>
      <c r="P122" s="23">
        <f>'Output_Standalone (IDR)'!P146/USD_IDR*Thousands</f>
        <v>-1.0942844059712256</v>
      </c>
      <c r="Q122" s="23">
        <f>'Output_Standalone (IDR)'!Q146/USD_IDR*Thousands</f>
        <v>-1.0942844059712256</v>
      </c>
      <c r="R122" s="23">
        <f>'Output_Standalone (IDR)'!R146/USD_IDR*Thousands</f>
        <v>-1.0942844059712256</v>
      </c>
      <c r="S122" s="23">
        <f>'Output_Standalone (IDR)'!S146/USD_IDR*Thousands</f>
        <v>-1.0942844059712256</v>
      </c>
      <c r="T122" s="23">
        <f>'Output_Standalone (IDR)'!T146/USD_IDR*Thousands</f>
        <v>-1.0942844059712256</v>
      </c>
      <c r="U122" s="23">
        <f>'Output_Standalone (IDR)'!U146/USD_IDR*Thousands</f>
        <v>-1.0942844059712256</v>
      </c>
      <c r="V122" s="23">
        <f>'Output_Standalone (IDR)'!V146/USD_IDR*Thousands</f>
        <v>-1.0942844059712256</v>
      </c>
    </row>
    <row r="123" spans="2:22">
      <c r="B123" s="28" t="s">
        <v>434</v>
      </c>
      <c r="C123" s="28"/>
      <c r="D123" s="28"/>
      <c r="E123" s="28"/>
      <c r="F123" s="28"/>
      <c r="G123" s="28"/>
      <c r="H123" s="28"/>
      <c r="I123" s="49">
        <f>SUM(J123:V123)</f>
        <v>93.717775376351412</v>
      </c>
      <c r="J123" s="47">
        <f t="shared" ref="J123:V123" si="50">SUM(J120,J122)</f>
        <v>0</v>
      </c>
      <c r="K123" s="47">
        <f t="shared" si="50"/>
        <v>4.4880867209769013</v>
      </c>
      <c r="L123" s="47">
        <f t="shared" si="50"/>
        <v>4.6413791111065157</v>
      </c>
      <c r="M123" s="47">
        <f t="shared" si="50"/>
        <v>6.1068815917604624</v>
      </c>
      <c r="N123" s="47">
        <f t="shared" si="50"/>
        <v>6.3067172938519587</v>
      </c>
      <c r="O123" s="47">
        <f t="shared" si="50"/>
        <v>7.3444155842706289</v>
      </c>
      <c r="P123" s="47">
        <f t="shared" si="50"/>
        <v>7.5791031771376138</v>
      </c>
      <c r="Q123" s="47">
        <f t="shared" si="50"/>
        <v>8.4028307225838539</v>
      </c>
      <c r="R123" s="47">
        <f t="shared" si="50"/>
        <v>8.666711217375866</v>
      </c>
      <c r="S123" s="47">
        <f t="shared" si="50"/>
        <v>9.5929966098708022</v>
      </c>
      <c r="T123" s="47">
        <f t="shared" si="50"/>
        <v>9.8897012827032462</v>
      </c>
      <c r="U123" s="47">
        <f t="shared" si="50"/>
        <v>10.193733819880212</v>
      </c>
      <c r="V123" s="47">
        <f t="shared" si="50"/>
        <v>10.505218244833358</v>
      </c>
    </row>
    <row r="124" spans="2:22"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</row>
    <row r="125" spans="2:22">
      <c r="B125" t="s">
        <v>881</v>
      </c>
      <c r="I125" s="48">
        <f>SUM(J125:V125)</f>
        <v>-0.81962980135259778</v>
      </c>
      <c r="J125" s="23">
        <f>'Output_Standalone (IDR)'!J149/USD_IDR*Thousands</f>
        <v>0</v>
      </c>
      <c r="K125" s="23">
        <f>'Output_Standalone (IDR)'!K149/USD_IDR*Thousands</f>
        <v>-0.81962980135259778</v>
      </c>
      <c r="L125" s="23">
        <f>'Output_Standalone (IDR)'!L149/USD_IDR*Thousands</f>
        <v>0</v>
      </c>
      <c r="M125" s="23">
        <f>'Output_Standalone (IDR)'!M149/USD_IDR*Thousands</f>
        <v>0</v>
      </c>
      <c r="N125" s="23">
        <f>'Output_Standalone (IDR)'!N149/USD_IDR*Thousands</f>
        <v>0</v>
      </c>
      <c r="O125" s="23">
        <f>'Output_Standalone (IDR)'!O149/USD_IDR*Thousands</f>
        <v>0</v>
      </c>
      <c r="P125" s="23">
        <f>'Output_Standalone (IDR)'!P149/USD_IDR*Thousands</f>
        <v>0</v>
      </c>
      <c r="Q125" s="23">
        <f>'Output_Standalone (IDR)'!Q149/USD_IDR*Thousands</f>
        <v>0</v>
      </c>
      <c r="R125" s="23">
        <f>'Output_Standalone (IDR)'!R149/USD_IDR*Thousands</f>
        <v>0</v>
      </c>
      <c r="S125" s="23">
        <f>'Output_Standalone (IDR)'!S149/USD_IDR*Thousands</f>
        <v>0</v>
      </c>
      <c r="T125" s="23">
        <f>'Output_Standalone (IDR)'!T149/USD_IDR*Thousands</f>
        <v>0</v>
      </c>
      <c r="U125" s="23">
        <f>'Output_Standalone (IDR)'!U149/USD_IDR*Thousands</f>
        <v>0</v>
      </c>
      <c r="V125" s="23">
        <f>'Output_Standalone (IDR)'!V149/USD_IDR*Thousands</f>
        <v>0</v>
      </c>
    </row>
    <row r="126" spans="2:22">
      <c r="B126" s="28" t="s">
        <v>1019</v>
      </c>
      <c r="C126" s="28"/>
      <c r="D126" s="28"/>
      <c r="E126" s="28"/>
      <c r="F126" s="28"/>
      <c r="G126" s="28"/>
      <c r="H126" s="28"/>
      <c r="I126" s="48">
        <f>SUM(J126:V126)</f>
        <v>92.898145574998821</v>
      </c>
      <c r="J126" s="47">
        <f t="shared" ref="J126:V126" si="51">SUM(J123,J125)</f>
        <v>0</v>
      </c>
      <c r="K126" s="47">
        <f t="shared" si="51"/>
        <v>3.6684569196243038</v>
      </c>
      <c r="L126" s="47">
        <f t="shared" si="51"/>
        <v>4.6413791111065157</v>
      </c>
      <c r="M126" s="47">
        <f t="shared" si="51"/>
        <v>6.1068815917604624</v>
      </c>
      <c r="N126" s="47">
        <f t="shared" si="51"/>
        <v>6.3067172938519587</v>
      </c>
      <c r="O126" s="47">
        <f t="shared" si="51"/>
        <v>7.3444155842706289</v>
      </c>
      <c r="P126" s="47">
        <f t="shared" si="51"/>
        <v>7.5791031771376138</v>
      </c>
      <c r="Q126" s="47">
        <f t="shared" si="51"/>
        <v>8.4028307225838539</v>
      </c>
      <c r="R126" s="47">
        <f t="shared" si="51"/>
        <v>8.666711217375866</v>
      </c>
      <c r="S126" s="47">
        <f t="shared" si="51"/>
        <v>9.5929966098708022</v>
      </c>
      <c r="T126" s="47">
        <f t="shared" si="51"/>
        <v>9.8897012827032462</v>
      </c>
      <c r="U126" s="47">
        <f t="shared" si="51"/>
        <v>10.193733819880212</v>
      </c>
      <c r="V126" s="47">
        <f t="shared" si="51"/>
        <v>10.505218244833358</v>
      </c>
    </row>
    <row r="127" spans="2:22"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</row>
    <row r="128" spans="2:22">
      <c r="B128" t="s">
        <v>759</v>
      </c>
      <c r="I128" s="48">
        <f>SUM(J128:V128)</f>
        <v>-20.43759202649974</v>
      </c>
      <c r="J128" s="23">
        <f>-IF(J126&lt;0,0,J126*22%)</f>
        <v>0</v>
      </c>
      <c r="K128" s="23">
        <f t="shared" ref="K128:V128" si="52">-IF(K126&lt;0,0,K126*22%)</f>
        <v>-0.80706052231734682</v>
      </c>
      <c r="L128" s="23">
        <f t="shared" si="52"/>
        <v>-1.0211034044434335</v>
      </c>
      <c r="M128" s="23">
        <f t="shared" si="52"/>
        <v>-1.3435139501873017</v>
      </c>
      <c r="N128" s="23">
        <f t="shared" si="52"/>
        <v>-1.387477804647431</v>
      </c>
      <c r="O128" s="23">
        <f t="shared" si="52"/>
        <v>-1.6157714285395384</v>
      </c>
      <c r="P128" s="23">
        <f t="shared" si="52"/>
        <v>-1.667402698970275</v>
      </c>
      <c r="Q128" s="23">
        <f t="shared" si="52"/>
        <v>-1.8486227589684479</v>
      </c>
      <c r="R128" s="23">
        <f t="shared" si="52"/>
        <v>-1.9066764678226906</v>
      </c>
      <c r="S128" s="23">
        <f t="shared" si="52"/>
        <v>-2.1104592541715763</v>
      </c>
      <c r="T128" s="23">
        <f t="shared" si="52"/>
        <v>-2.1757342821947141</v>
      </c>
      <c r="U128" s="23">
        <f t="shared" si="52"/>
        <v>-2.2426214403736466</v>
      </c>
      <c r="V128" s="23">
        <f t="shared" si="52"/>
        <v>-2.3111480138633387</v>
      </c>
    </row>
    <row r="129" spans="2:22">
      <c r="B129" s="28" t="s">
        <v>1020</v>
      </c>
      <c r="C129" s="28"/>
      <c r="D129" s="28"/>
      <c r="E129" s="28"/>
      <c r="F129" s="28"/>
      <c r="G129" s="28"/>
      <c r="H129" s="28"/>
      <c r="I129" s="48">
        <f>SUM(J129:V129)</f>
        <v>72.460553548499092</v>
      </c>
      <c r="J129" s="47">
        <f t="shared" ref="J129:V129" si="53">SUM(J126,J128)</f>
        <v>0</v>
      </c>
      <c r="K129" s="47">
        <f t="shared" si="53"/>
        <v>2.8613963973069572</v>
      </c>
      <c r="L129" s="47">
        <f t="shared" si="53"/>
        <v>3.6202757066630822</v>
      </c>
      <c r="M129" s="47">
        <f t="shared" si="53"/>
        <v>4.7633676415731605</v>
      </c>
      <c r="N129" s="47">
        <f t="shared" si="53"/>
        <v>4.9192394892045277</v>
      </c>
      <c r="O129" s="47">
        <f t="shared" si="53"/>
        <v>5.7286441557310903</v>
      </c>
      <c r="P129" s="47">
        <f t="shared" si="53"/>
        <v>5.9117004781673383</v>
      </c>
      <c r="Q129" s="47">
        <f t="shared" si="53"/>
        <v>6.554207963615406</v>
      </c>
      <c r="R129" s="47">
        <f t="shared" si="53"/>
        <v>6.7600347495531752</v>
      </c>
      <c r="S129" s="47">
        <f t="shared" si="53"/>
        <v>7.4825373556992254</v>
      </c>
      <c r="T129" s="47">
        <f t="shared" si="53"/>
        <v>7.7139670005085321</v>
      </c>
      <c r="U129" s="47">
        <f t="shared" si="53"/>
        <v>7.951112379506565</v>
      </c>
      <c r="V129" s="47">
        <f t="shared" si="53"/>
        <v>8.19407023097002</v>
      </c>
    </row>
    <row r="131" spans="2:22">
      <c r="B131" s="407" t="s">
        <v>32</v>
      </c>
      <c r="C131" s="407"/>
      <c r="D131" s="407"/>
      <c r="E131" s="407"/>
      <c r="F131" s="407"/>
      <c r="G131" s="407"/>
      <c r="H131" s="407"/>
      <c r="I131" s="407"/>
      <c r="J131" s="9">
        <f>J$8</f>
        <v>2024</v>
      </c>
      <c r="K131" s="9">
        <f t="shared" ref="K131:V131" si="54">K$8</f>
        <v>2025</v>
      </c>
      <c r="L131" s="9">
        <f t="shared" si="54"/>
        <v>2026</v>
      </c>
      <c r="M131" s="9">
        <f t="shared" si="54"/>
        <v>2027</v>
      </c>
      <c r="N131" s="9">
        <f t="shared" si="54"/>
        <v>2028</v>
      </c>
      <c r="O131" s="9">
        <f t="shared" si="54"/>
        <v>2029</v>
      </c>
      <c r="P131" s="9">
        <f t="shared" si="54"/>
        <v>2030</v>
      </c>
      <c r="Q131" s="9">
        <f t="shared" si="54"/>
        <v>2031</v>
      </c>
      <c r="R131" s="9">
        <f t="shared" si="54"/>
        <v>2032</v>
      </c>
      <c r="S131" s="9">
        <f t="shared" si="54"/>
        <v>2033</v>
      </c>
      <c r="T131" s="9">
        <f t="shared" si="54"/>
        <v>2034</v>
      </c>
      <c r="U131" s="9">
        <f t="shared" si="54"/>
        <v>2035</v>
      </c>
      <c r="V131" s="9">
        <f t="shared" si="54"/>
        <v>2036</v>
      </c>
    </row>
    <row r="132" spans="2:22">
      <c r="B132" s="55" t="s">
        <v>1021</v>
      </c>
      <c r="C132" s="51"/>
      <c r="D132" s="51"/>
      <c r="E132" s="51"/>
      <c r="F132" s="51"/>
      <c r="G132" s="51"/>
      <c r="H132" s="51"/>
      <c r="I132" s="51"/>
      <c r="J132" s="56">
        <f>IFERROR(J117/J115,0)</f>
        <v>0</v>
      </c>
      <c r="K132" s="56">
        <f t="shared" ref="K132:V132" si="55">IFERROR(K117/K115,0)</f>
        <v>0.90514671342491726</v>
      </c>
      <c r="L132" s="56">
        <f t="shared" si="55"/>
        <v>0.90291467945609349</v>
      </c>
      <c r="M132" s="56">
        <f t="shared" si="55"/>
        <v>0.91716484471148729</v>
      </c>
      <c r="N132" s="56">
        <f t="shared" si="55"/>
        <v>0.9151617429767871</v>
      </c>
      <c r="O132" s="56">
        <f t="shared" si="55"/>
        <v>0.9209859188420374</v>
      </c>
      <c r="P132" s="56">
        <f t="shared" si="55"/>
        <v>0.9190284844568577</v>
      </c>
      <c r="Q132" s="56">
        <f t="shared" si="55"/>
        <v>0.92169839458677372</v>
      </c>
      <c r="R132" s="56">
        <f t="shared" si="55"/>
        <v>0.91971659250554261</v>
      </c>
      <c r="S132" s="56">
        <f t="shared" si="55"/>
        <v>0.92232513195667332</v>
      </c>
      <c r="T132" s="56">
        <f t="shared" si="55"/>
        <v>0.92032145634344154</v>
      </c>
      <c r="U132" s="56">
        <f t="shared" si="55"/>
        <v>0.91824815870177212</v>
      </c>
      <c r="V132" s="56">
        <f t="shared" si="55"/>
        <v>0.91610342741236628</v>
      </c>
    </row>
    <row r="133" spans="2:22">
      <c r="B133" s="55" t="s">
        <v>1022</v>
      </c>
      <c r="C133" s="51"/>
      <c r="D133" s="51"/>
      <c r="E133" s="51"/>
      <c r="F133" s="51"/>
      <c r="G133" s="51"/>
      <c r="H133" s="51"/>
      <c r="I133" s="51"/>
      <c r="J133" s="56">
        <f>IFERROR(J120/J115,0)</f>
        <v>0</v>
      </c>
      <c r="K133" s="52">
        <f t="shared" ref="K133:T133" si="56">IFERROR(K123/K117,0)</f>
        <v>0.80397498104547038</v>
      </c>
      <c r="L133" s="52">
        <f t="shared" si="56"/>
        <v>0.80921398148391532</v>
      </c>
      <c r="M133" s="52">
        <f t="shared" si="56"/>
        <v>0.8480406636486485</v>
      </c>
      <c r="N133" s="52">
        <f t="shared" si="56"/>
        <v>0.85214374346146027</v>
      </c>
      <c r="O133" s="52">
        <f t="shared" si="56"/>
        <v>0.8703254758153971</v>
      </c>
      <c r="P133" s="52">
        <f t="shared" si="56"/>
        <v>0.87383425501446388</v>
      </c>
      <c r="Q133" s="52">
        <f t="shared" si="56"/>
        <v>0.88477717799997724</v>
      </c>
      <c r="R133" s="52">
        <f t="shared" si="56"/>
        <v>0.88789213229910358</v>
      </c>
      <c r="S133" s="52">
        <f t="shared" si="56"/>
        <v>0.89760871784421681</v>
      </c>
      <c r="T133" s="52">
        <f t="shared" si="56"/>
        <v>0.90037456011076766</v>
      </c>
      <c r="U133" s="52">
        <f>IFERROR(U123/U117,0)</f>
        <v>0.90305788101359252</v>
      </c>
      <c r="V133" s="52">
        <f>IFERROR(V123/V117,0)</f>
        <v>0.90566109264216399</v>
      </c>
    </row>
    <row r="134" spans="2:22">
      <c r="B134" s="55" t="s">
        <v>990</v>
      </c>
      <c r="C134" s="51"/>
      <c r="D134" s="51"/>
      <c r="E134" s="51"/>
      <c r="F134" s="51"/>
      <c r="G134" s="51"/>
      <c r="H134" s="51"/>
      <c r="I134" s="51"/>
      <c r="J134" s="52">
        <f>IFERROR(J129/J115,0)</f>
        <v>0</v>
      </c>
      <c r="K134" s="52">
        <f t="shared" ref="K134:V134" si="57">IFERROR(K129/K115,0)</f>
        <v>0.46395760617302967</v>
      </c>
      <c r="L134" s="52">
        <f t="shared" si="57"/>
        <v>0.56990792250829203</v>
      </c>
      <c r="M134" s="52">
        <f t="shared" si="57"/>
        <v>0.60667860519578465</v>
      </c>
      <c r="N134" s="52">
        <f t="shared" si="57"/>
        <v>0.60828249575570414</v>
      </c>
      <c r="O134" s="52">
        <f t="shared" si="57"/>
        <v>0.62521485626767204</v>
      </c>
      <c r="P134" s="52">
        <f t="shared" si="57"/>
        <v>0.62640128542089535</v>
      </c>
      <c r="Q134" s="52">
        <f t="shared" si="57"/>
        <v>0.6360882095330842</v>
      </c>
      <c r="R134" s="52">
        <f t="shared" si="57"/>
        <v>0.63695511861587728</v>
      </c>
      <c r="S134" s="52">
        <f t="shared" si="57"/>
        <v>0.64575192172227946</v>
      </c>
      <c r="T134" s="52">
        <f t="shared" si="57"/>
        <v>0.64633454060426732</v>
      </c>
      <c r="U134" s="52">
        <f t="shared" si="57"/>
        <v>0.64680036442464717</v>
      </c>
      <c r="V134" s="52">
        <f t="shared" si="57"/>
        <v>0.64714980021394175</v>
      </c>
    </row>
    <row r="136" spans="2:22" ht="24" thickBot="1">
      <c r="B136" s="14" t="s">
        <v>1029</v>
      </c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</row>
    <row r="137" spans="2:22">
      <c r="B137" s="2" t="s">
        <v>29</v>
      </c>
      <c r="F137" s="6">
        <f>Output_FSL!$F$33</f>
        <v>1</v>
      </c>
    </row>
    <row r="138" spans="2:22">
      <c r="B138" s="407" t="s">
        <v>623</v>
      </c>
      <c r="I138" s="48">
        <f>SUM(J138:V138)</f>
        <v>27.485332381708449</v>
      </c>
      <c r="J138" s="23">
        <f>'Output_Standalone (IDR)'!J162/USD_IDR*Thousands</f>
        <v>0</v>
      </c>
      <c r="K138" s="458">
        <f>'Output_Standalone (IDR)'!K162/USD_IDR*Thousands</f>
        <v>1.936673839532739</v>
      </c>
      <c r="L138" s="23">
        <f>'Output_Standalone (IDR)'!L162/USD_IDR*Thousands</f>
        <v>1.9947740547187212</v>
      </c>
      <c r="M138" s="23">
        <f>'Output_Standalone (IDR)'!M162/USD_IDR*Thousands</f>
        <v>2.0546172763602826</v>
      </c>
      <c r="N138" s="23">
        <f>'Output_Standalone (IDR)'!N162/USD_IDR*Thousands</f>
        <v>2.1162557946510914</v>
      </c>
      <c r="O138" s="23">
        <f>'Output_Standalone (IDR)'!O162/USD_IDR*Thousands</f>
        <v>2.1797434684906238</v>
      </c>
      <c r="P138" s="23">
        <f>'Output_Standalone (IDR)'!P162/USD_IDR*Thousands</f>
        <v>2.2451357725453427</v>
      </c>
      <c r="Q138" s="23">
        <f>'Output_Standalone (IDR)'!Q162/USD_IDR*Thousands</f>
        <v>2.3124898457217031</v>
      </c>
      <c r="R138" s="23">
        <f>'Output_Standalone (IDR)'!R162/USD_IDR*Thousands</f>
        <v>2.3818645410933548</v>
      </c>
      <c r="S138" s="23">
        <f>'Output_Standalone (IDR)'!S162/USD_IDR*Thousands</f>
        <v>2.4533204773261552</v>
      </c>
      <c r="T138" s="23">
        <f>'Output_Standalone (IDR)'!T162/USD_IDR*Thousands</f>
        <v>2.5269200916459402</v>
      </c>
      <c r="U138" s="23">
        <f>'Output_Standalone (IDR)'!U162/USD_IDR*Thousands</f>
        <v>2.6027276943953179</v>
      </c>
      <c r="V138" s="23">
        <f>'Output_Standalone (IDR)'!V162/USD_IDR*Thousands</f>
        <v>2.6808095252271777</v>
      </c>
    </row>
    <row r="139" spans="2:22">
      <c r="B139" s="407" t="s">
        <v>473</v>
      </c>
      <c r="H139" s="21">
        <f>L139/L138</f>
        <v>-7.8141916209950896E-2</v>
      </c>
      <c r="I139" s="48">
        <f>SUM(J139:V139)</f>
        <v>-2.3323092971984152</v>
      </c>
      <c r="J139" s="23">
        <f>'Output_Standalone (IDR)'!J163/USD_IDR*Thousands</f>
        <v>0</v>
      </c>
      <c r="K139" s="23">
        <f>'Output_Standalone (IDR)'!K163/USD_IDR*Thousands</f>
        <v>-0.14922374120238882</v>
      </c>
      <c r="L139" s="23">
        <f>'Output_Standalone (IDR)'!L163/USD_IDR*Thousands</f>
        <v>-0.15587546704161431</v>
      </c>
      <c r="M139" s="23">
        <f>'Output_Standalone (IDR)'!M163/USD_IDR*Thousands</f>
        <v>-0.16293228298444867</v>
      </c>
      <c r="N139" s="23">
        <f>'Output_Standalone (IDR)'!N163/USD_IDR*Thousands</f>
        <v>-0.17041885901820158</v>
      </c>
      <c r="O139" s="23">
        <f>'Output_Standalone (IDR)'!O163/USD_IDR*Thousands</f>
        <v>-0.17836136753241003</v>
      </c>
      <c r="P139" s="23">
        <f>'Output_Standalone (IDR)'!P163/USD_IDR*Thousands</f>
        <v>-0.18678757481513383</v>
      </c>
      <c r="Q139" s="23">
        <f>'Output_Standalone (IDR)'!Q163/USD_IDR*Thousands</f>
        <v>-0.19572693812137548</v>
      </c>
      <c r="R139" s="23">
        <f>'Output_Standalone (IDR)'!R163/USD_IDR*Thousands</f>
        <v>-0.20521070865296728</v>
      </c>
      <c r="S139" s="23">
        <f>'Output_Standalone (IDR)'!S163/USD_IDR*Thousands</f>
        <v>-0.21527204080993295</v>
      </c>
      <c r="T139" s="23">
        <f>'Output_Standalone (IDR)'!T163/USD_IDR*Thousands</f>
        <v>-0.22594610809525789</v>
      </c>
      <c r="U139" s="23">
        <f>'Output_Standalone (IDR)'!U163/USD_IDR*Thousands</f>
        <v>-0.23727022607825912</v>
      </c>
      <c r="V139" s="23">
        <f>'Output_Standalone (IDR)'!V163/USD_IDR*Thousands</f>
        <v>-0.24928398284642511</v>
      </c>
    </row>
    <row r="140" spans="2:22">
      <c r="B140" s="28" t="s">
        <v>1017</v>
      </c>
      <c r="C140" s="28"/>
      <c r="D140" s="28"/>
      <c r="E140" s="28"/>
      <c r="F140" s="28"/>
      <c r="G140" s="28"/>
      <c r="H140" s="28"/>
      <c r="I140" s="49">
        <f>SUM(J140:V140)</f>
        <v>25.153023084510032</v>
      </c>
      <c r="J140" s="47">
        <f t="shared" ref="J140:V140" si="58">SUM(J138:J139)</f>
        <v>0</v>
      </c>
      <c r="K140" s="47">
        <f t="shared" si="58"/>
        <v>1.7874500983303501</v>
      </c>
      <c r="L140" s="47">
        <f t="shared" si="58"/>
        <v>1.8388985876771069</v>
      </c>
      <c r="M140" s="47">
        <f t="shared" si="58"/>
        <v>1.891684993375834</v>
      </c>
      <c r="N140" s="47">
        <f t="shared" si="58"/>
        <v>1.9458369356328897</v>
      </c>
      <c r="O140" s="47">
        <f t="shared" si="58"/>
        <v>2.0013821009582138</v>
      </c>
      <c r="P140" s="47">
        <f t="shared" si="58"/>
        <v>2.0583481977302087</v>
      </c>
      <c r="Q140" s="47">
        <f t="shared" si="58"/>
        <v>2.1167629076003278</v>
      </c>
      <c r="R140" s="47">
        <f t="shared" si="58"/>
        <v>2.1766538324403877</v>
      </c>
      <c r="S140" s="47">
        <f t="shared" si="58"/>
        <v>2.2380484365162223</v>
      </c>
      <c r="T140" s="47">
        <f t="shared" si="58"/>
        <v>2.3009739835506822</v>
      </c>
      <c r="U140" s="47">
        <f t="shared" si="58"/>
        <v>2.3654574683170586</v>
      </c>
      <c r="V140" s="47">
        <f t="shared" si="58"/>
        <v>2.4315255423807525</v>
      </c>
    </row>
    <row r="141" spans="2:22">
      <c r="L141" s="1"/>
    </row>
    <row r="142" spans="2:22">
      <c r="B142" t="s">
        <v>852</v>
      </c>
      <c r="I142" s="48">
        <f>SUM(J142:V142)</f>
        <v>0</v>
      </c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</row>
    <row r="143" spans="2:22">
      <c r="B143" s="28" t="s">
        <v>139</v>
      </c>
      <c r="C143" s="28"/>
      <c r="D143" s="28"/>
      <c r="E143" s="28"/>
      <c r="F143" s="28"/>
      <c r="G143" s="28"/>
      <c r="H143" s="28"/>
      <c r="I143" s="49">
        <f>SUM(J143:V143)</f>
        <v>25.153023084510032</v>
      </c>
      <c r="J143" s="47">
        <f t="shared" ref="J143:V143" si="59">SUM(J140,J142)</f>
        <v>0</v>
      </c>
      <c r="K143" s="47">
        <f t="shared" si="59"/>
        <v>1.7874500983303501</v>
      </c>
      <c r="L143" s="47">
        <f t="shared" si="59"/>
        <v>1.8388985876771069</v>
      </c>
      <c r="M143" s="47">
        <f t="shared" si="59"/>
        <v>1.891684993375834</v>
      </c>
      <c r="N143" s="47">
        <f t="shared" si="59"/>
        <v>1.9458369356328897</v>
      </c>
      <c r="O143" s="47">
        <f t="shared" si="59"/>
        <v>2.0013821009582138</v>
      </c>
      <c r="P143" s="47">
        <f t="shared" si="59"/>
        <v>2.0583481977302087</v>
      </c>
      <c r="Q143" s="47">
        <f t="shared" si="59"/>
        <v>2.1167629076003278</v>
      </c>
      <c r="R143" s="47">
        <f t="shared" si="59"/>
        <v>2.1766538324403877</v>
      </c>
      <c r="S143" s="47">
        <f t="shared" si="59"/>
        <v>2.2380484365162223</v>
      </c>
      <c r="T143" s="47">
        <f t="shared" si="59"/>
        <v>2.3009739835506822</v>
      </c>
      <c r="U143" s="47">
        <f t="shared" si="59"/>
        <v>2.3654574683170586</v>
      </c>
      <c r="V143" s="47">
        <f t="shared" si="59"/>
        <v>2.4315255423807525</v>
      </c>
    </row>
    <row r="145" spans="1:22">
      <c r="B145" t="s">
        <v>1018</v>
      </c>
      <c r="I145" s="49">
        <f>SUM(J145:V145)</f>
        <v>-5.4743459982781673</v>
      </c>
      <c r="J145" s="23">
        <f>'Output_Standalone (IDR)'!J169/USD_IDR*Thousands</f>
        <v>0</v>
      </c>
      <c r="K145" s="23">
        <f>'Output_Standalone (IDR)'!K169/USD_IDR*Thousands</f>
        <v>-0.45619549985651403</v>
      </c>
      <c r="L145" s="23">
        <f>'Output_Standalone (IDR)'!L169/USD_IDR*Thousands</f>
        <v>-0.45619549985651403</v>
      </c>
      <c r="M145" s="23">
        <f>'Output_Standalone (IDR)'!M169/USD_IDR*Thousands</f>
        <v>-0.45619549985651403</v>
      </c>
      <c r="N145" s="23">
        <f>'Output_Standalone (IDR)'!N169/USD_IDR*Thousands</f>
        <v>-0.45619549985651403</v>
      </c>
      <c r="O145" s="23">
        <f>'Output_Standalone (IDR)'!O169/USD_IDR*Thousands</f>
        <v>-0.45619549985651403</v>
      </c>
      <c r="P145" s="23">
        <f>'Output_Standalone (IDR)'!P169/USD_IDR*Thousands</f>
        <v>-0.45619549985651403</v>
      </c>
      <c r="Q145" s="23">
        <f>'Output_Standalone (IDR)'!Q169/USD_IDR*Thousands</f>
        <v>-0.45619549985651403</v>
      </c>
      <c r="R145" s="23">
        <f>'Output_Standalone (IDR)'!R169/USD_IDR*Thousands</f>
        <v>-0.45619549985651403</v>
      </c>
      <c r="S145" s="23">
        <f>'Output_Standalone (IDR)'!S169/USD_IDR*Thousands</f>
        <v>-0.45619549985651403</v>
      </c>
      <c r="T145" s="23">
        <f>'Output_Standalone (IDR)'!T169/USD_IDR*Thousands</f>
        <v>-0.45619549985651403</v>
      </c>
      <c r="U145" s="23">
        <f>'Output_Standalone (IDR)'!U169/USD_IDR*Thousands</f>
        <v>-0.45619549985651403</v>
      </c>
      <c r="V145" s="23">
        <f>'Output_Standalone (IDR)'!V169/USD_IDR*Thousands</f>
        <v>-0.45619549985651403</v>
      </c>
    </row>
    <row r="146" spans="1:22">
      <c r="B146" s="28" t="s">
        <v>434</v>
      </c>
      <c r="C146" s="28"/>
      <c r="D146" s="28"/>
      <c r="E146" s="28"/>
      <c r="F146" s="28"/>
      <c r="G146" s="28"/>
      <c r="H146" s="28"/>
      <c r="I146" s="49">
        <f>SUM(J146:V146)</f>
        <v>19.678677086231868</v>
      </c>
      <c r="J146" s="47">
        <f t="shared" ref="J146:V146" si="60">SUM(J143,J145)</f>
        <v>0</v>
      </c>
      <c r="K146" s="47">
        <f t="shared" si="60"/>
        <v>1.331254598473836</v>
      </c>
      <c r="L146" s="47">
        <f t="shared" si="60"/>
        <v>1.3827030878205928</v>
      </c>
      <c r="M146" s="47">
        <f t="shared" si="60"/>
        <v>1.4354894935193199</v>
      </c>
      <c r="N146" s="47">
        <f t="shared" si="60"/>
        <v>1.4896414357763756</v>
      </c>
      <c r="O146" s="47">
        <f t="shared" si="60"/>
        <v>1.5451866011016997</v>
      </c>
      <c r="P146" s="47">
        <f t="shared" si="60"/>
        <v>1.6021526978736946</v>
      </c>
      <c r="Q146" s="47">
        <f t="shared" si="60"/>
        <v>1.6605674077438137</v>
      </c>
      <c r="R146" s="47">
        <f t="shared" si="60"/>
        <v>1.7204583325838736</v>
      </c>
      <c r="S146" s="47">
        <f t="shared" si="60"/>
        <v>1.7818529366597082</v>
      </c>
      <c r="T146" s="47">
        <f t="shared" si="60"/>
        <v>1.8447784836941681</v>
      </c>
      <c r="U146" s="47">
        <f t="shared" si="60"/>
        <v>1.9092619684605445</v>
      </c>
      <c r="V146" s="47">
        <f t="shared" si="60"/>
        <v>1.9753300425242384</v>
      </c>
    </row>
    <row r="147" spans="1:22"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</row>
    <row r="148" spans="1:22">
      <c r="B148" t="s">
        <v>881</v>
      </c>
      <c r="I148" s="48">
        <f>SUM(J148:V148)</f>
        <v>0</v>
      </c>
      <c r="J148" s="23">
        <f>'Output_Standalone (IDR)'!J172/USD_IDR*Thousands</f>
        <v>0</v>
      </c>
      <c r="K148" s="23">
        <f>'Output_Standalone (IDR)'!K172/USD_IDR*Thousands</f>
        <v>0</v>
      </c>
      <c r="L148" s="23">
        <f>'Output_Standalone (IDR)'!L172/USD_IDR*Thousands</f>
        <v>0</v>
      </c>
      <c r="M148" s="23">
        <f>'Output_Standalone (IDR)'!M172/USD_IDR*Thousands</f>
        <v>0</v>
      </c>
      <c r="N148" s="23">
        <f>'Output_Standalone (IDR)'!N172/USD_IDR*Thousands</f>
        <v>0</v>
      </c>
      <c r="O148" s="23">
        <f>'Output_Standalone (IDR)'!O172/USD_IDR*Thousands</f>
        <v>0</v>
      </c>
      <c r="P148" s="23">
        <f>'Output_Standalone (IDR)'!P172/USD_IDR*Thousands</f>
        <v>0</v>
      </c>
      <c r="Q148" s="23">
        <f>'Output_Standalone (IDR)'!Q172/USD_IDR*Thousands</f>
        <v>0</v>
      </c>
      <c r="R148" s="23">
        <f>'Output_Standalone (IDR)'!R172/USD_IDR*Thousands</f>
        <v>0</v>
      </c>
      <c r="S148" s="23">
        <f>'Output_Standalone (IDR)'!S172/USD_IDR*Thousands</f>
        <v>0</v>
      </c>
      <c r="T148" s="23">
        <f>'Output_Standalone (IDR)'!T172/USD_IDR*Thousands</f>
        <v>0</v>
      </c>
      <c r="U148" s="23">
        <f>'Output_Standalone (IDR)'!U172/USD_IDR*Thousands</f>
        <v>0</v>
      </c>
      <c r="V148" s="23">
        <f>'Output_Standalone (IDR)'!V172/USD_IDR*Thousands</f>
        <v>0</v>
      </c>
    </row>
    <row r="149" spans="1:22">
      <c r="B149" s="28" t="s">
        <v>1019</v>
      </c>
      <c r="C149" s="28"/>
      <c r="D149" s="28"/>
      <c r="E149" s="28"/>
      <c r="F149" s="28"/>
      <c r="G149" s="28"/>
      <c r="H149" s="28"/>
      <c r="I149" s="48">
        <f>SUM(J149:V149)</f>
        <v>19.678677086231868</v>
      </c>
      <c r="J149" s="47">
        <f t="shared" ref="J149:V149" si="61">SUM(J146,J148)</f>
        <v>0</v>
      </c>
      <c r="K149" s="47">
        <f t="shared" si="61"/>
        <v>1.331254598473836</v>
      </c>
      <c r="L149" s="47">
        <f t="shared" si="61"/>
        <v>1.3827030878205928</v>
      </c>
      <c r="M149" s="47">
        <f t="shared" si="61"/>
        <v>1.4354894935193199</v>
      </c>
      <c r="N149" s="47">
        <f t="shared" si="61"/>
        <v>1.4896414357763756</v>
      </c>
      <c r="O149" s="47">
        <f t="shared" si="61"/>
        <v>1.5451866011016997</v>
      </c>
      <c r="P149" s="47">
        <f t="shared" si="61"/>
        <v>1.6021526978736946</v>
      </c>
      <c r="Q149" s="47">
        <f t="shared" si="61"/>
        <v>1.6605674077438137</v>
      </c>
      <c r="R149" s="47">
        <f t="shared" si="61"/>
        <v>1.7204583325838736</v>
      </c>
      <c r="S149" s="47">
        <f t="shared" si="61"/>
        <v>1.7818529366597082</v>
      </c>
      <c r="T149" s="47">
        <f t="shared" si="61"/>
        <v>1.8447784836941681</v>
      </c>
      <c r="U149" s="47">
        <f t="shared" si="61"/>
        <v>1.9092619684605445</v>
      </c>
      <c r="V149" s="47">
        <f t="shared" si="61"/>
        <v>1.9753300425242384</v>
      </c>
    </row>
    <row r="150" spans="1:22"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</row>
    <row r="151" spans="1:22">
      <c r="B151" t="s">
        <v>759</v>
      </c>
      <c r="I151" s="48">
        <f>SUM(J151:V151)</f>
        <v>-4.3293089589710103</v>
      </c>
      <c r="J151" s="23">
        <f>-IF(J149&lt;0,0,J149*22%)</f>
        <v>0</v>
      </c>
      <c r="K151" s="23">
        <f t="shared" ref="K151:V151" si="62">-IF(K149&lt;0,0,K149*22%)</f>
        <v>-0.29287601166424393</v>
      </c>
      <c r="L151" s="23">
        <f t="shared" si="62"/>
        <v>-0.3041946793205304</v>
      </c>
      <c r="M151" s="23">
        <f t="shared" si="62"/>
        <v>-0.3158076885742504</v>
      </c>
      <c r="N151" s="23">
        <f t="shared" si="62"/>
        <v>-0.32772111587080266</v>
      </c>
      <c r="O151" s="23">
        <f t="shared" si="62"/>
        <v>-0.33994105224237392</v>
      </c>
      <c r="P151" s="23">
        <f t="shared" si="62"/>
        <v>-0.3524735935322128</v>
      </c>
      <c r="Q151" s="23">
        <f t="shared" si="62"/>
        <v>-0.365324829703639</v>
      </c>
      <c r="R151" s="23">
        <f t="shared" si="62"/>
        <v>-0.37850083316845218</v>
      </c>
      <c r="S151" s="23">
        <f t="shared" si="62"/>
        <v>-0.39200764606513583</v>
      </c>
      <c r="T151" s="23">
        <f t="shared" si="62"/>
        <v>-0.40585126641271696</v>
      </c>
      <c r="U151" s="23">
        <f t="shared" si="62"/>
        <v>-0.4200376330613198</v>
      </c>
      <c r="V151" s="23">
        <f t="shared" si="62"/>
        <v>-0.43457260935533243</v>
      </c>
    </row>
    <row r="152" spans="1:22">
      <c r="B152" s="28" t="s">
        <v>1020</v>
      </c>
      <c r="C152" s="28"/>
      <c r="D152" s="28"/>
      <c r="E152" s="28"/>
      <c r="F152" s="28"/>
      <c r="G152" s="28"/>
      <c r="H152" s="28"/>
      <c r="I152" s="48">
        <f>SUM(J152:V152)</f>
        <v>15.349368127260854</v>
      </c>
      <c r="J152" s="47">
        <f t="shared" ref="J152:V152" si="63">SUM(J149,J151)</f>
        <v>0</v>
      </c>
      <c r="K152" s="47">
        <f t="shared" si="63"/>
        <v>1.0383785868095921</v>
      </c>
      <c r="L152" s="47">
        <f t="shared" si="63"/>
        <v>1.0785084085000625</v>
      </c>
      <c r="M152" s="47">
        <f t="shared" si="63"/>
        <v>1.1196818049450694</v>
      </c>
      <c r="N152" s="47">
        <f t="shared" si="63"/>
        <v>1.161920319905573</v>
      </c>
      <c r="O152" s="47">
        <f t="shared" si="63"/>
        <v>1.2052455488593257</v>
      </c>
      <c r="P152" s="47">
        <f t="shared" si="63"/>
        <v>1.2496791043414819</v>
      </c>
      <c r="Q152" s="47">
        <f t="shared" si="63"/>
        <v>1.2952425780401748</v>
      </c>
      <c r="R152" s="47">
        <f t="shared" si="63"/>
        <v>1.3419574994154213</v>
      </c>
      <c r="S152" s="47">
        <f t="shared" si="63"/>
        <v>1.3898452905945724</v>
      </c>
      <c r="T152" s="47">
        <f t="shared" si="63"/>
        <v>1.4389272172814511</v>
      </c>
      <c r="U152" s="47">
        <f t="shared" si="63"/>
        <v>1.4892243353992247</v>
      </c>
      <c r="V152" s="47">
        <f t="shared" si="63"/>
        <v>1.540757433168906</v>
      </c>
    </row>
    <row r="154" spans="1:22">
      <c r="B154" s="407" t="s">
        <v>32</v>
      </c>
      <c r="C154" s="407"/>
      <c r="D154" s="407"/>
      <c r="E154" s="407"/>
      <c r="F154" s="407"/>
      <c r="G154" s="407"/>
      <c r="H154" s="407"/>
      <c r="I154" s="407"/>
      <c r="J154" s="9">
        <f>J$8</f>
        <v>2024</v>
      </c>
      <c r="K154" s="9">
        <f t="shared" ref="K154:V154" si="64">K$8</f>
        <v>2025</v>
      </c>
      <c r="L154" s="9">
        <f t="shared" si="64"/>
        <v>2026</v>
      </c>
      <c r="M154" s="9">
        <f t="shared" si="64"/>
        <v>2027</v>
      </c>
      <c r="N154" s="9">
        <f t="shared" si="64"/>
        <v>2028</v>
      </c>
      <c r="O154" s="9">
        <f t="shared" si="64"/>
        <v>2029</v>
      </c>
      <c r="P154" s="9">
        <f t="shared" si="64"/>
        <v>2030</v>
      </c>
      <c r="Q154" s="9">
        <f t="shared" si="64"/>
        <v>2031</v>
      </c>
      <c r="R154" s="9">
        <f t="shared" si="64"/>
        <v>2032</v>
      </c>
      <c r="S154" s="9">
        <f t="shared" si="64"/>
        <v>2033</v>
      </c>
      <c r="T154" s="9">
        <f t="shared" si="64"/>
        <v>2034</v>
      </c>
      <c r="U154" s="9">
        <f t="shared" si="64"/>
        <v>2035</v>
      </c>
      <c r="V154" s="9">
        <f t="shared" si="64"/>
        <v>2036</v>
      </c>
    </row>
    <row r="155" spans="1:22">
      <c r="B155" s="55" t="s">
        <v>1021</v>
      </c>
      <c r="C155" s="51"/>
      <c r="D155" s="51"/>
      <c r="E155" s="51"/>
      <c r="F155" s="51"/>
      <c r="G155" s="51"/>
      <c r="H155" s="51"/>
      <c r="I155" s="51"/>
      <c r="J155" s="56">
        <f>IFERROR(J140/J138,0)</f>
        <v>0</v>
      </c>
      <c r="K155" s="56">
        <f t="shared" ref="K155:V155" si="65">IFERROR(K140/K138,0)</f>
        <v>0.92294843966168716</v>
      </c>
      <c r="L155" s="56">
        <f t="shared" si="65"/>
        <v>0.92185808379004908</v>
      </c>
      <c r="M155" s="56">
        <f t="shared" si="65"/>
        <v>0.92069944857414987</v>
      </c>
      <c r="N155" s="56">
        <f t="shared" si="65"/>
        <v>0.91947152161428636</v>
      </c>
      <c r="O155" s="56">
        <f t="shared" si="65"/>
        <v>0.91817322996457129</v>
      </c>
      <c r="P155" s="56">
        <f t="shared" si="65"/>
        <v>0.91680343919540763</v>
      </c>
      <c r="Q155" s="56">
        <f t="shared" si="65"/>
        <v>0.91536095240224025</v>
      </c>
      <c r="R155" s="56">
        <f t="shared" si="65"/>
        <v>0.91384450915971549</v>
      </c>
      <c r="S155" s="56">
        <f t="shared" si="65"/>
        <v>0.91225278442033986</v>
      </c>
      <c r="T155" s="56">
        <f t="shared" si="65"/>
        <v>0.91058438735667124</v>
      </c>
      <c r="U155" s="56">
        <f t="shared" si="65"/>
        <v>0.90883786014603285</v>
      </c>
      <c r="V155" s="56">
        <f t="shared" si="65"/>
        <v>0.90701167669668725</v>
      </c>
    </row>
    <row r="156" spans="1:22">
      <c r="B156" s="55" t="s">
        <v>1022</v>
      </c>
      <c r="C156" s="51"/>
      <c r="D156" s="51"/>
      <c r="E156" s="51"/>
      <c r="F156" s="51"/>
      <c r="G156" s="51"/>
      <c r="H156" s="51"/>
      <c r="I156" s="51"/>
      <c r="J156" s="56">
        <f>IFERROR(J143/J138,0)</f>
        <v>0</v>
      </c>
      <c r="K156" s="52">
        <f t="shared" ref="K156:T156" si="66">IFERROR(K146/K140,0)</f>
        <v>0.74477860932585227</v>
      </c>
      <c r="L156" s="52">
        <f t="shared" si="66"/>
        <v>0.75191916350711907</v>
      </c>
      <c r="M156" s="52">
        <f t="shared" si="66"/>
        <v>0.75884171970809799</v>
      </c>
      <c r="N156" s="52">
        <f t="shared" si="66"/>
        <v>0.7655530679357081</v>
      </c>
      <c r="O156" s="52">
        <f t="shared" si="66"/>
        <v>0.77205976827808209</v>
      </c>
      <c r="P156" s="52">
        <f t="shared" si="66"/>
        <v>0.77836815930386705</v>
      </c>
      <c r="Q156" s="52">
        <f t="shared" si="66"/>
        <v>0.78448436609573768</v>
      </c>
      <c r="R156" s="52">
        <f t="shared" si="66"/>
        <v>0.79041430793566114</v>
      </c>
      <c r="S156" s="52">
        <f t="shared" si="66"/>
        <v>0.79616370565838401</v>
      </c>
      <c r="T156" s="52">
        <f t="shared" si="66"/>
        <v>0.80173808868862173</v>
      </c>
      <c r="U156" s="52">
        <f>IFERROR(U146/U140,0)</f>
        <v>0.80714280177648623</v>
      </c>
      <c r="V156" s="52">
        <f>IFERROR(V146/V140,0)</f>
        <v>0.81238301144480496</v>
      </c>
    </row>
    <row r="157" spans="1:22">
      <c r="B157" s="55" t="s">
        <v>990</v>
      </c>
      <c r="C157" s="51"/>
      <c r="D157" s="51"/>
      <c r="E157" s="51"/>
      <c r="F157" s="51"/>
      <c r="G157" s="51"/>
      <c r="H157" s="51"/>
      <c r="I157" s="51"/>
      <c r="J157" s="52">
        <f>IFERROR(J152/J138,0)</f>
        <v>0</v>
      </c>
      <c r="K157" s="52">
        <f t="shared" ref="K157:V157" si="67">IFERROR(K152/K138,0)</f>
        <v>0.53616595918914334</v>
      </c>
      <c r="L157" s="52">
        <f t="shared" si="67"/>
        <v>0.54066695220383776</v>
      </c>
      <c r="M157" s="52">
        <f t="shared" si="67"/>
        <v>0.54495881925443823</v>
      </c>
      <c r="N157" s="52">
        <f t="shared" si="67"/>
        <v>0.54904531051603789</v>
      </c>
      <c r="O157" s="52">
        <f t="shared" si="67"/>
        <v>0.55292999670915632</v>
      </c>
      <c r="P157" s="52">
        <f t="shared" si="67"/>
        <v>0.55661627221978771</v>
      </c>
      <c r="Q157" s="52">
        <f t="shared" si="67"/>
        <v>0.5601073580653686</v>
      </c>
      <c r="R157" s="52">
        <f t="shared" si="67"/>
        <v>0.56340630470925868</v>
      </c>
      <c r="S157" s="52">
        <f t="shared" si="67"/>
        <v>0.56651599472619585</v>
      </c>
      <c r="T157" s="52">
        <f t="shared" si="67"/>
        <v>0.569439145321049</v>
      </c>
      <c r="U157" s="52">
        <f t="shared" si="67"/>
        <v>0.5721783107030759</v>
      </c>
      <c r="V157" s="52">
        <f t="shared" si="67"/>
        <v>0.57473588431775613</v>
      </c>
    </row>
    <row r="159" spans="1:22" ht="24" thickBot="1">
      <c r="A159" s="260"/>
      <c r="B159" s="14" t="s">
        <v>1030</v>
      </c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</row>
    <row r="160" spans="1:22">
      <c r="A160" s="260"/>
      <c r="B160" s="2" t="s">
        <v>29</v>
      </c>
      <c r="F160" s="6">
        <f>Output_FSL!F35</f>
        <v>1</v>
      </c>
    </row>
    <row r="161" spans="1:22">
      <c r="A161" s="260"/>
      <c r="B161" s="407" t="s">
        <v>623</v>
      </c>
      <c r="I161" s="48">
        <f>SUM(J161:V161)</f>
        <v>103.36196922311683</v>
      </c>
      <c r="J161" s="276">
        <f>'Output_Standalone (IDR)'!J185/USD_IDR*Thousands</f>
        <v>0</v>
      </c>
      <c r="K161" s="43">
        <f>'Output_Standalone (IDR)'!K185/USD_IDR*Thousands</f>
        <v>0</v>
      </c>
      <c r="L161" s="23">
        <f>'Output_Standalone (IDR)'!L185/USD_IDR*Thousands</f>
        <v>7.8385371871004805</v>
      </c>
      <c r="M161" s="23">
        <f>'Output_Standalone (IDR)'!M185/USD_IDR*Thousands</f>
        <v>8.2715323971054495</v>
      </c>
      <c r="N161" s="23">
        <f>'Output_Standalone (IDR)'!N185/USD_IDR*Thousands</f>
        <v>8.5632029697848431</v>
      </c>
      <c r="O161" s="23">
        <f>'Output_Standalone (IDR)'!O185/USD_IDR*Thousands</f>
        <v>8.8621398664366797</v>
      </c>
      <c r="P161" s="23">
        <f>'Output_Standalone (IDR)'!P185/USD_IDR*Thousands</f>
        <v>9.1685610767801293</v>
      </c>
      <c r="Q161" s="23">
        <f>'Output_Standalone (IDR)'!Q185/USD_IDR*Thousands</f>
        <v>9.4826911302259447</v>
      </c>
      <c r="R161" s="23">
        <f>'Output_Standalone (IDR)'!R185/USD_IDR*Thousands</f>
        <v>9.8047612920671927</v>
      </c>
      <c r="S161" s="23">
        <f>'Output_Standalone (IDR)'!S185/USD_IDR*Thousands</f>
        <v>10.13500976555574</v>
      </c>
      <c r="T161" s="23">
        <f>'Output_Standalone (IDR)'!T185/USD_IDR*Thousands</f>
        <v>10.473681900041006</v>
      </c>
      <c r="U161" s="23">
        <f>'Output_Standalone (IDR)'!U185/USD_IDR*Thousands</f>
        <v>10.227513122177028</v>
      </c>
      <c r="V161" s="23">
        <f>'Output_Standalone (IDR)'!V185/USD_IDR*Thousands</f>
        <v>10.534338515842338</v>
      </c>
    </row>
    <row r="162" spans="1:22">
      <c r="A162" s="260"/>
      <c r="B162" s="407" t="s">
        <v>473</v>
      </c>
      <c r="H162" s="21">
        <f>L162/L161</f>
        <v>0</v>
      </c>
      <c r="I162" s="48">
        <f>SUM(J162:V162)</f>
        <v>0</v>
      </c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</row>
    <row r="163" spans="1:22">
      <c r="A163" s="260"/>
      <c r="B163" s="28" t="s">
        <v>1017</v>
      </c>
      <c r="C163" s="28"/>
      <c r="D163" s="28"/>
      <c r="E163" s="28"/>
      <c r="F163" s="28"/>
      <c r="G163" s="28"/>
      <c r="H163" s="28"/>
      <c r="I163" s="49">
        <f>SUM(J163:V163)</f>
        <v>103.36196922311683</v>
      </c>
      <c r="J163" s="47">
        <f t="shared" ref="J163:V163" si="68">SUM(J161:J162)</f>
        <v>0</v>
      </c>
      <c r="K163" s="47">
        <f t="shared" si="68"/>
        <v>0</v>
      </c>
      <c r="L163" s="47">
        <f t="shared" si="68"/>
        <v>7.8385371871004805</v>
      </c>
      <c r="M163" s="47">
        <f t="shared" si="68"/>
        <v>8.2715323971054495</v>
      </c>
      <c r="N163" s="47">
        <f t="shared" si="68"/>
        <v>8.5632029697848431</v>
      </c>
      <c r="O163" s="47">
        <f t="shared" si="68"/>
        <v>8.8621398664366797</v>
      </c>
      <c r="P163" s="47">
        <f t="shared" si="68"/>
        <v>9.1685610767801293</v>
      </c>
      <c r="Q163" s="47">
        <f t="shared" si="68"/>
        <v>9.4826911302259447</v>
      </c>
      <c r="R163" s="47">
        <f t="shared" si="68"/>
        <v>9.8047612920671927</v>
      </c>
      <c r="S163" s="47">
        <f t="shared" si="68"/>
        <v>10.13500976555574</v>
      </c>
      <c r="T163" s="47">
        <f t="shared" si="68"/>
        <v>10.473681900041006</v>
      </c>
      <c r="U163" s="47">
        <f t="shared" si="68"/>
        <v>10.227513122177028</v>
      </c>
      <c r="V163" s="47">
        <f t="shared" si="68"/>
        <v>10.534338515842338</v>
      </c>
    </row>
    <row r="164" spans="1:22">
      <c r="A164" s="260"/>
      <c r="L164" s="1"/>
    </row>
    <row r="165" spans="1:22">
      <c r="A165" s="260"/>
      <c r="B165" t="s">
        <v>852</v>
      </c>
      <c r="I165" s="48">
        <f>SUM(J165:V165)</f>
        <v>-56.163543370187568</v>
      </c>
      <c r="J165" s="43">
        <f>'Output_Standalone (IDR)'!J189/USD_IDR*Thousands</f>
        <v>0</v>
      </c>
      <c r="K165" s="43">
        <f>'Output_Standalone (IDR)'!K189/USD_IDR*Thousands</f>
        <v>0</v>
      </c>
      <c r="L165">
        <f>'Output_Standalone (IDR)'!L189/USD_IDR*Thousands</f>
        <v>-4.2530362310667655</v>
      </c>
      <c r="M165">
        <f>'Output_Standalone (IDR)'!M189/USD_IDR*Thousands</f>
        <v>-4.4933956018021819</v>
      </c>
      <c r="N165">
        <f>'Output_Standalone (IDR)'!N189/USD_IDR*Thousands</f>
        <v>-4.6530064922929988</v>
      </c>
      <c r="O165">
        <f>'Output_Standalone (IDR)'!O189/USD_IDR*Thousands</f>
        <v>-4.8165599473700142</v>
      </c>
      <c r="P165">
        <f>'Output_Standalone (IDR)'!P189/USD_IDR*Thousands</f>
        <v>-4.9841742439708128</v>
      </c>
      <c r="Q165">
        <f>'Output_Standalone (IDR)'!Q189/USD_IDR*Thousands</f>
        <v>-5.1559712073411124</v>
      </c>
      <c r="R165">
        <f>'Output_Standalone (IDR)'!R189/USD_IDR*Thousands</f>
        <v>-5.3320763174839945</v>
      </c>
      <c r="S165">
        <f>'Output_Standalone (IDR)'!S189/USD_IDR*Thousands</f>
        <v>-5.5126188188026379</v>
      </c>
      <c r="T165">
        <f>'Output_Standalone (IDR)'!T189/USD_IDR*Thousands</f>
        <v>-5.6977318330323135</v>
      </c>
      <c r="U165">
        <f>'Output_Standalone (IDR)'!U189/USD_IDR*Thousands</f>
        <v>-5.5492476241501159</v>
      </c>
      <c r="V165">
        <f>'Output_Standalone (IDR)'!V189/USD_IDR*Thousands</f>
        <v>-5.7157250528746175</v>
      </c>
    </row>
    <row r="166" spans="1:22">
      <c r="A166" s="260"/>
      <c r="B166" s="28" t="s">
        <v>139</v>
      </c>
      <c r="C166" s="28"/>
      <c r="D166" s="28"/>
      <c r="E166" s="28"/>
      <c r="F166" s="28"/>
      <c r="G166" s="28"/>
      <c r="H166" s="28"/>
      <c r="I166" s="49">
        <f>SUM(J166:V166)</f>
        <v>47.198425852929269</v>
      </c>
      <c r="J166" s="47">
        <f t="shared" ref="J166:V166" si="69">SUM(J163,J165)</f>
        <v>0</v>
      </c>
      <c r="K166" s="47">
        <f t="shared" si="69"/>
        <v>0</v>
      </c>
      <c r="L166" s="47">
        <f t="shared" si="69"/>
        <v>3.585500956033715</v>
      </c>
      <c r="M166" s="47">
        <f t="shared" si="69"/>
        <v>3.7781367953032676</v>
      </c>
      <c r="N166" s="47">
        <f t="shared" si="69"/>
        <v>3.9101964774918443</v>
      </c>
      <c r="O166" s="47">
        <f t="shared" si="69"/>
        <v>4.0455799190666655</v>
      </c>
      <c r="P166" s="47">
        <f t="shared" si="69"/>
        <v>4.1843868328093166</v>
      </c>
      <c r="Q166" s="47">
        <f t="shared" si="69"/>
        <v>4.3267199228848323</v>
      </c>
      <c r="R166" s="47">
        <f t="shared" si="69"/>
        <v>4.4726849745831982</v>
      </c>
      <c r="S166" s="47">
        <f t="shared" si="69"/>
        <v>4.6223909467531019</v>
      </c>
      <c r="T166" s="47">
        <f t="shared" si="69"/>
        <v>4.7759500670086927</v>
      </c>
      <c r="U166" s="47">
        <f t="shared" si="69"/>
        <v>4.6782654980269118</v>
      </c>
      <c r="V166" s="47">
        <f t="shared" si="69"/>
        <v>4.8186134629677202</v>
      </c>
    </row>
    <row r="167" spans="1:22">
      <c r="A167" s="260"/>
    </row>
    <row r="168" spans="1:22">
      <c r="A168" s="260"/>
      <c r="B168" t="s">
        <v>1018</v>
      </c>
      <c r="I168" s="49">
        <f>SUM(J168:V168)</f>
        <v>0</v>
      </c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</row>
    <row r="169" spans="1:22">
      <c r="A169" s="260"/>
      <c r="B169" s="28" t="s">
        <v>434</v>
      </c>
      <c r="C169" s="28"/>
      <c r="D169" s="28"/>
      <c r="E169" s="28"/>
      <c r="F169" s="28"/>
      <c r="G169" s="28"/>
      <c r="H169" s="28"/>
      <c r="I169" s="49">
        <f>SUM(J169:V169)</f>
        <v>47.198425852929269</v>
      </c>
      <c r="J169" s="47">
        <f t="shared" ref="J169:V169" si="70">SUM(J166,J168)</f>
        <v>0</v>
      </c>
      <c r="K169" s="47">
        <f t="shared" si="70"/>
        <v>0</v>
      </c>
      <c r="L169" s="47">
        <f t="shared" si="70"/>
        <v>3.585500956033715</v>
      </c>
      <c r="M169" s="47">
        <f t="shared" si="70"/>
        <v>3.7781367953032676</v>
      </c>
      <c r="N169" s="47">
        <f t="shared" si="70"/>
        <v>3.9101964774918443</v>
      </c>
      <c r="O169" s="47">
        <f t="shared" si="70"/>
        <v>4.0455799190666655</v>
      </c>
      <c r="P169" s="47">
        <f t="shared" si="70"/>
        <v>4.1843868328093166</v>
      </c>
      <c r="Q169" s="47">
        <f t="shared" si="70"/>
        <v>4.3267199228848323</v>
      </c>
      <c r="R169" s="47">
        <f t="shared" si="70"/>
        <v>4.4726849745831982</v>
      </c>
      <c r="S169" s="47">
        <f t="shared" si="70"/>
        <v>4.6223909467531019</v>
      </c>
      <c r="T169" s="47">
        <f t="shared" si="70"/>
        <v>4.7759500670086927</v>
      </c>
      <c r="U169" s="47">
        <f t="shared" si="70"/>
        <v>4.6782654980269118</v>
      </c>
      <c r="V169" s="47">
        <f t="shared" si="70"/>
        <v>4.8186134629677202</v>
      </c>
    </row>
    <row r="170" spans="1:22">
      <c r="A170" s="260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</row>
    <row r="171" spans="1:22">
      <c r="A171" s="260"/>
      <c r="B171" t="s">
        <v>881</v>
      </c>
      <c r="I171" s="48">
        <f>SUM(J171:V171)</f>
        <v>0</v>
      </c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</row>
    <row r="172" spans="1:22">
      <c r="A172" s="260"/>
      <c r="B172" s="28" t="s">
        <v>1019</v>
      </c>
      <c r="C172" s="28"/>
      <c r="D172" s="28"/>
      <c r="E172" s="28"/>
      <c r="F172" s="28"/>
      <c r="G172" s="28"/>
      <c r="H172" s="28"/>
      <c r="I172" s="48">
        <f>SUM(J172:V172)</f>
        <v>47.198425852929269</v>
      </c>
      <c r="J172" s="47">
        <f t="shared" ref="J172:V172" si="71">SUM(J169,J171)</f>
        <v>0</v>
      </c>
      <c r="K172" s="47">
        <f t="shared" si="71"/>
        <v>0</v>
      </c>
      <c r="L172" s="47">
        <f t="shared" si="71"/>
        <v>3.585500956033715</v>
      </c>
      <c r="M172" s="47">
        <f t="shared" si="71"/>
        <v>3.7781367953032676</v>
      </c>
      <c r="N172" s="47">
        <f t="shared" si="71"/>
        <v>3.9101964774918443</v>
      </c>
      <c r="O172" s="47">
        <f t="shared" si="71"/>
        <v>4.0455799190666655</v>
      </c>
      <c r="P172" s="47">
        <f t="shared" si="71"/>
        <v>4.1843868328093166</v>
      </c>
      <c r="Q172" s="47">
        <f t="shared" si="71"/>
        <v>4.3267199228848323</v>
      </c>
      <c r="R172" s="47">
        <f t="shared" si="71"/>
        <v>4.4726849745831982</v>
      </c>
      <c r="S172" s="47">
        <f t="shared" si="71"/>
        <v>4.6223909467531019</v>
      </c>
      <c r="T172" s="47">
        <f t="shared" si="71"/>
        <v>4.7759500670086927</v>
      </c>
      <c r="U172" s="47">
        <f t="shared" si="71"/>
        <v>4.6782654980269118</v>
      </c>
      <c r="V172" s="47">
        <f t="shared" si="71"/>
        <v>4.8186134629677202</v>
      </c>
    </row>
    <row r="173" spans="1:22">
      <c r="A173" s="260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</row>
    <row r="174" spans="1:22">
      <c r="A174" s="260"/>
      <c r="B174" t="s">
        <v>759</v>
      </c>
      <c r="I174" s="48">
        <f>SUM(J174:V174)</f>
        <v>-10.38365368764444</v>
      </c>
      <c r="J174" s="23">
        <f>-IF(J172&lt;0,0,J172*22%)</f>
        <v>0</v>
      </c>
      <c r="K174" s="23">
        <f t="shared" ref="K174:V174" si="72">-IF(K172&lt;0,0,K172*22%)</f>
        <v>0</v>
      </c>
      <c r="L174" s="23">
        <f t="shared" si="72"/>
        <v>-0.78881021032741727</v>
      </c>
      <c r="M174" s="23">
        <f t="shared" si="72"/>
        <v>-0.83119009496671892</v>
      </c>
      <c r="N174" s="23">
        <f t="shared" si="72"/>
        <v>-0.86024322504820572</v>
      </c>
      <c r="O174" s="23">
        <f t="shared" si="72"/>
        <v>-0.89002758219466638</v>
      </c>
      <c r="P174" s="23">
        <f t="shared" si="72"/>
        <v>-0.92056510321804963</v>
      </c>
      <c r="Q174" s="23">
        <f t="shared" si="72"/>
        <v>-0.9518783830346631</v>
      </c>
      <c r="R174" s="23">
        <f t="shared" si="72"/>
        <v>-0.98399069440830367</v>
      </c>
      <c r="S174" s="23">
        <f t="shared" si="72"/>
        <v>-1.0169260082856824</v>
      </c>
      <c r="T174" s="23">
        <f t="shared" si="72"/>
        <v>-1.0507090147419125</v>
      </c>
      <c r="U174" s="23">
        <f t="shared" si="72"/>
        <v>-1.0292184095659207</v>
      </c>
      <c r="V174" s="23">
        <f t="shared" si="72"/>
        <v>-1.0600949618528985</v>
      </c>
    </row>
    <row r="175" spans="1:22">
      <c r="A175" s="260"/>
      <c r="B175" s="28" t="s">
        <v>1020</v>
      </c>
      <c r="C175" s="28"/>
      <c r="D175" s="28"/>
      <c r="E175" s="28"/>
      <c r="F175" s="28"/>
      <c r="G175" s="28"/>
      <c r="H175" s="28"/>
      <c r="I175" s="48">
        <f>SUM(J175:V175)</f>
        <v>36.814772165284829</v>
      </c>
      <c r="J175" s="47">
        <f t="shared" ref="J175:V175" si="73">SUM(J172,J174)</f>
        <v>0</v>
      </c>
      <c r="K175" s="47">
        <f t="shared" si="73"/>
        <v>0</v>
      </c>
      <c r="L175" s="47">
        <f t="shared" si="73"/>
        <v>2.7966907457062975</v>
      </c>
      <c r="M175" s="47">
        <f t="shared" si="73"/>
        <v>2.9469467003365488</v>
      </c>
      <c r="N175" s="47">
        <f t="shared" si="73"/>
        <v>3.0499532524436388</v>
      </c>
      <c r="O175" s="47">
        <f t="shared" si="73"/>
        <v>3.1555523368719989</v>
      </c>
      <c r="P175" s="47">
        <f t="shared" si="73"/>
        <v>3.263821729591267</v>
      </c>
      <c r="Q175" s="47">
        <f t="shared" si="73"/>
        <v>3.374841539850169</v>
      </c>
      <c r="R175" s="47">
        <f t="shared" si="73"/>
        <v>3.4886942801748946</v>
      </c>
      <c r="S175" s="47">
        <f t="shared" si="73"/>
        <v>3.6054649384674198</v>
      </c>
      <c r="T175" s="47">
        <f t="shared" si="73"/>
        <v>3.7252410522667803</v>
      </c>
      <c r="U175" s="47">
        <f t="shared" si="73"/>
        <v>3.6490470884609909</v>
      </c>
      <c r="V175" s="47">
        <f t="shared" si="73"/>
        <v>3.7585185011148217</v>
      </c>
    </row>
    <row r="176" spans="1:22">
      <c r="A176" s="260"/>
    </row>
    <row r="177" spans="1:22">
      <c r="A177" s="260"/>
      <c r="B177" s="407" t="s">
        <v>32</v>
      </c>
      <c r="C177" s="407"/>
      <c r="D177" s="407"/>
      <c r="E177" s="407"/>
      <c r="F177" s="407"/>
      <c r="G177" s="407"/>
      <c r="H177" s="407"/>
      <c r="I177" s="407"/>
      <c r="J177" s="9">
        <f>J$8</f>
        <v>2024</v>
      </c>
      <c r="K177" s="9">
        <f t="shared" ref="K177:V177" si="74">K$8</f>
        <v>2025</v>
      </c>
      <c r="L177" s="9">
        <f t="shared" si="74"/>
        <v>2026</v>
      </c>
      <c r="M177" s="9">
        <f t="shared" si="74"/>
        <v>2027</v>
      </c>
      <c r="N177" s="9">
        <f t="shared" si="74"/>
        <v>2028</v>
      </c>
      <c r="O177" s="9">
        <f t="shared" si="74"/>
        <v>2029</v>
      </c>
      <c r="P177" s="9">
        <f t="shared" si="74"/>
        <v>2030</v>
      </c>
      <c r="Q177" s="9">
        <f t="shared" si="74"/>
        <v>2031</v>
      </c>
      <c r="R177" s="9">
        <f t="shared" si="74"/>
        <v>2032</v>
      </c>
      <c r="S177" s="9">
        <f t="shared" si="74"/>
        <v>2033</v>
      </c>
      <c r="T177" s="9">
        <f t="shared" si="74"/>
        <v>2034</v>
      </c>
      <c r="U177" s="9">
        <f t="shared" si="74"/>
        <v>2035</v>
      </c>
      <c r="V177" s="9">
        <f t="shared" si="74"/>
        <v>2036</v>
      </c>
    </row>
    <row r="178" spans="1:22">
      <c r="A178" s="260"/>
      <c r="B178" s="55" t="s">
        <v>1021</v>
      </c>
      <c r="C178" s="51"/>
      <c r="D178" s="51"/>
      <c r="E178" s="51"/>
      <c r="F178" s="51"/>
      <c r="G178" s="51"/>
      <c r="H178" s="51"/>
      <c r="I178" s="51"/>
      <c r="J178" s="56">
        <f>IFERROR(J163/J161,0)</f>
        <v>0</v>
      </c>
      <c r="K178" s="56">
        <f t="shared" ref="K178:V178" si="75">IFERROR(K163/K161,0)</f>
        <v>0</v>
      </c>
      <c r="L178" s="56">
        <f t="shared" si="75"/>
        <v>1</v>
      </c>
      <c r="M178" s="56">
        <f t="shared" si="75"/>
        <v>1</v>
      </c>
      <c r="N178" s="56">
        <f t="shared" si="75"/>
        <v>1</v>
      </c>
      <c r="O178" s="56">
        <f t="shared" si="75"/>
        <v>1</v>
      </c>
      <c r="P178" s="56">
        <f t="shared" si="75"/>
        <v>1</v>
      </c>
      <c r="Q178" s="56">
        <f t="shared" si="75"/>
        <v>1</v>
      </c>
      <c r="R178" s="56">
        <f t="shared" si="75"/>
        <v>1</v>
      </c>
      <c r="S178" s="56">
        <f t="shared" si="75"/>
        <v>1</v>
      </c>
      <c r="T178" s="56">
        <f t="shared" si="75"/>
        <v>1</v>
      </c>
      <c r="U178" s="56">
        <f t="shared" si="75"/>
        <v>1</v>
      </c>
      <c r="V178" s="56">
        <f t="shared" si="75"/>
        <v>1</v>
      </c>
    </row>
    <row r="179" spans="1:22">
      <c r="A179" s="260"/>
      <c r="B179" s="55" t="s">
        <v>1022</v>
      </c>
      <c r="C179" s="51"/>
      <c r="D179" s="51"/>
      <c r="E179" s="51"/>
      <c r="F179" s="51"/>
      <c r="G179" s="51"/>
      <c r="H179" s="51"/>
      <c r="I179" s="51"/>
      <c r="J179" s="56">
        <f>IFERROR(J166/J161,0)</f>
        <v>0</v>
      </c>
      <c r="K179" s="52">
        <f t="shared" ref="K179:T179" si="76">IFERROR(K169/K163,0)</f>
        <v>0</v>
      </c>
      <c r="L179" s="52">
        <f t="shared" si="76"/>
        <v>0.4574196524747256</v>
      </c>
      <c r="M179" s="52">
        <f t="shared" si="76"/>
        <v>0.45676382729582171</v>
      </c>
      <c r="N179" s="52">
        <f t="shared" si="76"/>
        <v>0.45662779351241872</v>
      </c>
      <c r="O179" s="52">
        <f t="shared" si="76"/>
        <v>0.45650147481742764</v>
      </c>
      <c r="P179" s="52">
        <f t="shared" si="76"/>
        <v>0.45638424587763282</v>
      </c>
      <c r="Q179" s="52">
        <f t="shared" si="76"/>
        <v>0.45627553017027767</v>
      </c>
      <c r="R179" s="52">
        <f t="shared" si="76"/>
        <v>0.45617479521933341</v>
      </c>
      <c r="S179" s="52">
        <f t="shared" si="76"/>
        <v>0.45608154838315929</v>
      </c>
      <c r="T179" s="52">
        <f t="shared" si="76"/>
        <v>0.45599533312062818</v>
      </c>
      <c r="U179" s="52">
        <f>IFERROR(U169/U163,0)</f>
        <v>0.4574196524747256</v>
      </c>
      <c r="V179" s="52">
        <f>IFERROR(V169/V163,0)</f>
        <v>0.45741965247472571</v>
      </c>
    </row>
    <row r="180" spans="1:22">
      <c r="A180" s="260"/>
      <c r="B180" s="55" t="s">
        <v>990</v>
      </c>
      <c r="C180" s="51"/>
      <c r="D180" s="51"/>
      <c r="E180" s="51"/>
      <c r="F180" s="51"/>
      <c r="G180" s="51"/>
      <c r="H180" s="51"/>
      <c r="I180" s="51"/>
      <c r="J180" s="52">
        <f>IFERROR(J175/J161,0)</f>
        <v>0</v>
      </c>
      <c r="K180" s="52">
        <f t="shared" ref="K180:V180" si="77">IFERROR(K175/K161,0)</f>
        <v>0</v>
      </c>
      <c r="L180" s="52">
        <f t="shared" si="77"/>
        <v>0.35678732893028592</v>
      </c>
      <c r="M180" s="52">
        <f t="shared" si="77"/>
        <v>0.35627578529074094</v>
      </c>
      <c r="N180" s="52">
        <f t="shared" si="77"/>
        <v>0.35616967893968665</v>
      </c>
      <c r="O180" s="52">
        <f t="shared" si="77"/>
        <v>0.35607115035759351</v>
      </c>
      <c r="P180" s="52">
        <f t="shared" si="77"/>
        <v>0.35597971178455362</v>
      </c>
      <c r="Q180" s="52">
        <f t="shared" si="77"/>
        <v>0.35589491353281655</v>
      </c>
      <c r="R180" s="52">
        <f t="shared" si="77"/>
        <v>0.35581634027108006</v>
      </c>
      <c r="S180" s="52">
        <f t="shared" si="77"/>
        <v>0.35574360773886426</v>
      </c>
      <c r="T180" s="52">
        <f t="shared" si="77"/>
        <v>0.35567635983409002</v>
      </c>
      <c r="U180" s="52">
        <f t="shared" si="77"/>
        <v>0.35678732893028592</v>
      </c>
      <c r="V180" s="52">
        <f t="shared" si="77"/>
        <v>0.35678732893028609</v>
      </c>
    </row>
    <row r="182" spans="1:22" ht="24" thickBot="1">
      <c r="A182" s="260"/>
      <c r="B182" s="14" t="s">
        <v>1031</v>
      </c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</row>
    <row r="183" spans="1:22">
      <c r="A183" s="260"/>
      <c r="B183" s="2" t="s">
        <v>29</v>
      </c>
      <c r="F183" s="6">
        <f>Output_FSL!$F$34</f>
        <v>1</v>
      </c>
    </row>
    <row r="184" spans="1:22">
      <c r="A184" s="260"/>
      <c r="B184" s="407" t="s">
        <v>623</v>
      </c>
      <c r="I184" s="48">
        <f>SUM(J184:V184)</f>
        <v>37.372163386765095</v>
      </c>
      <c r="J184" s="23">
        <f>'Output_Standalone (IDR)'!J208/USD_IDR*Thousands</f>
        <v>0</v>
      </c>
      <c r="K184" s="23">
        <f>'Output_Standalone (IDR)'!K208/USD_IDR*Thousands</f>
        <v>0</v>
      </c>
      <c r="L184" s="23">
        <f>'Output_Standalone (IDR)'!L208/USD_IDR*Thousands</f>
        <v>0</v>
      </c>
      <c r="M184" s="23">
        <f>'Output_Standalone (IDR)'!M208/USD_IDR*Thousands</f>
        <v>3.2599927451583151</v>
      </c>
      <c r="N184" s="23">
        <f>'Output_Standalone (IDR)'!N208/USD_IDR*Thousands</f>
        <v>3.3577925275130647</v>
      </c>
      <c r="O184" s="23">
        <f>'Output_Standalone (IDR)'!O208/USD_IDR*Thousands</f>
        <v>3.458526303338457</v>
      </c>
      <c r="P184" s="23">
        <f>'Output_Standalone (IDR)'!P208/USD_IDR*Thousands</f>
        <v>3.5622820924386107</v>
      </c>
      <c r="Q184" s="23">
        <f>'Output_Standalone (IDR)'!Q208/USD_IDR*Thousands</f>
        <v>3.6691505552117691</v>
      </c>
      <c r="R184" s="23">
        <f>'Output_Standalone (IDR)'!R208/USD_IDR*Thousands</f>
        <v>3.7792250718681224</v>
      </c>
      <c r="S184" s="23">
        <f>'Output_Standalone (IDR)'!S208/USD_IDR*Thousands</f>
        <v>3.8926018240241667</v>
      </c>
      <c r="T184" s="23">
        <f>'Output_Standalone (IDR)'!T208/USD_IDR*Thousands</f>
        <v>4.0093798787448902</v>
      </c>
      <c r="U184" s="23">
        <f>'Output_Standalone (IDR)'!U208/USD_IDR*Thousands</f>
        <v>4.1296612751072388</v>
      </c>
      <c r="V184" s="23">
        <f>'Output_Standalone (IDR)'!V208/USD_IDR*Thousands</f>
        <v>4.2535511133604551</v>
      </c>
    </row>
    <row r="185" spans="1:22">
      <c r="A185" s="260"/>
      <c r="B185" s="407" t="s">
        <v>473</v>
      </c>
      <c r="H185" s="21" t="e">
        <f>L185/L184</f>
        <v>#DIV/0!</v>
      </c>
      <c r="I185" s="48">
        <f>SUM(J185:V185)</f>
        <v>-3.7372163386765087</v>
      </c>
      <c r="J185" s="23">
        <f>'Output_Standalone (IDR)'!J209/USD_IDR*Thousands</f>
        <v>0</v>
      </c>
      <c r="K185" s="23">
        <f>'Output_Standalone (IDR)'!K209/USD_IDR*Thousands</f>
        <v>0</v>
      </c>
      <c r="L185" s="23">
        <f>'Output_Standalone (IDR)'!L209/USD_IDR*Thousands</f>
        <v>0</v>
      </c>
      <c r="M185" s="23">
        <f>'Output_Standalone (IDR)'!M209/USD_IDR*Thousands</f>
        <v>-0.32599927451583149</v>
      </c>
      <c r="N185" s="23">
        <f>'Output_Standalone (IDR)'!N209/USD_IDR*Thousands</f>
        <v>-0.33577925275130643</v>
      </c>
      <c r="O185" s="23">
        <f>'Output_Standalone (IDR)'!O209/USD_IDR*Thousands</f>
        <v>-0.34585263033384572</v>
      </c>
      <c r="P185" s="23">
        <f>'Output_Standalone (IDR)'!P209/USD_IDR*Thousands</f>
        <v>-0.35622820924386106</v>
      </c>
      <c r="Q185" s="23">
        <f>'Output_Standalone (IDR)'!Q209/USD_IDR*Thousands</f>
        <v>-0.36691505552117692</v>
      </c>
      <c r="R185" s="23">
        <f>'Output_Standalone (IDR)'!R209/USD_IDR*Thousands</f>
        <v>-0.37792250718681225</v>
      </c>
      <c r="S185" s="23">
        <f>'Output_Standalone (IDR)'!S209/USD_IDR*Thousands</f>
        <v>-0.38926018240241661</v>
      </c>
      <c r="T185" s="23">
        <f>'Output_Standalone (IDR)'!T209/USD_IDR*Thousands</f>
        <v>-0.40093798787448909</v>
      </c>
      <c r="U185" s="23">
        <f>'Output_Standalone (IDR)'!U209/USD_IDR*Thousands</f>
        <v>-0.41296612751072381</v>
      </c>
      <c r="V185" s="23">
        <f>'Output_Standalone (IDR)'!V209/USD_IDR*Thousands</f>
        <v>-0.42535511133604553</v>
      </c>
    </row>
    <row r="186" spans="1:22">
      <c r="A186" s="260"/>
      <c r="B186" s="28" t="s">
        <v>1017</v>
      </c>
      <c r="C186" s="28"/>
      <c r="D186" s="28"/>
      <c r="E186" s="28"/>
      <c r="F186" s="28"/>
      <c r="G186" s="28"/>
      <c r="H186" s="28"/>
      <c r="I186" s="49">
        <f>SUM(J186:V186)</f>
        <v>33.634947048088584</v>
      </c>
      <c r="J186" s="47">
        <f t="shared" ref="J186:V186" si="78">SUM(J184:J185)</f>
        <v>0</v>
      </c>
      <c r="K186" s="47">
        <f t="shared" si="78"/>
        <v>0</v>
      </c>
      <c r="L186" s="47">
        <f t="shared" si="78"/>
        <v>0</v>
      </c>
      <c r="M186" s="47">
        <f t="shared" si="78"/>
        <v>2.9339934706424837</v>
      </c>
      <c r="N186" s="47">
        <f t="shared" si="78"/>
        <v>3.0220132747617581</v>
      </c>
      <c r="O186" s="47">
        <f t="shared" si="78"/>
        <v>3.1126736730046112</v>
      </c>
      <c r="P186" s="47">
        <f t="shared" si="78"/>
        <v>3.2060538831947496</v>
      </c>
      <c r="Q186" s="47">
        <f t="shared" si="78"/>
        <v>3.302235499690592</v>
      </c>
      <c r="R186" s="47">
        <f t="shared" si="78"/>
        <v>3.40130256468131</v>
      </c>
      <c r="S186" s="47">
        <f t="shared" si="78"/>
        <v>3.5033416416217502</v>
      </c>
      <c r="T186" s="47">
        <f t="shared" si="78"/>
        <v>3.608441890870401</v>
      </c>
      <c r="U186" s="47">
        <f t="shared" si="78"/>
        <v>3.7166951475965151</v>
      </c>
      <c r="V186" s="47">
        <f t="shared" si="78"/>
        <v>3.8281960020244097</v>
      </c>
    </row>
    <row r="187" spans="1:22">
      <c r="A187" s="260"/>
      <c r="L187" s="1"/>
    </row>
    <row r="188" spans="1:22">
      <c r="A188" s="260"/>
      <c r="B188" t="s">
        <v>852</v>
      </c>
      <c r="I188" s="48">
        <f>SUM(J188:V188)</f>
        <v>-18.686081693382548</v>
      </c>
      <c r="J188">
        <f>'Output_Standalone (IDR)'!J212/USD_IDR*Thousands</f>
        <v>0</v>
      </c>
      <c r="K188">
        <f>'Output_Standalone (IDR)'!K212/USD_IDR*Thousands</f>
        <v>0</v>
      </c>
      <c r="L188">
        <f>'Output_Standalone (IDR)'!L212/USD_IDR*Thousands</f>
        <v>0</v>
      </c>
      <c r="M188">
        <f>'Output_Standalone (IDR)'!M212/USD_IDR*Thousands</f>
        <v>-1.6299963725791575</v>
      </c>
      <c r="N188">
        <f>'Output_Standalone (IDR)'!N212/USD_IDR*Thousands</f>
        <v>-1.6788962637565323</v>
      </c>
      <c r="O188">
        <f>'Output_Standalone (IDR)'!O212/USD_IDR*Thousands</f>
        <v>-1.7292631516692285</v>
      </c>
      <c r="P188">
        <f>'Output_Standalone (IDR)'!P212/USD_IDR*Thousands</f>
        <v>-1.7811410462193054</v>
      </c>
      <c r="Q188">
        <f>'Output_Standalone (IDR)'!Q212/USD_IDR*Thousands</f>
        <v>-1.8345752776058846</v>
      </c>
      <c r="R188">
        <f>'Output_Standalone (IDR)'!R212/USD_IDR*Thousands</f>
        <v>-1.8896125359340612</v>
      </c>
      <c r="S188">
        <f>'Output_Standalone (IDR)'!S212/USD_IDR*Thousands</f>
        <v>-1.9463009120120833</v>
      </c>
      <c r="T188">
        <f>'Output_Standalone (IDR)'!T212/USD_IDR*Thousands</f>
        <v>-2.0046899393724451</v>
      </c>
      <c r="U188">
        <f>'Output_Standalone (IDR)'!U212/USD_IDR*Thousands</f>
        <v>-2.0648306375536194</v>
      </c>
      <c r="V188">
        <f>'Output_Standalone (IDR)'!V212/USD_IDR*Thousands</f>
        <v>-2.1267755566802276</v>
      </c>
    </row>
    <row r="189" spans="1:22">
      <c r="A189" s="260"/>
      <c r="B189" s="28" t="s">
        <v>139</v>
      </c>
      <c r="C189" s="28"/>
      <c r="D189" s="28"/>
      <c r="E189" s="28"/>
      <c r="F189" s="28"/>
      <c r="G189" s="28"/>
      <c r="H189" s="28"/>
      <c r="I189" s="49">
        <f>SUM(J189:V189)</f>
        <v>14.948865354706035</v>
      </c>
      <c r="J189" s="47">
        <f t="shared" ref="J189:V189" si="79">SUM(J186,J188)</f>
        <v>0</v>
      </c>
      <c r="K189" s="47">
        <f t="shared" si="79"/>
        <v>0</v>
      </c>
      <c r="L189" s="47">
        <f t="shared" si="79"/>
        <v>0</v>
      </c>
      <c r="M189" s="47">
        <f t="shared" si="79"/>
        <v>1.3039970980633262</v>
      </c>
      <c r="N189" s="47">
        <f t="shared" si="79"/>
        <v>1.3431170110052257</v>
      </c>
      <c r="O189" s="47">
        <f t="shared" si="79"/>
        <v>1.3834105213353827</v>
      </c>
      <c r="P189" s="47">
        <f t="shared" si="79"/>
        <v>1.4249128369754442</v>
      </c>
      <c r="Q189" s="47">
        <f t="shared" si="79"/>
        <v>1.4676602220847075</v>
      </c>
      <c r="R189" s="47">
        <f t="shared" si="79"/>
        <v>1.5116900287472488</v>
      </c>
      <c r="S189" s="47">
        <f t="shared" si="79"/>
        <v>1.5570407296096669</v>
      </c>
      <c r="T189" s="47">
        <f t="shared" si="79"/>
        <v>1.6037519514979559</v>
      </c>
      <c r="U189" s="47">
        <f t="shared" si="79"/>
        <v>1.6518645100428957</v>
      </c>
      <c r="V189" s="47">
        <f t="shared" si="79"/>
        <v>1.7014204453441821</v>
      </c>
    </row>
    <row r="190" spans="1:22">
      <c r="A190" s="260"/>
    </row>
    <row r="191" spans="1:22">
      <c r="A191" s="260"/>
      <c r="B191" t="s">
        <v>1018</v>
      </c>
      <c r="I191" s="49">
        <f>SUM(J191:V191)</f>
        <v>0</v>
      </c>
      <c r="J191" s="23">
        <f>'Output_Standalone (IDR)'!J215/USD_IDR*Thousands</f>
        <v>0</v>
      </c>
      <c r="K191" s="23">
        <f>'Output_Standalone (IDR)'!K215/USD_IDR*Thousands</f>
        <v>0</v>
      </c>
      <c r="L191" s="23">
        <f>'Output_Standalone (IDR)'!L215/USD_IDR*Thousands</f>
        <v>0</v>
      </c>
      <c r="M191" s="23">
        <f>'Output_Standalone (IDR)'!M215/USD_IDR*Thousands</f>
        <v>0</v>
      </c>
      <c r="N191" s="23">
        <f>'Output_Standalone (IDR)'!N215/USD_IDR*Thousands</f>
        <v>0</v>
      </c>
      <c r="O191" s="23">
        <f>'Output_Standalone (IDR)'!O215/USD_IDR*Thousands</f>
        <v>0</v>
      </c>
      <c r="P191" s="23">
        <f>'Output_Standalone (IDR)'!P215/USD_IDR*Thousands</f>
        <v>0</v>
      </c>
      <c r="Q191" s="23">
        <f>'Output_Standalone (IDR)'!Q215/USD_IDR*Thousands</f>
        <v>0</v>
      </c>
      <c r="R191" s="23">
        <f>'Output_Standalone (IDR)'!R215/USD_IDR*Thousands</f>
        <v>0</v>
      </c>
      <c r="S191" s="23">
        <f>'Output_Standalone (IDR)'!S215/USD_IDR*Thousands</f>
        <v>0</v>
      </c>
      <c r="T191" s="23">
        <f>'Output_Standalone (IDR)'!T215/USD_IDR*Thousands</f>
        <v>0</v>
      </c>
      <c r="U191" s="23">
        <f>'Output_Standalone (IDR)'!U215/USD_IDR*Thousands</f>
        <v>0</v>
      </c>
      <c r="V191" s="23">
        <f>'Output_Standalone (IDR)'!V215/USD_IDR*Thousands</f>
        <v>0</v>
      </c>
    </row>
    <row r="192" spans="1:22">
      <c r="A192" s="260"/>
      <c r="B192" s="28" t="s">
        <v>434</v>
      </c>
      <c r="C192" s="28"/>
      <c r="D192" s="28"/>
      <c r="E192" s="28"/>
      <c r="F192" s="28"/>
      <c r="G192" s="28"/>
      <c r="H192" s="28"/>
      <c r="I192" s="49">
        <f>SUM(J192:V192)</f>
        <v>14.948865354706035</v>
      </c>
      <c r="J192" s="47">
        <f t="shared" ref="J192:V192" si="80">SUM(J189,J191)</f>
        <v>0</v>
      </c>
      <c r="K192" s="47">
        <f t="shared" si="80"/>
        <v>0</v>
      </c>
      <c r="L192" s="47">
        <f t="shared" si="80"/>
        <v>0</v>
      </c>
      <c r="M192" s="47">
        <f t="shared" si="80"/>
        <v>1.3039970980633262</v>
      </c>
      <c r="N192" s="47">
        <f t="shared" si="80"/>
        <v>1.3431170110052257</v>
      </c>
      <c r="O192" s="47">
        <f t="shared" si="80"/>
        <v>1.3834105213353827</v>
      </c>
      <c r="P192" s="47">
        <f t="shared" si="80"/>
        <v>1.4249128369754442</v>
      </c>
      <c r="Q192" s="47">
        <f t="shared" si="80"/>
        <v>1.4676602220847075</v>
      </c>
      <c r="R192" s="47">
        <f t="shared" si="80"/>
        <v>1.5116900287472488</v>
      </c>
      <c r="S192" s="47">
        <f t="shared" si="80"/>
        <v>1.5570407296096669</v>
      </c>
      <c r="T192" s="47">
        <f t="shared" si="80"/>
        <v>1.6037519514979559</v>
      </c>
      <c r="U192" s="47">
        <f t="shared" si="80"/>
        <v>1.6518645100428957</v>
      </c>
      <c r="V192" s="47">
        <f t="shared" si="80"/>
        <v>1.7014204453441821</v>
      </c>
    </row>
    <row r="193" spans="1:22">
      <c r="A193" s="260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</row>
    <row r="194" spans="1:22">
      <c r="A194" s="260"/>
      <c r="B194" t="s">
        <v>881</v>
      </c>
      <c r="I194" s="48">
        <f>SUM(J194:V194)</f>
        <v>0</v>
      </c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</row>
    <row r="195" spans="1:22">
      <c r="A195" s="260"/>
      <c r="B195" s="28" t="s">
        <v>1019</v>
      </c>
      <c r="C195" s="28"/>
      <c r="D195" s="28"/>
      <c r="E195" s="28"/>
      <c r="F195" s="28"/>
      <c r="G195" s="28"/>
      <c r="H195" s="28"/>
      <c r="I195" s="48">
        <f>SUM(J195:V195)</f>
        <v>14.948865354706035</v>
      </c>
      <c r="J195" s="47">
        <f t="shared" ref="J195:V195" si="81">SUM(J192,J194)</f>
        <v>0</v>
      </c>
      <c r="K195" s="47">
        <f t="shared" si="81"/>
        <v>0</v>
      </c>
      <c r="L195" s="47">
        <f t="shared" si="81"/>
        <v>0</v>
      </c>
      <c r="M195" s="47">
        <f t="shared" si="81"/>
        <v>1.3039970980633262</v>
      </c>
      <c r="N195" s="47">
        <f t="shared" si="81"/>
        <v>1.3431170110052257</v>
      </c>
      <c r="O195" s="47">
        <f t="shared" si="81"/>
        <v>1.3834105213353827</v>
      </c>
      <c r="P195" s="47">
        <f t="shared" si="81"/>
        <v>1.4249128369754442</v>
      </c>
      <c r="Q195" s="47">
        <f t="shared" si="81"/>
        <v>1.4676602220847075</v>
      </c>
      <c r="R195" s="47">
        <f t="shared" si="81"/>
        <v>1.5116900287472488</v>
      </c>
      <c r="S195" s="47">
        <f t="shared" si="81"/>
        <v>1.5570407296096669</v>
      </c>
      <c r="T195" s="47">
        <f t="shared" si="81"/>
        <v>1.6037519514979559</v>
      </c>
      <c r="U195" s="47">
        <f t="shared" si="81"/>
        <v>1.6518645100428957</v>
      </c>
      <c r="V195" s="47">
        <f t="shared" si="81"/>
        <v>1.7014204453441821</v>
      </c>
    </row>
    <row r="196" spans="1:22">
      <c r="A196" s="260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</row>
    <row r="197" spans="1:22">
      <c r="A197" s="260"/>
      <c r="B197" t="s">
        <v>759</v>
      </c>
      <c r="I197" s="48">
        <f>SUM(J197:V197)</f>
        <v>-3.2887503780353278</v>
      </c>
      <c r="J197" s="23">
        <f>-IF(J195&lt;0,0,J195*22%)</f>
        <v>0</v>
      </c>
      <c r="K197" s="23">
        <f t="shared" ref="K197:V197" si="82">-IF(K195&lt;0,0,K195*22%)</f>
        <v>0</v>
      </c>
      <c r="L197" s="23">
        <f t="shared" si="82"/>
        <v>0</v>
      </c>
      <c r="M197" s="23">
        <f t="shared" si="82"/>
        <v>-0.28687936157393179</v>
      </c>
      <c r="N197" s="23">
        <f t="shared" si="82"/>
        <v>-0.29548574242114967</v>
      </c>
      <c r="O197" s="23">
        <f t="shared" si="82"/>
        <v>-0.30435031469378421</v>
      </c>
      <c r="P197" s="23">
        <f t="shared" si="82"/>
        <v>-0.31348082413459771</v>
      </c>
      <c r="Q197" s="23">
        <f t="shared" si="82"/>
        <v>-0.32288524885863562</v>
      </c>
      <c r="R197" s="23">
        <f t="shared" si="82"/>
        <v>-0.33257180632439476</v>
      </c>
      <c r="S197" s="23">
        <f t="shared" si="82"/>
        <v>-0.3425489605141267</v>
      </c>
      <c r="T197" s="23">
        <f t="shared" si="82"/>
        <v>-0.3528254293295503</v>
      </c>
      <c r="U197" s="23">
        <f t="shared" si="82"/>
        <v>-0.36341019220943704</v>
      </c>
      <c r="V197" s="23">
        <f t="shared" si="82"/>
        <v>-0.37431249797572008</v>
      </c>
    </row>
    <row r="198" spans="1:22">
      <c r="A198" s="260"/>
      <c r="B198" s="28" t="s">
        <v>1020</v>
      </c>
      <c r="C198" s="28"/>
      <c r="D198" s="28"/>
      <c r="E198" s="28"/>
      <c r="F198" s="28"/>
      <c r="G198" s="28"/>
      <c r="H198" s="28"/>
      <c r="I198" s="48">
        <f>SUM(J198:V198)</f>
        <v>11.660114976670709</v>
      </c>
      <c r="J198" s="47">
        <f t="shared" ref="J198:V198" si="83">SUM(J195,J197)</f>
        <v>0</v>
      </c>
      <c r="K198" s="47">
        <f t="shared" si="83"/>
        <v>0</v>
      </c>
      <c r="L198" s="47">
        <f t="shared" si="83"/>
        <v>0</v>
      </c>
      <c r="M198" s="47">
        <f t="shared" si="83"/>
        <v>1.0171177364893944</v>
      </c>
      <c r="N198" s="47">
        <f t="shared" si="83"/>
        <v>1.0476312685840761</v>
      </c>
      <c r="O198" s="47">
        <f t="shared" si="83"/>
        <v>1.0790602066415984</v>
      </c>
      <c r="P198" s="47">
        <f t="shared" si="83"/>
        <v>1.1114320128408466</v>
      </c>
      <c r="Q198" s="47">
        <f t="shared" si="83"/>
        <v>1.1447749732260719</v>
      </c>
      <c r="R198" s="47">
        <f t="shared" si="83"/>
        <v>1.179118222422854</v>
      </c>
      <c r="S198" s="47">
        <f t="shared" si="83"/>
        <v>1.2144917690955401</v>
      </c>
      <c r="T198" s="47">
        <f t="shared" si="83"/>
        <v>1.2509265221684056</v>
      </c>
      <c r="U198" s="47">
        <f t="shared" si="83"/>
        <v>1.2884543178334587</v>
      </c>
      <c r="V198" s="47">
        <f t="shared" si="83"/>
        <v>1.3271079473684622</v>
      </c>
    </row>
    <row r="199" spans="1:22">
      <c r="A199" s="260"/>
    </row>
    <row r="200" spans="1:22">
      <c r="A200" s="260"/>
      <c r="B200" s="407" t="s">
        <v>32</v>
      </c>
      <c r="C200" s="407"/>
      <c r="D200" s="407"/>
      <c r="E200" s="407"/>
      <c r="F200" s="407"/>
      <c r="G200" s="407"/>
      <c r="H200" s="407"/>
      <c r="I200" s="407"/>
      <c r="J200" s="9">
        <f>J$8</f>
        <v>2024</v>
      </c>
      <c r="K200" s="9">
        <f t="shared" ref="K200:V200" si="84">K$8</f>
        <v>2025</v>
      </c>
      <c r="L200" s="9">
        <f t="shared" si="84"/>
        <v>2026</v>
      </c>
      <c r="M200" s="9">
        <f t="shared" si="84"/>
        <v>2027</v>
      </c>
      <c r="N200" s="9">
        <f t="shared" si="84"/>
        <v>2028</v>
      </c>
      <c r="O200" s="9">
        <f t="shared" si="84"/>
        <v>2029</v>
      </c>
      <c r="P200" s="9">
        <f t="shared" si="84"/>
        <v>2030</v>
      </c>
      <c r="Q200" s="9">
        <f t="shared" si="84"/>
        <v>2031</v>
      </c>
      <c r="R200" s="9">
        <f t="shared" si="84"/>
        <v>2032</v>
      </c>
      <c r="S200" s="9">
        <f t="shared" si="84"/>
        <v>2033</v>
      </c>
      <c r="T200" s="9">
        <f t="shared" si="84"/>
        <v>2034</v>
      </c>
      <c r="U200" s="9">
        <f t="shared" si="84"/>
        <v>2035</v>
      </c>
      <c r="V200" s="9">
        <f t="shared" si="84"/>
        <v>2036</v>
      </c>
    </row>
    <row r="201" spans="1:22">
      <c r="A201" s="260"/>
      <c r="B201" s="55" t="s">
        <v>1021</v>
      </c>
      <c r="C201" s="51"/>
      <c r="D201" s="51"/>
      <c r="E201" s="51"/>
      <c r="F201" s="51"/>
      <c r="G201" s="51"/>
      <c r="H201" s="51"/>
      <c r="I201" s="51"/>
      <c r="J201" s="56">
        <f>IFERROR(J186/J184,0)</f>
        <v>0</v>
      </c>
      <c r="K201" s="56">
        <f t="shared" ref="K201:V201" si="85">IFERROR(K186/K184,0)</f>
        <v>0</v>
      </c>
      <c r="L201" s="56">
        <f t="shared" si="85"/>
        <v>0</v>
      </c>
      <c r="M201" s="56">
        <f t="shared" si="85"/>
        <v>0.9</v>
      </c>
      <c r="N201" s="56">
        <f t="shared" si="85"/>
        <v>0.89999999999999991</v>
      </c>
      <c r="O201" s="56">
        <f t="shared" si="85"/>
        <v>0.89999999999999991</v>
      </c>
      <c r="P201" s="56">
        <f t="shared" si="85"/>
        <v>0.9</v>
      </c>
      <c r="Q201" s="56">
        <f t="shared" si="85"/>
        <v>0.89999999999999991</v>
      </c>
      <c r="R201" s="56">
        <f t="shared" si="85"/>
        <v>0.89999999999999991</v>
      </c>
      <c r="S201" s="56">
        <f t="shared" si="85"/>
        <v>0.9</v>
      </c>
      <c r="T201" s="56">
        <f t="shared" si="85"/>
        <v>0.89999999999999991</v>
      </c>
      <c r="U201" s="56">
        <f t="shared" si="85"/>
        <v>0.9</v>
      </c>
      <c r="V201" s="56">
        <f t="shared" si="85"/>
        <v>0.9</v>
      </c>
    </row>
    <row r="202" spans="1:22">
      <c r="A202" s="260"/>
      <c r="B202" s="55" t="s">
        <v>1022</v>
      </c>
      <c r="C202" s="51"/>
      <c r="D202" s="51"/>
      <c r="E202" s="51"/>
      <c r="F202" s="51"/>
      <c r="G202" s="51"/>
      <c r="H202" s="51"/>
      <c r="I202" s="51"/>
      <c r="J202" s="56">
        <f>IFERROR(J189/J184,0)</f>
        <v>0</v>
      </c>
      <c r="K202" s="52">
        <f t="shared" ref="K202:T202" si="86">IFERROR(K192/K186,0)</f>
        <v>0</v>
      </c>
      <c r="L202" s="52">
        <f t="shared" si="86"/>
        <v>0</v>
      </c>
      <c r="M202" s="52">
        <f t="shared" si="86"/>
        <v>0.44444444444444448</v>
      </c>
      <c r="N202" s="52">
        <f t="shared" si="86"/>
        <v>0.44444444444444442</v>
      </c>
      <c r="O202" s="52">
        <f t="shared" si="86"/>
        <v>0.44444444444444442</v>
      </c>
      <c r="P202" s="52">
        <f t="shared" si="86"/>
        <v>0.44444444444444442</v>
      </c>
      <c r="Q202" s="52">
        <f t="shared" si="86"/>
        <v>0.44444444444444442</v>
      </c>
      <c r="R202" s="52">
        <f t="shared" si="86"/>
        <v>0.44444444444444442</v>
      </c>
      <c r="S202" s="52">
        <f t="shared" si="86"/>
        <v>0.44444444444444448</v>
      </c>
      <c r="T202" s="52">
        <f t="shared" si="86"/>
        <v>0.44444444444444442</v>
      </c>
      <c r="U202" s="52">
        <f>IFERROR(U192/U186,0)</f>
        <v>0.44444444444444448</v>
      </c>
      <c r="V202" s="52">
        <f>IFERROR(V192/V186,0)</f>
        <v>0.44444444444444448</v>
      </c>
    </row>
    <row r="203" spans="1:22">
      <c r="A203" s="260"/>
      <c r="B203" s="55" t="s">
        <v>990</v>
      </c>
      <c r="C203" s="51"/>
      <c r="D203" s="51"/>
      <c r="E203" s="51"/>
      <c r="F203" s="51"/>
      <c r="G203" s="51"/>
      <c r="H203" s="51"/>
      <c r="I203" s="51"/>
      <c r="J203" s="52">
        <f>IFERROR(J198/J184,0)</f>
        <v>0</v>
      </c>
      <c r="K203" s="52">
        <f t="shared" ref="K203:V203" si="87">IFERROR(K198/K184,0)</f>
        <v>0</v>
      </c>
      <c r="L203" s="52">
        <f t="shared" si="87"/>
        <v>0</v>
      </c>
      <c r="M203" s="52">
        <f t="shared" si="87"/>
        <v>0.31200000000000006</v>
      </c>
      <c r="N203" s="52">
        <f t="shared" si="87"/>
        <v>0.31199999999999994</v>
      </c>
      <c r="O203" s="52">
        <f t="shared" si="87"/>
        <v>0.31199999999999994</v>
      </c>
      <c r="P203" s="52">
        <f t="shared" si="87"/>
        <v>0.312</v>
      </c>
      <c r="Q203" s="52">
        <f t="shared" si="87"/>
        <v>0.312</v>
      </c>
      <c r="R203" s="52">
        <f t="shared" si="87"/>
        <v>0.31199999999999994</v>
      </c>
      <c r="S203" s="52">
        <f t="shared" si="87"/>
        <v>0.31200000000000006</v>
      </c>
      <c r="T203" s="52">
        <f t="shared" si="87"/>
        <v>0.31199999999999994</v>
      </c>
      <c r="U203" s="52">
        <f t="shared" si="87"/>
        <v>0.31200000000000006</v>
      </c>
      <c r="V203" s="52">
        <f t="shared" si="87"/>
        <v>0.31200000000000006</v>
      </c>
    </row>
    <row r="205" spans="1:22" ht="24" thickBot="1">
      <c r="A205" s="260"/>
      <c r="B205" s="14" t="s">
        <v>1032</v>
      </c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</row>
    <row r="206" spans="1:22">
      <c r="A206" s="260"/>
      <c r="B206" s="2" t="s">
        <v>29</v>
      </c>
      <c r="F206" s="6">
        <f>Output_FSL!$F$36</f>
        <v>1</v>
      </c>
    </row>
    <row r="207" spans="1:22">
      <c r="A207" s="260"/>
      <c r="B207" s="407" t="s">
        <v>623</v>
      </c>
      <c r="I207" s="48">
        <f>SUM(J207:V207)</f>
        <v>1.0998093796676585</v>
      </c>
      <c r="J207" s="23">
        <f>'Output_Standalone (IDR)'!J231/USD_IDR*Thousands</f>
        <v>0</v>
      </c>
      <c r="K207" s="23">
        <f>'Output_Standalone (IDR)'!K231/USD_IDR*Thousands</f>
        <v>0</v>
      </c>
      <c r="L207" s="23">
        <f>'Output_Standalone (IDR)'!L231/USD_IDR*Thousands</f>
        <v>0</v>
      </c>
      <c r="M207" s="23">
        <f>'Output_Standalone (IDR)'!M231/USD_IDR*Thousands</f>
        <v>9.5936929357516146E-2</v>
      </c>
      <c r="N207" s="23">
        <f>'Output_Standalone (IDR)'!N231/USD_IDR*Thousands</f>
        <v>9.8815037238241629E-2</v>
      </c>
      <c r="O207" s="23">
        <f>'Output_Standalone (IDR)'!O231/USD_IDR*Thousands</f>
        <v>0.10177948835538886</v>
      </c>
      <c r="P207" s="23">
        <f>'Output_Standalone (IDR)'!P231/USD_IDR*Thousands</f>
        <v>0.10483287300605056</v>
      </c>
      <c r="Q207" s="23">
        <f>'Output_Standalone (IDR)'!Q231/USD_IDR*Thousands</f>
        <v>0.10797785919623208</v>
      </c>
      <c r="R207" s="23">
        <f>'Output_Standalone (IDR)'!R231/USD_IDR*Thousands</f>
        <v>0.11121719497211904</v>
      </c>
      <c r="S207" s="23">
        <f>'Output_Standalone (IDR)'!S231/USD_IDR*Thousands</f>
        <v>0.11455371082128261</v>
      </c>
      <c r="T207" s="23">
        <f>'Output_Standalone (IDR)'!T231/USD_IDR*Thousands</f>
        <v>0.11799032214592109</v>
      </c>
      <c r="U207" s="23">
        <f>'Output_Standalone (IDR)'!U231/USD_IDR*Thousands</f>
        <v>0.12153003181029873</v>
      </c>
      <c r="V207" s="23">
        <f>'Output_Standalone (IDR)'!V231/USD_IDR*Thousands</f>
        <v>0.12517593276460767</v>
      </c>
    </row>
    <row r="208" spans="1:22">
      <c r="A208" s="260"/>
      <c r="B208" s="407" t="s">
        <v>473</v>
      </c>
      <c r="H208" s="21" t="e">
        <f>L208/L207</f>
        <v>#DIV/0!</v>
      </c>
      <c r="I208" s="48">
        <f>SUM(J208:V208)</f>
        <v>0</v>
      </c>
      <c r="J208" s="276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</row>
    <row r="209" spans="1:22">
      <c r="A209" s="260"/>
      <c r="B209" s="28" t="s">
        <v>1017</v>
      </c>
      <c r="C209" s="28"/>
      <c r="D209" s="28"/>
      <c r="E209" s="28"/>
      <c r="F209" s="28"/>
      <c r="G209" s="28"/>
      <c r="H209" s="28"/>
      <c r="I209" s="49">
        <f>SUM(J209:V209)</f>
        <v>1.0998093796676585</v>
      </c>
      <c r="J209" s="47">
        <f t="shared" ref="J209:V209" si="88">SUM(J207:J208)</f>
        <v>0</v>
      </c>
      <c r="K209" s="47">
        <f t="shared" si="88"/>
        <v>0</v>
      </c>
      <c r="L209" s="47">
        <f t="shared" si="88"/>
        <v>0</v>
      </c>
      <c r="M209" s="47">
        <f t="shared" si="88"/>
        <v>9.5936929357516146E-2</v>
      </c>
      <c r="N209" s="47">
        <f t="shared" si="88"/>
        <v>9.8815037238241629E-2</v>
      </c>
      <c r="O209" s="47">
        <f t="shared" si="88"/>
        <v>0.10177948835538886</v>
      </c>
      <c r="P209" s="47">
        <f t="shared" si="88"/>
        <v>0.10483287300605056</v>
      </c>
      <c r="Q209" s="47">
        <f t="shared" si="88"/>
        <v>0.10797785919623208</v>
      </c>
      <c r="R209" s="47">
        <f t="shared" si="88"/>
        <v>0.11121719497211904</v>
      </c>
      <c r="S209" s="47">
        <f t="shared" si="88"/>
        <v>0.11455371082128261</v>
      </c>
      <c r="T209" s="47">
        <f t="shared" si="88"/>
        <v>0.11799032214592109</v>
      </c>
      <c r="U209" s="47">
        <f t="shared" si="88"/>
        <v>0.12153003181029873</v>
      </c>
      <c r="V209" s="47">
        <f t="shared" si="88"/>
        <v>0.12517593276460767</v>
      </c>
    </row>
    <row r="210" spans="1:22">
      <c r="A210" s="260"/>
      <c r="L210" s="1"/>
    </row>
    <row r="211" spans="1:22">
      <c r="A211" s="260"/>
      <c r="B211" t="s">
        <v>852</v>
      </c>
      <c r="I211" s="48">
        <f>SUM(J211:V211)</f>
        <v>-0.21996187593353167</v>
      </c>
      <c r="J211">
        <f>'Output_Standalone (IDR)'!J235/USD_IDR*Thousands</f>
        <v>0</v>
      </c>
      <c r="K211">
        <f>'Output_Standalone (IDR)'!K235/USD_IDR*Thousands</f>
        <v>0</v>
      </c>
      <c r="L211">
        <f>'Output_Standalone (IDR)'!L235/USD_IDR*Thousands</f>
        <v>0</v>
      </c>
      <c r="M211">
        <f>'Output_Standalone (IDR)'!M235/USD_IDR*Thousands</f>
        <v>-1.9187385871503228E-2</v>
      </c>
      <c r="N211">
        <f>'Output_Standalone (IDR)'!N235/USD_IDR*Thousands</f>
        <v>-1.9763007447648327E-2</v>
      </c>
      <c r="O211">
        <f>'Output_Standalone (IDR)'!O235/USD_IDR*Thousands</f>
        <v>-2.0355897671077774E-2</v>
      </c>
      <c r="P211">
        <f>'Output_Standalone (IDR)'!P235/USD_IDR*Thousands</f>
        <v>-2.0966574601210111E-2</v>
      </c>
      <c r="Q211">
        <f>'Output_Standalone (IDR)'!Q235/USD_IDR*Thousands</f>
        <v>-2.1595571839246416E-2</v>
      </c>
      <c r="R211">
        <f>'Output_Standalone (IDR)'!R235/USD_IDR*Thousands</f>
        <v>-2.2243438994423808E-2</v>
      </c>
      <c r="S211">
        <f>'Output_Standalone (IDR)'!S235/USD_IDR*Thousands</f>
        <v>-2.2910742164256523E-2</v>
      </c>
      <c r="T211">
        <f>'Output_Standalone (IDR)'!T235/USD_IDR*Thousands</f>
        <v>-2.3598064429184221E-2</v>
      </c>
      <c r="U211">
        <f>'Output_Standalone (IDR)'!U235/USD_IDR*Thousands</f>
        <v>-2.4306006362059748E-2</v>
      </c>
      <c r="V211">
        <f>'Output_Standalone (IDR)'!V235/USD_IDR*Thousands</f>
        <v>-2.5035186552921539E-2</v>
      </c>
    </row>
    <row r="212" spans="1:22">
      <c r="A212" s="260"/>
      <c r="B212" s="28" t="s">
        <v>139</v>
      </c>
      <c r="C212" s="28"/>
      <c r="D212" s="28"/>
      <c r="E212" s="28"/>
      <c r="F212" s="28"/>
      <c r="G212" s="28"/>
      <c r="H212" s="28"/>
      <c r="I212" s="49">
        <f>SUM(J212:V212)</f>
        <v>0.87984750373412668</v>
      </c>
      <c r="J212" s="47">
        <f t="shared" ref="J212:V212" si="89">SUM(J209,J211)</f>
        <v>0</v>
      </c>
      <c r="K212" s="47">
        <f t="shared" si="89"/>
        <v>0</v>
      </c>
      <c r="L212" s="47">
        <f t="shared" si="89"/>
        <v>0</v>
      </c>
      <c r="M212" s="47">
        <f t="shared" si="89"/>
        <v>7.6749543486012914E-2</v>
      </c>
      <c r="N212" s="47">
        <f t="shared" si="89"/>
        <v>7.9052029790593309E-2</v>
      </c>
      <c r="O212" s="47">
        <f t="shared" si="89"/>
        <v>8.1423590684311084E-2</v>
      </c>
      <c r="P212" s="47">
        <f t="shared" si="89"/>
        <v>8.3866298404840445E-2</v>
      </c>
      <c r="Q212" s="47">
        <f t="shared" si="89"/>
        <v>8.6382287356985665E-2</v>
      </c>
      <c r="R212" s="47">
        <f t="shared" si="89"/>
        <v>8.8973755977695232E-2</v>
      </c>
      <c r="S212" s="47">
        <f t="shared" si="89"/>
        <v>9.1642968657026092E-2</v>
      </c>
      <c r="T212" s="47">
        <f t="shared" si="89"/>
        <v>9.4392257716736871E-2</v>
      </c>
      <c r="U212" s="47">
        <f t="shared" si="89"/>
        <v>9.7224025448238979E-2</v>
      </c>
      <c r="V212" s="47">
        <f t="shared" si="89"/>
        <v>0.10014074621168613</v>
      </c>
    </row>
    <row r="213" spans="1:22">
      <c r="A213" s="260"/>
    </row>
    <row r="214" spans="1:22">
      <c r="A214" s="260"/>
      <c r="B214" t="s">
        <v>1018</v>
      </c>
      <c r="I214" s="49">
        <f>SUM(J214:V214)</f>
        <v>-8.0000000000000029E-2</v>
      </c>
      <c r="J214" s="23">
        <f>'Output_Standalone (IDR)'!J238/USD_IDR*Thousands</f>
        <v>0</v>
      </c>
      <c r="K214" s="23">
        <f>'Output_Standalone (IDR)'!K238/USD_IDR*Thousands</f>
        <v>0</v>
      </c>
      <c r="L214" s="23">
        <f>'Output_Standalone (IDR)'!L238/USD_IDR*Thousands</f>
        <v>0</v>
      </c>
      <c r="M214" s="23">
        <f>'Output_Standalone (IDR)'!M238/USD_IDR*Thousands</f>
        <v>-8.0000000000000019E-3</v>
      </c>
      <c r="N214" s="23">
        <f>'Output_Standalone (IDR)'!N238/USD_IDR*Thousands</f>
        <v>-8.0000000000000019E-3</v>
      </c>
      <c r="O214" s="23">
        <f>'Output_Standalone (IDR)'!O238/USD_IDR*Thousands</f>
        <v>-8.0000000000000019E-3</v>
      </c>
      <c r="P214" s="23">
        <f>'Output_Standalone (IDR)'!P238/USD_IDR*Thousands</f>
        <v>-8.0000000000000019E-3</v>
      </c>
      <c r="Q214" s="23">
        <f>'Output_Standalone (IDR)'!Q238/USD_IDR*Thousands</f>
        <v>-8.0000000000000019E-3</v>
      </c>
      <c r="R214" s="23">
        <f>'Output_Standalone (IDR)'!R238/USD_IDR*Thousands</f>
        <v>-8.0000000000000019E-3</v>
      </c>
      <c r="S214" s="23">
        <f>'Output_Standalone (IDR)'!S238/USD_IDR*Thousands</f>
        <v>-8.0000000000000019E-3</v>
      </c>
      <c r="T214" s="23">
        <f>'Output_Standalone (IDR)'!T238/USD_IDR*Thousands</f>
        <v>-8.0000000000000019E-3</v>
      </c>
      <c r="U214" s="23">
        <f>'Output_Standalone (IDR)'!U238/USD_IDR*Thousands</f>
        <v>-8.0000000000000019E-3</v>
      </c>
      <c r="V214" s="23">
        <f>'Output_Standalone (IDR)'!V238/USD_IDR*Thousands</f>
        <v>-8.0000000000000019E-3</v>
      </c>
    </row>
    <row r="215" spans="1:22">
      <c r="A215" s="260"/>
      <c r="B215" s="28" t="s">
        <v>434</v>
      </c>
      <c r="C215" s="28"/>
      <c r="D215" s="28"/>
      <c r="E215" s="28"/>
      <c r="F215" s="28"/>
      <c r="G215" s="28"/>
      <c r="H215" s="28"/>
      <c r="I215" s="49">
        <f>SUM(J215:V215)</f>
        <v>0.79984750373412661</v>
      </c>
      <c r="J215" s="47">
        <f t="shared" ref="J215:V215" si="90">SUM(J212,J214)</f>
        <v>0</v>
      </c>
      <c r="K215" s="47">
        <f t="shared" si="90"/>
        <v>0</v>
      </c>
      <c r="L215" s="47">
        <f t="shared" si="90"/>
        <v>0</v>
      </c>
      <c r="M215" s="47">
        <f t="shared" si="90"/>
        <v>6.8749543486012907E-2</v>
      </c>
      <c r="N215" s="47">
        <f t="shared" si="90"/>
        <v>7.1052029790593302E-2</v>
      </c>
      <c r="O215" s="47">
        <f t="shared" si="90"/>
        <v>7.3423590684311077E-2</v>
      </c>
      <c r="P215" s="47">
        <f t="shared" si="90"/>
        <v>7.5866298404840438E-2</v>
      </c>
      <c r="Q215" s="47">
        <f t="shared" si="90"/>
        <v>7.8382287356985658E-2</v>
      </c>
      <c r="R215" s="47">
        <f t="shared" si="90"/>
        <v>8.0973755977695225E-2</v>
      </c>
      <c r="S215" s="47">
        <f t="shared" si="90"/>
        <v>8.3642968657026084E-2</v>
      </c>
      <c r="T215" s="47">
        <f t="shared" si="90"/>
        <v>8.6392257716736864E-2</v>
      </c>
      <c r="U215" s="47">
        <f t="shared" si="90"/>
        <v>8.9224025448238972E-2</v>
      </c>
      <c r="V215" s="47">
        <f t="shared" si="90"/>
        <v>9.2140746211686123E-2</v>
      </c>
    </row>
    <row r="216" spans="1:22">
      <c r="A216" s="260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</row>
    <row r="217" spans="1:22">
      <c r="A217" s="260"/>
      <c r="B217" t="s">
        <v>881</v>
      </c>
      <c r="I217" s="48">
        <f>SUM(J217:V217)</f>
        <v>0</v>
      </c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</row>
    <row r="218" spans="1:22">
      <c r="A218" s="260"/>
      <c r="B218" s="28" t="s">
        <v>1019</v>
      </c>
      <c r="C218" s="28"/>
      <c r="D218" s="28"/>
      <c r="E218" s="28"/>
      <c r="F218" s="28"/>
      <c r="G218" s="28"/>
      <c r="H218" s="28"/>
      <c r="I218" s="48">
        <f>SUM(J218:V218)</f>
        <v>0.79984750373412661</v>
      </c>
      <c r="J218" s="47">
        <f t="shared" ref="J218:V218" si="91">SUM(J215,J217)</f>
        <v>0</v>
      </c>
      <c r="K218" s="47">
        <f t="shared" si="91"/>
        <v>0</v>
      </c>
      <c r="L218" s="47">
        <f t="shared" si="91"/>
        <v>0</v>
      </c>
      <c r="M218" s="47">
        <f t="shared" si="91"/>
        <v>6.8749543486012907E-2</v>
      </c>
      <c r="N218" s="47">
        <f t="shared" si="91"/>
        <v>7.1052029790593302E-2</v>
      </c>
      <c r="O218" s="47">
        <f t="shared" si="91"/>
        <v>7.3423590684311077E-2</v>
      </c>
      <c r="P218" s="47">
        <f t="shared" si="91"/>
        <v>7.5866298404840438E-2</v>
      </c>
      <c r="Q218" s="47">
        <f t="shared" si="91"/>
        <v>7.8382287356985658E-2</v>
      </c>
      <c r="R218" s="47">
        <f t="shared" si="91"/>
        <v>8.0973755977695225E-2</v>
      </c>
      <c r="S218" s="47">
        <f t="shared" si="91"/>
        <v>8.3642968657026084E-2</v>
      </c>
      <c r="T218" s="47">
        <f t="shared" si="91"/>
        <v>8.6392257716736864E-2</v>
      </c>
      <c r="U218" s="47">
        <f t="shared" si="91"/>
        <v>8.9224025448238972E-2</v>
      </c>
      <c r="V218" s="47">
        <f t="shared" si="91"/>
        <v>9.2140746211686123E-2</v>
      </c>
    </row>
    <row r="219" spans="1:22">
      <c r="A219" s="260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</row>
    <row r="220" spans="1:22">
      <c r="A220" s="260"/>
      <c r="B220" t="s">
        <v>759</v>
      </c>
      <c r="I220" s="48">
        <f>SUM(J220:V220)</f>
        <v>-0.17596645082150786</v>
      </c>
      <c r="J220" s="23">
        <f>-IF(J218&lt;0,0,J218*22%)</f>
        <v>0</v>
      </c>
      <c r="K220" s="23">
        <f t="shared" ref="K220:V220" si="92">-IF(K218&lt;0,0,K218*22%)</f>
        <v>0</v>
      </c>
      <c r="L220" s="23">
        <f t="shared" si="92"/>
        <v>0</v>
      </c>
      <c r="M220" s="23">
        <f t="shared" si="92"/>
        <v>-1.5124899566922839E-2</v>
      </c>
      <c r="N220" s="23">
        <f t="shared" si="92"/>
        <v>-1.5631446553930527E-2</v>
      </c>
      <c r="O220" s="23">
        <f t="shared" si="92"/>
        <v>-1.6153189950548437E-2</v>
      </c>
      <c r="P220" s="23">
        <f t="shared" si="92"/>
        <v>-1.6690585649064896E-2</v>
      </c>
      <c r="Q220" s="23">
        <f t="shared" si="92"/>
        <v>-1.7244103218536845E-2</v>
      </c>
      <c r="R220" s="23">
        <f t="shared" si="92"/>
        <v>-1.7814226315092951E-2</v>
      </c>
      <c r="S220" s="23">
        <f t="shared" si="92"/>
        <v>-1.8401453104545738E-2</v>
      </c>
      <c r="T220" s="23">
        <f t="shared" si="92"/>
        <v>-1.9006296697682109E-2</v>
      </c>
      <c r="U220" s="23">
        <f t="shared" si="92"/>
        <v>-1.9629285598612572E-2</v>
      </c>
      <c r="V220" s="23">
        <f t="shared" si="92"/>
        <v>-2.0270964166570947E-2</v>
      </c>
    </row>
    <row r="221" spans="1:22">
      <c r="A221" s="260"/>
      <c r="B221" s="28" t="s">
        <v>1020</v>
      </c>
      <c r="C221" s="28"/>
      <c r="D221" s="28"/>
      <c r="E221" s="28"/>
      <c r="F221" s="28"/>
      <c r="G221" s="28"/>
      <c r="H221" s="28"/>
      <c r="I221" s="48">
        <f>SUM(J221:V221)</f>
        <v>0.62388105291261886</v>
      </c>
      <c r="J221" s="47">
        <f t="shared" ref="J221:V221" si="93">SUM(J218,J220)</f>
        <v>0</v>
      </c>
      <c r="K221" s="47">
        <f t="shared" si="93"/>
        <v>0</v>
      </c>
      <c r="L221" s="47">
        <f t="shared" si="93"/>
        <v>0</v>
      </c>
      <c r="M221" s="47">
        <f t="shared" si="93"/>
        <v>5.3624643919090068E-2</v>
      </c>
      <c r="N221" s="47">
        <f t="shared" si="93"/>
        <v>5.5420583236662775E-2</v>
      </c>
      <c r="O221" s="47">
        <f t="shared" si="93"/>
        <v>5.727040073376264E-2</v>
      </c>
      <c r="P221" s="47">
        <f t="shared" si="93"/>
        <v>5.9175712755775545E-2</v>
      </c>
      <c r="Q221" s="47">
        <f t="shared" si="93"/>
        <v>6.1138184138448813E-2</v>
      </c>
      <c r="R221" s="47">
        <f t="shared" si="93"/>
        <v>6.3159529662602271E-2</v>
      </c>
      <c r="S221" s="47">
        <f t="shared" si="93"/>
        <v>6.5241515552480339E-2</v>
      </c>
      <c r="T221" s="47">
        <f t="shared" si="93"/>
        <v>6.7385961019054752E-2</v>
      </c>
      <c r="U221" s="47">
        <f t="shared" si="93"/>
        <v>6.95947398496264E-2</v>
      </c>
      <c r="V221" s="47">
        <f t="shared" si="93"/>
        <v>7.1869782045115183E-2</v>
      </c>
    </row>
    <row r="222" spans="1:22">
      <c r="A222" s="260"/>
    </row>
    <row r="223" spans="1:22">
      <c r="A223" s="260"/>
      <c r="B223" s="407" t="s">
        <v>32</v>
      </c>
      <c r="C223" s="407"/>
      <c r="D223" s="407"/>
      <c r="E223" s="407"/>
      <c r="F223" s="407"/>
      <c r="G223" s="407"/>
      <c r="H223" s="407"/>
      <c r="I223" s="407"/>
      <c r="J223" s="9">
        <f>J$8</f>
        <v>2024</v>
      </c>
      <c r="K223" s="9">
        <f t="shared" ref="K223:V223" si="94">K$8</f>
        <v>2025</v>
      </c>
      <c r="L223" s="9">
        <f t="shared" si="94"/>
        <v>2026</v>
      </c>
      <c r="M223" s="9">
        <f t="shared" si="94"/>
        <v>2027</v>
      </c>
      <c r="N223" s="9">
        <f t="shared" si="94"/>
        <v>2028</v>
      </c>
      <c r="O223" s="9">
        <f t="shared" si="94"/>
        <v>2029</v>
      </c>
      <c r="P223" s="9">
        <f t="shared" si="94"/>
        <v>2030</v>
      </c>
      <c r="Q223" s="9">
        <f t="shared" si="94"/>
        <v>2031</v>
      </c>
      <c r="R223" s="9">
        <f t="shared" si="94"/>
        <v>2032</v>
      </c>
      <c r="S223" s="9">
        <f t="shared" si="94"/>
        <v>2033</v>
      </c>
      <c r="T223" s="9">
        <f t="shared" si="94"/>
        <v>2034</v>
      </c>
      <c r="U223" s="9">
        <f t="shared" si="94"/>
        <v>2035</v>
      </c>
      <c r="V223" s="9">
        <f t="shared" si="94"/>
        <v>2036</v>
      </c>
    </row>
    <row r="224" spans="1:22">
      <c r="A224" s="260"/>
      <c r="B224" s="55" t="s">
        <v>1021</v>
      </c>
      <c r="C224" s="51"/>
      <c r="D224" s="51"/>
      <c r="E224" s="51"/>
      <c r="F224" s="51"/>
      <c r="G224" s="51"/>
      <c r="H224" s="51"/>
      <c r="I224" s="51"/>
      <c r="J224" s="56">
        <f>IFERROR(J209/J207,0)</f>
        <v>0</v>
      </c>
      <c r="K224" s="56">
        <f t="shared" ref="K224:V224" si="95">IFERROR(K209/K207,0)</f>
        <v>0</v>
      </c>
      <c r="L224" s="56">
        <f t="shared" si="95"/>
        <v>0</v>
      </c>
      <c r="M224" s="56">
        <f t="shared" si="95"/>
        <v>1</v>
      </c>
      <c r="N224" s="56">
        <f t="shared" si="95"/>
        <v>1</v>
      </c>
      <c r="O224" s="56">
        <f t="shared" si="95"/>
        <v>1</v>
      </c>
      <c r="P224" s="56">
        <f t="shared" si="95"/>
        <v>1</v>
      </c>
      <c r="Q224" s="56">
        <f t="shared" si="95"/>
        <v>1</v>
      </c>
      <c r="R224" s="56">
        <f t="shared" si="95"/>
        <v>1</v>
      </c>
      <c r="S224" s="56">
        <f t="shared" si="95"/>
        <v>1</v>
      </c>
      <c r="T224" s="56">
        <f t="shared" si="95"/>
        <v>1</v>
      </c>
      <c r="U224" s="56">
        <f t="shared" si="95"/>
        <v>1</v>
      </c>
      <c r="V224" s="56">
        <f t="shared" si="95"/>
        <v>1</v>
      </c>
    </row>
    <row r="225" spans="1:22">
      <c r="A225" s="260"/>
      <c r="B225" s="55" t="s">
        <v>1022</v>
      </c>
      <c r="C225" s="51"/>
      <c r="D225" s="51"/>
      <c r="E225" s="51"/>
      <c r="F225" s="51"/>
      <c r="G225" s="51"/>
      <c r="H225" s="51"/>
      <c r="I225" s="51"/>
      <c r="J225" s="56">
        <f>IFERROR(J212/J207,0)</f>
        <v>0</v>
      </c>
      <c r="K225" s="52">
        <f t="shared" ref="K225:T225" si="96">IFERROR(K215/K209,0)</f>
        <v>0</v>
      </c>
      <c r="L225" s="52">
        <f t="shared" si="96"/>
        <v>0</v>
      </c>
      <c r="M225" s="52">
        <f t="shared" si="96"/>
        <v>0.71661188185221758</v>
      </c>
      <c r="N225" s="52">
        <f t="shared" si="96"/>
        <v>0.71904066199244432</v>
      </c>
      <c r="O225" s="52">
        <f t="shared" si="96"/>
        <v>0.72139870096353809</v>
      </c>
      <c r="P225" s="52">
        <f t="shared" si="96"/>
        <v>0.72368805918790113</v>
      </c>
      <c r="Q225" s="52">
        <f t="shared" si="96"/>
        <v>0.72591073707563214</v>
      </c>
      <c r="R225" s="52">
        <f t="shared" si="96"/>
        <v>0.72806867677245835</v>
      </c>
      <c r="S225" s="52">
        <f t="shared" si="96"/>
        <v>0.73016376385675574</v>
      </c>
      <c r="T225" s="52">
        <f t="shared" si="96"/>
        <v>0.73219782898714147</v>
      </c>
      <c r="U225" s="52">
        <f>IFERROR(U215/U209,0)</f>
        <v>0.73417264950207906</v>
      </c>
      <c r="V225" s="52">
        <f>IFERROR(V215/V209,0)</f>
        <v>0.73608995097289232</v>
      </c>
    </row>
    <row r="226" spans="1:22">
      <c r="A226" s="260"/>
      <c r="B226" s="55" t="s">
        <v>990</v>
      </c>
      <c r="C226" s="51"/>
      <c r="D226" s="51"/>
      <c r="E226" s="51"/>
      <c r="F226" s="51"/>
      <c r="G226" s="51"/>
      <c r="H226" s="51"/>
      <c r="I226" s="51"/>
      <c r="J226" s="52">
        <f>IFERROR(J221/J207,0)</f>
        <v>0</v>
      </c>
      <c r="K226" s="52">
        <f t="shared" ref="K226:V226" si="97">IFERROR(K221/K207,0)</f>
        <v>0</v>
      </c>
      <c r="L226" s="52">
        <f t="shared" si="97"/>
        <v>0</v>
      </c>
      <c r="M226" s="52">
        <f t="shared" si="97"/>
        <v>0.55895726784472977</v>
      </c>
      <c r="N226" s="52">
        <f t="shared" si="97"/>
        <v>0.56085171635410658</v>
      </c>
      <c r="O226" s="52">
        <f t="shared" si="97"/>
        <v>0.56269098675155971</v>
      </c>
      <c r="P226" s="52">
        <f t="shared" si="97"/>
        <v>0.56447668616656288</v>
      </c>
      <c r="Q226" s="52">
        <f t="shared" si="97"/>
        <v>0.56621037491899306</v>
      </c>
      <c r="R226" s="52">
        <f t="shared" si="97"/>
        <v>0.56789356788251755</v>
      </c>
      <c r="S226" s="52">
        <f t="shared" si="97"/>
        <v>0.56952773580826943</v>
      </c>
      <c r="T226" s="52">
        <f t="shared" si="97"/>
        <v>0.57111430660997031</v>
      </c>
      <c r="U226" s="52">
        <f t="shared" si="97"/>
        <v>0.57265466661162168</v>
      </c>
      <c r="V226" s="52">
        <f t="shared" si="97"/>
        <v>0.57415016175885603</v>
      </c>
    </row>
    <row r="228" spans="1:22" ht="24" thickBot="1">
      <c r="B228" s="14" t="s">
        <v>1033</v>
      </c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</row>
    <row r="230" spans="1:22">
      <c r="B230" s="407" t="s">
        <v>623</v>
      </c>
      <c r="I230" s="48">
        <f>SUM(J230:V230)</f>
        <v>284.67212950601657</v>
      </c>
      <c r="J230" s="23">
        <f>SUM(J138,J115,J161,J184)</f>
        <v>0</v>
      </c>
      <c r="K230" s="23">
        <f t="shared" ref="K230:V231" si="98">SUM(K138,K115,K161,K184)</f>
        <v>8.1040399075433136</v>
      </c>
      <c r="L230" s="23">
        <f t="shared" si="98"/>
        <v>16.185698291870093</v>
      </c>
      <c r="M230" s="23">
        <f t="shared" si="98"/>
        <v>21.437692812486951</v>
      </c>
      <c r="N230" s="23">
        <f t="shared" si="98"/>
        <v>22.124348197627793</v>
      </c>
      <c r="O230" s="23">
        <f t="shared" si="98"/>
        <v>23.66309043239983</v>
      </c>
      <c r="P230" s="23">
        <f t="shared" si="98"/>
        <v>24.413540159722171</v>
      </c>
      <c r="Q230" s="23">
        <f t="shared" si="98"/>
        <v>25.768260868926067</v>
      </c>
      <c r="R230" s="23">
        <f t="shared" si="98"/>
        <v>26.578898122928315</v>
      </c>
      <c r="S230" s="23">
        <f t="shared" si="98"/>
        <v>28.068257019408893</v>
      </c>
      <c r="T230" s="23">
        <f t="shared" si="98"/>
        <v>28.944926571509757</v>
      </c>
      <c r="U230" s="23">
        <f t="shared" si="98"/>
        <v>29.252895133789842</v>
      </c>
      <c r="V230" s="23">
        <f t="shared" si="98"/>
        <v>30.130481987803535</v>
      </c>
    </row>
    <row r="231" spans="1:22">
      <c r="B231" s="407" t="s">
        <v>473</v>
      </c>
      <c r="I231" s="48">
        <f>SUM(J231:V231)</f>
        <v>-15.673001902294985</v>
      </c>
      <c r="J231" s="23">
        <f>SUM(J139,J116,J162,J185)</f>
        <v>0</v>
      </c>
      <c r="K231" s="23">
        <f t="shared" si="98"/>
        <v>-0.73421868226483722</v>
      </c>
      <c r="L231" s="23">
        <f t="shared" si="98"/>
        <v>-0.77259900001476578</v>
      </c>
      <c r="M231" s="23">
        <f t="shared" si="98"/>
        <v>-1.1393159536314967</v>
      </c>
      <c r="N231" s="23">
        <f t="shared" si="98"/>
        <v>-1.1922933176251154</v>
      </c>
      <c r="O231" s="23">
        <f t="shared" si="98"/>
        <v>-1.2481948017584696</v>
      </c>
      <c r="P231" s="23">
        <f t="shared" si="98"/>
        <v>-1.3071894189082447</v>
      </c>
      <c r="Q231" s="23">
        <f t="shared" si="98"/>
        <v>-1.3694562028541217</v>
      </c>
      <c r="R231" s="23">
        <f t="shared" si="98"/>
        <v>-1.4351848103923335</v>
      </c>
      <c r="S231" s="23">
        <f t="shared" si="98"/>
        <v>-1.5045761598731542</v>
      </c>
      <c r="T231" s="23">
        <f t="shared" si="98"/>
        <v>-1.5778431083731945</v>
      </c>
      <c r="U231" s="23">
        <f t="shared" si="98"/>
        <v>-1.6552111698478003</v>
      </c>
      <c r="V231" s="23">
        <f t="shared" si="98"/>
        <v>-1.7369192767514501</v>
      </c>
    </row>
    <row r="232" spans="1:22">
      <c r="B232" s="28" t="s">
        <v>1017</v>
      </c>
      <c r="C232" s="28"/>
      <c r="D232" s="28"/>
      <c r="E232" s="28"/>
      <c r="F232" s="28"/>
      <c r="G232" s="28"/>
      <c r="H232" s="28"/>
      <c r="I232" s="49">
        <f>SUM(J232:V232)</f>
        <v>268.9991276037216</v>
      </c>
      <c r="J232" s="47">
        <f t="shared" ref="J232:V232" si="99">SUM(J230:J231)</f>
        <v>0</v>
      </c>
      <c r="K232" s="47">
        <f t="shared" si="99"/>
        <v>7.3698212252784767</v>
      </c>
      <c r="L232" s="47">
        <f t="shared" si="99"/>
        <v>15.413099291855326</v>
      </c>
      <c r="M232" s="47">
        <f t="shared" si="99"/>
        <v>20.298376858855455</v>
      </c>
      <c r="N232" s="47">
        <f t="shared" si="99"/>
        <v>20.932054880002678</v>
      </c>
      <c r="O232" s="47">
        <f t="shared" si="99"/>
        <v>22.414895630641361</v>
      </c>
      <c r="P232" s="47">
        <f t="shared" si="99"/>
        <v>23.106350740813927</v>
      </c>
      <c r="Q232" s="47">
        <f t="shared" si="99"/>
        <v>24.398804666071946</v>
      </c>
      <c r="R232" s="47">
        <f t="shared" si="99"/>
        <v>25.143713312535983</v>
      </c>
      <c r="S232" s="47">
        <f t="shared" si="99"/>
        <v>26.56368085953574</v>
      </c>
      <c r="T232" s="47">
        <f t="shared" si="99"/>
        <v>27.367083463136563</v>
      </c>
      <c r="U232" s="47">
        <f t="shared" si="99"/>
        <v>27.597683963942043</v>
      </c>
      <c r="V232" s="47">
        <f t="shared" si="99"/>
        <v>28.393562711052084</v>
      </c>
    </row>
    <row r="234" spans="1:22">
      <c r="B234" t="s">
        <v>852</v>
      </c>
      <c r="I234" s="48">
        <f>SUM(J234:V234)</f>
        <v>-74.849625063570116</v>
      </c>
      <c r="J234" s="23">
        <f>SUM(J142,J119,J165,J188)</f>
        <v>0</v>
      </c>
      <c r="K234" s="23">
        <f t="shared" ref="K234:V234" si="100">SUM(K142,K119,K165,K188)</f>
        <v>0</v>
      </c>
      <c r="L234" s="23">
        <f t="shared" si="100"/>
        <v>-4.2530362310667655</v>
      </c>
      <c r="M234" s="23">
        <f t="shared" si="100"/>
        <v>-6.1233919743813399</v>
      </c>
      <c r="N234" s="23">
        <f t="shared" si="100"/>
        <v>-6.3319027560495309</v>
      </c>
      <c r="O234" s="23">
        <f t="shared" si="100"/>
        <v>-6.545823099039243</v>
      </c>
      <c r="P234" s="23">
        <f t="shared" si="100"/>
        <v>-6.7653152901901183</v>
      </c>
      <c r="Q234" s="23">
        <f t="shared" si="100"/>
        <v>-6.9905464849469965</v>
      </c>
      <c r="R234" s="23">
        <f t="shared" si="100"/>
        <v>-7.2216888534180557</v>
      </c>
      <c r="S234" s="23">
        <f t="shared" si="100"/>
        <v>-7.4589197308147215</v>
      </c>
      <c r="T234" s="23">
        <f t="shared" si="100"/>
        <v>-7.7024217724047581</v>
      </c>
      <c r="U234" s="23">
        <f t="shared" si="100"/>
        <v>-7.6140782617037353</v>
      </c>
      <c r="V234" s="23">
        <f t="shared" si="100"/>
        <v>-7.8425006095548451</v>
      </c>
    </row>
    <row r="235" spans="1:22">
      <c r="B235" s="28" t="s">
        <v>139</v>
      </c>
      <c r="C235" s="28"/>
      <c r="D235" s="28"/>
      <c r="E235" s="28"/>
      <c r="F235" s="28"/>
      <c r="G235" s="28"/>
      <c r="H235" s="28"/>
      <c r="I235" s="49">
        <f>SUM(J235:V235)</f>
        <v>194.14950254015145</v>
      </c>
      <c r="J235" s="47">
        <f t="shared" ref="J235:V235" si="101">SUM(J232,J234)</f>
        <v>0</v>
      </c>
      <c r="K235" s="47">
        <f t="shared" si="101"/>
        <v>7.3698212252784767</v>
      </c>
      <c r="L235" s="47">
        <f t="shared" si="101"/>
        <v>11.160063060788561</v>
      </c>
      <c r="M235" s="47">
        <f t="shared" si="101"/>
        <v>14.174984884474116</v>
      </c>
      <c r="N235" s="47">
        <f t="shared" si="101"/>
        <v>14.600152123953148</v>
      </c>
      <c r="O235" s="47">
        <f t="shared" si="101"/>
        <v>15.869072531602118</v>
      </c>
      <c r="P235" s="47">
        <f t="shared" si="101"/>
        <v>16.341035450623806</v>
      </c>
      <c r="Q235" s="47">
        <f t="shared" si="101"/>
        <v>17.40825818112495</v>
      </c>
      <c r="R235" s="47">
        <f t="shared" si="101"/>
        <v>17.922024459117928</v>
      </c>
      <c r="S235" s="47">
        <f t="shared" si="101"/>
        <v>19.10476112872102</v>
      </c>
      <c r="T235" s="47">
        <f t="shared" si="101"/>
        <v>19.664661690731805</v>
      </c>
      <c r="U235" s="47">
        <f t="shared" si="101"/>
        <v>19.983605702238307</v>
      </c>
      <c r="V235" s="47">
        <f t="shared" si="101"/>
        <v>20.551062101497237</v>
      </c>
    </row>
    <row r="237" spans="1:22">
      <c r="B237" t="s">
        <v>1018</v>
      </c>
      <c r="I237" s="49">
        <f>SUM(J237:V237)</f>
        <v>-18.605758869932874</v>
      </c>
      <c r="J237" s="23">
        <f>SUM(J145,J122,J168,J191)</f>
        <v>0</v>
      </c>
      <c r="K237" s="23">
        <f t="shared" ref="K237:V237" si="102">SUM(K145,K122,K168,K191)</f>
        <v>-1.5504799058277396</v>
      </c>
      <c r="L237" s="23">
        <f t="shared" si="102"/>
        <v>-1.5504799058277396</v>
      </c>
      <c r="M237" s="23">
        <f t="shared" si="102"/>
        <v>-1.5504799058277396</v>
      </c>
      <c r="N237" s="23">
        <f t="shared" si="102"/>
        <v>-1.5504799058277396</v>
      </c>
      <c r="O237" s="23">
        <f t="shared" si="102"/>
        <v>-1.5504799058277396</v>
      </c>
      <c r="P237" s="23">
        <f t="shared" si="102"/>
        <v>-1.5504799058277396</v>
      </c>
      <c r="Q237" s="23">
        <f t="shared" si="102"/>
        <v>-1.5504799058277396</v>
      </c>
      <c r="R237" s="23">
        <f t="shared" si="102"/>
        <v>-1.5504799058277396</v>
      </c>
      <c r="S237" s="23">
        <f t="shared" si="102"/>
        <v>-1.5504799058277396</v>
      </c>
      <c r="T237" s="23">
        <f t="shared" si="102"/>
        <v>-1.5504799058277396</v>
      </c>
      <c r="U237" s="23">
        <f t="shared" si="102"/>
        <v>-1.5504799058277396</v>
      </c>
      <c r="V237" s="23">
        <f t="shared" si="102"/>
        <v>-1.5504799058277396</v>
      </c>
    </row>
    <row r="238" spans="1:22">
      <c r="B238" s="28" t="s">
        <v>434</v>
      </c>
      <c r="C238" s="28"/>
      <c r="D238" s="28"/>
      <c r="E238" s="28"/>
      <c r="F238" s="28"/>
      <c r="G238" s="28"/>
      <c r="H238" s="28"/>
      <c r="I238" s="49">
        <f>SUM(J238:V238)</f>
        <v>175.54374367021859</v>
      </c>
      <c r="J238" s="47">
        <f t="shared" ref="J238:V238" si="103">SUM(J235,J237)</f>
        <v>0</v>
      </c>
      <c r="K238" s="47">
        <f t="shared" si="103"/>
        <v>5.8193413194507375</v>
      </c>
      <c r="L238" s="47">
        <f t="shared" si="103"/>
        <v>9.6095831549608217</v>
      </c>
      <c r="M238" s="47">
        <f t="shared" si="103"/>
        <v>12.624504978646376</v>
      </c>
      <c r="N238" s="47">
        <f t="shared" si="103"/>
        <v>13.049672218125409</v>
      </c>
      <c r="O238" s="47">
        <f t="shared" si="103"/>
        <v>14.318592625774379</v>
      </c>
      <c r="P238" s="47">
        <f t="shared" si="103"/>
        <v>14.790555544796067</v>
      </c>
      <c r="Q238" s="47">
        <f t="shared" si="103"/>
        <v>15.857778275297211</v>
      </c>
      <c r="R238" s="47">
        <f t="shared" si="103"/>
        <v>16.371544553290189</v>
      </c>
      <c r="S238" s="47">
        <f t="shared" si="103"/>
        <v>17.55428122289328</v>
      </c>
      <c r="T238" s="47">
        <f t="shared" si="103"/>
        <v>18.114181784904066</v>
      </c>
      <c r="U238" s="47">
        <f t="shared" si="103"/>
        <v>18.433125796410568</v>
      </c>
      <c r="V238" s="47">
        <f t="shared" si="103"/>
        <v>19.000582195669498</v>
      </c>
    </row>
    <row r="239" spans="1:22"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</row>
    <row r="240" spans="1:22">
      <c r="B240" t="s">
        <v>881</v>
      </c>
      <c r="I240" s="48">
        <f>SUM(J240:V240)</f>
        <v>-0.81962980135259778</v>
      </c>
      <c r="J240" s="23">
        <f>SUM(J148,J125,J171,J194)</f>
        <v>0</v>
      </c>
      <c r="K240" s="23">
        <f t="shared" ref="K240:V240" si="104">SUM(K148,K125,K171,K194)</f>
        <v>-0.81962980135259778</v>
      </c>
      <c r="L240" s="23">
        <f t="shared" si="104"/>
        <v>0</v>
      </c>
      <c r="M240" s="23">
        <f t="shared" si="104"/>
        <v>0</v>
      </c>
      <c r="N240" s="23">
        <f t="shared" si="104"/>
        <v>0</v>
      </c>
      <c r="O240" s="23">
        <f t="shared" si="104"/>
        <v>0</v>
      </c>
      <c r="P240" s="23">
        <f t="shared" si="104"/>
        <v>0</v>
      </c>
      <c r="Q240" s="23">
        <f t="shared" si="104"/>
        <v>0</v>
      </c>
      <c r="R240" s="23">
        <f t="shared" si="104"/>
        <v>0</v>
      </c>
      <c r="S240" s="23">
        <f t="shared" si="104"/>
        <v>0</v>
      </c>
      <c r="T240" s="23">
        <f t="shared" si="104"/>
        <v>0</v>
      </c>
      <c r="U240" s="23">
        <f t="shared" si="104"/>
        <v>0</v>
      </c>
      <c r="V240" s="23">
        <f t="shared" si="104"/>
        <v>0</v>
      </c>
    </row>
    <row r="241" spans="2:22">
      <c r="B241" s="28" t="s">
        <v>1019</v>
      </c>
      <c r="C241" s="28"/>
      <c r="D241" s="28"/>
      <c r="E241" s="28"/>
      <c r="F241" s="28"/>
      <c r="G241" s="28"/>
      <c r="H241" s="28"/>
      <c r="I241" s="48">
        <f>SUM(J241:V241)</f>
        <v>174.724113868866</v>
      </c>
      <c r="J241" s="47">
        <f t="shared" ref="J241:V241" si="105">SUM(J238,J240)</f>
        <v>0</v>
      </c>
      <c r="K241" s="47">
        <f t="shared" si="105"/>
        <v>4.99971151809814</v>
      </c>
      <c r="L241" s="47">
        <f t="shared" si="105"/>
        <v>9.6095831549608217</v>
      </c>
      <c r="M241" s="47">
        <f t="shared" si="105"/>
        <v>12.624504978646376</v>
      </c>
      <c r="N241" s="47">
        <f t="shared" si="105"/>
        <v>13.049672218125409</v>
      </c>
      <c r="O241" s="47">
        <f t="shared" si="105"/>
        <v>14.318592625774379</v>
      </c>
      <c r="P241" s="47">
        <f t="shared" si="105"/>
        <v>14.790555544796067</v>
      </c>
      <c r="Q241" s="47">
        <f t="shared" si="105"/>
        <v>15.857778275297211</v>
      </c>
      <c r="R241" s="47">
        <f t="shared" si="105"/>
        <v>16.371544553290189</v>
      </c>
      <c r="S241" s="47">
        <f t="shared" si="105"/>
        <v>17.55428122289328</v>
      </c>
      <c r="T241" s="47">
        <f t="shared" si="105"/>
        <v>18.114181784904066</v>
      </c>
      <c r="U241" s="47">
        <f t="shared" si="105"/>
        <v>18.433125796410568</v>
      </c>
      <c r="V241" s="47">
        <f t="shared" si="105"/>
        <v>19.000582195669498</v>
      </c>
    </row>
    <row r="242" spans="2:22"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</row>
    <row r="243" spans="2:22">
      <c r="B243" t="s">
        <v>759</v>
      </c>
      <c r="I243" s="48">
        <f>SUM(J243:V243)</f>
        <v>-38.439305051150512</v>
      </c>
      <c r="J243" s="23">
        <f>SUM(J151,J128,J174,J197)</f>
        <v>0</v>
      </c>
      <c r="K243" s="23">
        <f t="shared" ref="K243:V243" si="106">SUM(K151,K128,K174,K197)</f>
        <v>-1.0999365339815907</v>
      </c>
      <c r="L243" s="23">
        <f t="shared" si="106"/>
        <v>-2.1141082940913813</v>
      </c>
      <c r="M243" s="23">
        <f t="shared" si="106"/>
        <v>-2.7773910953022032</v>
      </c>
      <c r="N243" s="23">
        <f t="shared" si="106"/>
        <v>-2.8709278879875892</v>
      </c>
      <c r="O243" s="23">
        <f t="shared" si="106"/>
        <v>-3.150090377670363</v>
      </c>
      <c r="P243" s="23">
        <f t="shared" si="106"/>
        <v>-3.2539222198551352</v>
      </c>
      <c r="Q243" s="23">
        <f t="shared" si="106"/>
        <v>-3.4887112205653854</v>
      </c>
      <c r="R243" s="23">
        <f t="shared" si="106"/>
        <v>-3.6017398017238413</v>
      </c>
      <c r="S243" s="23">
        <f t="shared" si="106"/>
        <v>-3.8619418690365208</v>
      </c>
      <c r="T243" s="23">
        <f t="shared" si="106"/>
        <v>-3.9851199926788938</v>
      </c>
      <c r="U243" s="23">
        <f t="shared" si="106"/>
        <v>-4.055287675210324</v>
      </c>
      <c r="V243" s="23">
        <f t="shared" si="106"/>
        <v>-4.1801280830472898</v>
      </c>
    </row>
    <row r="244" spans="2:22">
      <c r="B244" s="28" t="s">
        <v>1020</v>
      </c>
      <c r="C244" s="28"/>
      <c r="D244" s="28"/>
      <c r="E244" s="28"/>
      <c r="F244" s="28"/>
      <c r="G244" s="28"/>
      <c r="H244" s="28"/>
      <c r="I244" s="48">
        <f>SUM(J244:V244)</f>
        <v>136.28480881771551</v>
      </c>
      <c r="J244" s="47">
        <f t="shared" ref="J244:V244" si="107">SUM(J241,J243)</f>
        <v>0</v>
      </c>
      <c r="K244" s="47">
        <f t="shared" si="107"/>
        <v>3.899774984116549</v>
      </c>
      <c r="L244" s="47">
        <f t="shared" si="107"/>
        <v>7.4954748608694404</v>
      </c>
      <c r="M244" s="47">
        <f t="shared" si="107"/>
        <v>9.8471138833441731</v>
      </c>
      <c r="N244" s="47">
        <f t="shared" si="107"/>
        <v>10.178744330137819</v>
      </c>
      <c r="O244" s="47">
        <f t="shared" si="107"/>
        <v>11.168502248104016</v>
      </c>
      <c r="P244" s="47">
        <f t="shared" si="107"/>
        <v>11.536633324940933</v>
      </c>
      <c r="Q244" s="47">
        <f t="shared" si="107"/>
        <v>12.369067054731826</v>
      </c>
      <c r="R244" s="47">
        <f t="shared" si="107"/>
        <v>12.769804751566348</v>
      </c>
      <c r="S244" s="47">
        <f t="shared" si="107"/>
        <v>13.692339353856759</v>
      </c>
      <c r="T244" s="47">
        <f t="shared" si="107"/>
        <v>14.129061792225173</v>
      </c>
      <c r="U244" s="47">
        <f t="shared" si="107"/>
        <v>14.377838121200245</v>
      </c>
      <c r="V244" s="47">
        <f t="shared" si="107"/>
        <v>14.820454112622208</v>
      </c>
    </row>
    <row r="246" spans="2:22">
      <c r="B246" s="407" t="s">
        <v>32</v>
      </c>
      <c r="C246" s="407"/>
      <c r="D246" s="407"/>
      <c r="E246" s="407"/>
      <c r="F246" s="407"/>
      <c r="G246" s="407"/>
      <c r="H246" s="407"/>
      <c r="I246" s="407"/>
      <c r="J246" s="9">
        <f>J$8</f>
        <v>2024</v>
      </c>
      <c r="K246" s="9">
        <f t="shared" ref="K246:V246" si="108">K$8</f>
        <v>2025</v>
      </c>
      <c r="L246" s="9">
        <f t="shared" si="108"/>
        <v>2026</v>
      </c>
      <c r="M246" s="9">
        <f t="shared" si="108"/>
        <v>2027</v>
      </c>
      <c r="N246" s="9">
        <f t="shared" si="108"/>
        <v>2028</v>
      </c>
      <c r="O246" s="9">
        <f t="shared" si="108"/>
        <v>2029</v>
      </c>
      <c r="P246" s="9">
        <f t="shared" si="108"/>
        <v>2030</v>
      </c>
      <c r="Q246" s="9">
        <f t="shared" si="108"/>
        <v>2031</v>
      </c>
      <c r="R246" s="9">
        <f t="shared" si="108"/>
        <v>2032</v>
      </c>
      <c r="S246" s="9">
        <f t="shared" si="108"/>
        <v>2033</v>
      </c>
      <c r="T246" s="9">
        <f t="shared" si="108"/>
        <v>2034</v>
      </c>
      <c r="U246" s="9">
        <f t="shared" si="108"/>
        <v>2035</v>
      </c>
      <c r="V246" s="9">
        <f t="shared" si="108"/>
        <v>2036</v>
      </c>
    </row>
    <row r="247" spans="2:22">
      <c r="B247" s="55" t="s">
        <v>1021</v>
      </c>
      <c r="C247" s="51"/>
      <c r="D247" s="51"/>
      <c r="E247" s="51"/>
      <c r="F247" s="51"/>
      <c r="G247" s="51"/>
      <c r="H247" s="51"/>
      <c r="I247" s="51"/>
      <c r="J247" s="56">
        <f>IFERROR(J232/J230,0)</f>
        <v>0</v>
      </c>
      <c r="K247" s="56">
        <f t="shared" ref="K247:V247" si="109">IFERROR(K232/K230,0)</f>
        <v>0.90940090490158876</v>
      </c>
      <c r="L247" s="56">
        <f t="shared" si="109"/>
        <v>0.95226656359937001</v>
      </c>
      <c r="M247" s="56">
        <f t="shared" si="109"/>
        <v>0.94685454430208693</v>
      </c>
      <c r="N247" s="56">
        <f t="shared" si="109"/>
        <v>0.94610944887619541</v>
      </c>
      <c r="O247" s="56">
        <f t="shared" si="109"/>
        <v>0.94725140381285855</v>
      </c>
      <c r="P247" s="56">
        <f t="shared" si="109"/>
        <v>0.94645637583258546</v>
      </c>
      <c r="Q247" s="56">
        <f t="shared" si="109"/>
        <v>0.9468549232010629</v>
      </c>
      <c r="R247" s="56">
        <f t="shared" si="109"/>
        <v>0.94600284768185072</v>
      </c>
      <c r="S247" s="56">
        <f t="shared" si="109"/>
        <v>0.94639581079677459</v>
      </c>
      <c r="T247" s="56">
        <f t="shared" si="109"/>
        <v>0.9454880942788001</v>
      </c>
      <c r="U247" s="56">
        <f t="shared" si="109"/>
        <v>0.94341718444353651</v>
      </c>
      <c r="V247" s="56">
        <f t="shared" si="109"/>
        <v>0.94235341879182233</v>
      </c>
    </row>
    <row r="248" spans="2:22">
      <c r="B248" s="55" t="s">
        <v>1022</v>
      </c>
      <c r="C248" s="51"/>
      <c r="D248" s="51"/>
      <c r="E248" s="51"/>
      <c r="F248" s="51"/>
      <c r="G248" s="51"/>
      <c r="H248" s="51"/>
      <c r="I248" s="51"/>
      <c r="J248" s="56">
        <f>IFERROR(J235/J230,0)</f>
        <v>0</v>
      </c>
      <c r="K248" s="52">
        <f t="shared" ref="K248:T248" si="110">IFERROR(K238/K232,0)</f>
        <v>0.78961770463174941</v>
      </c>
      <c r="L248" s="52">
        <f t="shared" si="110"/>
        <v>0.62346858169133901</v>
      </c>
      <c r="M248" s="52">
        <f t="shared" si="110"/>
        <v>0.62194652638635761</v>
      </c>
      <c r="N248" s="52">
        <f t="shared" si="110"/>
        <v>0.62343005944401286</v>
      </c>
      <c r="O248" s="52">
        <f t="shared" si="110"/>
        <v>0.63879809487940398</v>
      </c>
      <c r="P248" s="52">
        <f t="shared" si="110"/>
        <v>0.64010780891812369</v>
      </c>
      <c r="Q248" s="52">
        <f t="shared" si="110"/>
        <v>0.64994078572006586</v>
      </c>
      <c r="R248" s="52">
        <f t="shared" si="110"/>
        <v>0.65111880452151727</v>
      </c>
      <c r="S248" s="52">
        <f t="shared" si="110"/>
        <v>0.66083767967689999</v>
      </c>
      <c r="T248" s="52">
        <f t="shared" si="110"/>
        <v>0.66189668363104359</v>
      </c>
      <c r="U248" s="52">
        <f>IFERROR(U238/U232,0)</f>
        <v>0.66792292499959438</v>
      </c>
      <c r="V248" s="52">
        <f>IFERROR(V238/V232,0)</f>
        <v>0.66918626552889737</v>
      </c>
    </row>
    <row r="249" spans="2:22">
      <c r="B249" s="55" t="s">
        <v>990</v>
      </c>
      <c r="C249" s="51"/>
      <c r="D249" s="51"/>
      <c r="E249" s="51"/>
      <c r="F249" s="51"/>
      <c r="G249" s="51"/>
      <c r="H249" s="51"/>
      <c r="I249" s="51"/>
      <c r="J249" s="52">
        <f>IFERROR(J244/J230,0)</f>
        <v>0</v>
      </c>
      <c r="K249" s="52">
        <f t="shared" ref="K249:V249" si="111">IFERROR(K244/K230,0)</f>
        <v>0.48121369447929335</v>
      </c>
      <c r="L249" s="52">
        <f t="shared" si="111"/>
        <v>0.46309246136351984</v>
      </c>
      <c r="M249" s="52">
        <f t="shared" si="111"/>
        <v>0.45933645796102002</v>
      </c>
      <c r="N249" s="52">
        <f t="shared" si="111"/>
        <v>0.46006979456367442</v>
      </c>
      <c r="O249" s="52">
        <f t="shared" si="111"/>
        <v>0.47197986585944618</v>
      </c>
      <c r="P249" s="52">
        <f t="shared" si="111"/>
        <v>0.47255061123721193</v>
      </c>
      <c r="Q249" s="52">
        <f t="shared" si="111"/>
        <v>0.480011713543605</v>
      </c>
      <c r="R249" s="52">
        <f t="shared" si="111"/>
        <v>0.48044898974011496</v>
      </c>
      <c r="S249" s="52">
        <f t="shared" si="111"/>
        <v>0.48782292909704567</v>
      </c>
      <c r="T249" s="52">
        <f t="shared" si="111"/>
        <v>0.48813603853230314</v>
      </c>
      <c r="U249" s="52">
        <f t="shared" si="111"/>
        <v>0.49150137295615881</v>
      </c>
      <c r="V249" s="52">
        <f t="shared" si="111"/>
        <v>0.49187577280115713</v>
      </c>
    </row>
    <row r="251" spans="2:22" ht="24" thickBot="1">
      <c r="B251" s="14" t="s">
        <v>1034</v>
      </c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</row>
    <row r="252" spans="2:22">
      <c r="B252" s="2" t="s">
        <v>29</v>
      </c>
      <c r="F252" s="6">
        <f>Output_FSL!F38</f>
        <v>1</v>
      </c>
    </row>
    <row r="253" spans="2:22">
      <c r="B253" s="407" t="s">
        <v>623</v>
      </c>
      <c r="I253" s="48">
        <f>SUM(J253:V253)</f>
        <v>60.302429091108721</v>
      </c>
      <c r="J253" s="23">
        <f>'Output_Standalone (IDR)'!J277/USD_IDR*Thousands</f>
        <v>0</v>
      </c>
      <c r="K253" s="23">
        <f>'Output_Standalone (IDR)'!K277/USD_IDR*Thousands</f>
        <v>0</v>
      </c>
      <c r="L253" s="23">
        <f>'Output_Standalone (IDR)'!L277/USD_IDR*Thousands</f>
        <v>0</v>
      </c>
      <c r="M253" s="23">
        <f>'Output_Standalone (IDR)'!M277/USD_IDR*Thousands</f>
        <v>0</v>
      </c>
      <c r="N253" s="23">
        <f>'Output_Standalone (IDR)'!N277/USD_IDR*Thousands</f>
        <v>3.5817915516651992</v>
      </c>
      <c r="O253" s="23">
        <f>'Output_Standalone (IDR)'!O277/USD_IDR*Thousands</f>
        <v>4.7279648481980638</v>
      </c>
      <c r="P253" s="23">
        <f>'Output_Standalone (IDR)'!P277/USD_IDR*Thousands</f>
        <v>5.2007613330178701</v>
      </c>
      <c r="Q253" s="23">
        <f>'Output_Standalone (IDR)'!Q277/USD_IDR*Thousands</f>
        <v>6.2929212129516223</v>
      </c>
      <c r="R253" s="23">
        <f>'Output_Standalone (IDR)'!R277/USD_IDR*Thousands</f>
        <v>6.6704964857287221</v>
      </c>
      <c r="S253" s="23">
        <f>'Output_Standalone (IDR)'!S277/USD_IDR*Thousands</f>
        <v>7.4949698513647931</v>
      </c>
      <c r="T253" s="23">
        <f>'Output_Standalone (IDR)'!T277/USD_IDR*Thousands</f>
        <v>7.9446680424466818</v>
      </c>
      <c r="U253" s="23">
        <f>'Output_Standalone (IDR)'!U277/USD_IDR*Thousands</f>
        <v>8.9266290124930912</v>
      </c>
      <c r="V253" s="23">
        <f>'Output_Standalone (IDR)'!V277/USD_IDR*Thousands</f>
        <v>9.4622267532426765</v>
      </c>
    </row>
    <row r="254" spans="2:22">
      <c r="B254" s="407" t="s">
        <v>473</v>
      </c>
      <c r="H254" s="21" t="e">
        <f>L254/L253</f>
        <v>#DIV/0!</v>
      </c>
      <c r="I254" s="48">
        <f>SUM(J254:V254)</f>
        <v>-13.919730742207365</v>
      </c>
      <c r="J254" s="23">
        <f>'Output_Standalone (IDR)'!J278/USD_IDR*Thousands</f>
        <v>0</v>
      </c>
      <c r="K254" s="23">
        <f>'Output_Standalone (IDR)'!K278/USD_IDR*Thousands</f>
        <v>0</v>
      </c>
      <c r="L254" s="23">
        <f>'Output_Standalone (IDR)'!L278/USD_IDR*Thousands</f>
        <v>0</v>
      </c>
      <c r="M254" s="23">
        <f>'Output_Standalone (IDR)'!M278/USD_IDR*Thousands</f>
        <v>0</v>
      </c>
      <c r="N254" s="23">
        <f>'Output_Standalone (IDR)'!N278/USD_IDR*Thousands</f>
        <v>-0.92593704497823148</v>
      </c>
      <c r="O254" s="23">
        <f>'Output_Standalone (IDR)'!O278/USD_IDR*Thousands</f>
        <v>-1.1247052546921252</v>
      </c>
      <c r="P254" s="23">
        <f>'Output_Standalone (IDR)'!P278/USD_IDR*Thousands</f>
        <v>-1.2500082505639969</v>
      </c>
      <c r="Q254" s="23">
        <f>'Output_Standalone (IDR)'!Q278/USD_IDR*Thousands</f>
        <v>-1.4420921671201874</v>
      </c>
      <c r="R254" s="23">
        <f>'Output_Standalone (IDR)'!R278/USD_IDR*Thousands</f>
        <v>-1.5480876624187399</v>
      </c>
      <c r="S254" s="23">
        <f>'Output_Standalone (IDR)'!S278/USD_IDR*Thousands</f>
        <v>-1.6592254856488931</v>
      </c>
      <c r="T254" s="23">
        <f>'Output_Standalone (IDR)'!T278/USD_IDR*Thousands</f>
        <v>-1.778818129286478</v>
      </c>
      <c r="U254" s="23">
        <f>'Output_Standalone (IDR)'!U278/USD_IDR*Thousands</f>
        <v>-2.0219877622116451</v>
      </c>
      <c r="V254" s="23">
        <f>'Output_Standalone (IDR)'!V278/USD_IDR*Thousands</f>
        <v>-2.1688689852870673</v>
      </c>
    </row>
    <row r="255" spans="2:22">
      <c r="B255" s="28" t="s">
        <v>1017</v>
      </c>
      <c r="C255" s="28"/>
      <c r="D255" s="28"/>
      <c r="E255" s="28"/>
      <c r="F255" s="28"/>
      <c r="G255" s="28"/>
      <c r="H255" s="28"/>
      <c r="I255" s="49">
        <f>SUM(J255:V255)</f>
        <v>46.382698348901357</v>
      </c>
      <c r="J255" s="47">
        <f t="shared" ref="J255:V255" si="112">SUM(J253:J254)</f>
        <v>0</v>
      </c>
      <c r="K255" s="47">
        <f t="shared" si="112"/>
        <v>0</v>
      </c>
      <c r="L255" s="47">
        <f t="shared" si="112"/>
        <v>0</v>
      </c>
      <c r="M255" s="47">
        <f t="shared" si="112"/>
        <v>0</v>
      </c>
      <c r="N255" s="47">
        <f t="shared" si="112"/>
        <v>2.6558545066869677</v>
      </c>
      <c r="O255" s="47">
        <f t="shared" si="112"/>
        <v>3.6032595935059386</v>
      </c>
      <c r="P255" s="47">
        <f t="shared" si="112"/>
        <v>3.9507530824538732</v>
      </c>
      <c r="Q255" s="47">
        <f t="shared" si="112"/>
        <v>4.8508290458314347</v>
      </c>
      <c r="R255" s="47">
        <f t="shared" si="112"/>
        <v>5.122408823309982</v>
      </c>
      <c r="S255" s="47">
        <f t="shared" si="112"/>
        <v>5.8357443657159003</v>
      </c>
      <c r="T255" s="47">
        <f t="shared" si="112"/>
        <v>6.165849913160204</v>
      </c>
      <c r="U255" s="47">
        <f t="shared" si="112"/>
        <v>6.904641250281446</v>
      </c>
      <c r="V255" s="47">
        <f t="shared" si="112"/>
        <v>7.2933577679556088</v>
      </c>
    </row>
    <row r="256" spans="2:22">
      <c r="L256" s="1"/>
    </row>
    <row r="257" spans="2:23">
      <c r="B257" t="s">
        <v>852</v>
      </c>
      <c r="I257" s="48">
        <f>SUM(J257:V257)</f>
        <v>-8.9394641937040582</v>
      </c>
      <c r="J257">
        <f>'Output_Standalone (IDR)'!J281/USD_IDR*Thousands</f>
        <v>0</v>
      </c>
      <c r="K257">
        <f>'Output_Standalone (IDR)'!K281/USD_IDR*Thousands</f>
        <v>0</v>
      </c>
      <c r="L257" s="23">
        <f>'Output_Standalone (IDR)'!L281/USD_IDR*Thousands</f>
        <v>0</v>
      </c>
      <c r="M257" s="23">
        <f>'Output_Standalone (IDR)'!M281/USD_IDR*Thousands</f>
        <v>0</v>
      </c>
      <c r="N257" s="23">
        <f>'Output_Standalone (IDR)'!N281/USD_IDR*Thousands</f>
        <v>-0.62043984743288583</v>
      </c>
      <c r="O257" s="23">
        <f>'Output_Standalone (IDR)'!O281/USD_IDR*Thousands</f>
        <v>-0.74613415273799211</v>
      </c>
      <c r="P257" s="23">
        <f>'Output_Standalone (IDR)'!P281/USD_IDR*Thousands</f>
        <v>-0.82252527139959042</v>
      </c>
      <c r="Q257" s="23">
        <f>'Output_Standalone (IDR)'!Q281/USD_IDR*Thousands</f>
        <v>-0.94096191069190926</v>
      </c>
      <c r="R257" s="23">
        <f>'Output_Standalone (IDR)'!R281/USD_IDR*Thousands</f>
        <v>-0.99959673625897361</v>
      </c>
      <c r="S257" s="23">
        <f>'Output_Standalone (IDR)'!S281/USD_IDR*Thousands</f>
        <v>-1.0618941667284676</v>
      </c>
      <c r="T257">
        <f>'Output_Standalone (IDR)'!T281/USD_IDR*Thousands</f>
        <v>-1.1280835064622143</v>
      </c>
      <c r="U257">
        <f>'Output_Standalone (IDR)'!U281/USD_IDR*Thousands</f>
        <v>-1.2703129535400415</v>
      </c>
      <c r="V257">
        <f>'Output_Standalone (IDR)'!V281/USD_IDR*Thousands</f>
        <v>-1.3495156484519839</v>
      </c>
      <c r="W257">
        <f>-Calculation_FSL!W542*$F$252</f>
        <v>0</v>
      </c>
    </row>
    <row r="258" spans="2:23">
      <c r="B258" s="28" t="s">
        <v>139</v>
      </c>
      <c r="C258" s="28"/>
      <c r="D258" s="28"/>
      <c r="E258" s="28"/>
      <c r="F258" s="28"/>
      <c r="G258" s="28"/>
      <c r="H258" s="28"/>
      <c r="I258" s="49">
        <f>SUM(J258:V258)</f>
        <v>37.443234155197302</v>
      </c>
      <c r="J258" s="47">
        <f t="shared" ref="J258:V258" si="113">SUM(J255,J257)</f>
        <v>0</v>
      </c>
      <c r="K258" s="47">
        <f t="shared" si="113"/>
        <v>0</v>
      </c>
      <c r="L258" s="47">
        <f t="shared" si="113"/>
        <v>0</v>
      </c>
      <c r="M258" s="47">
        <f t="shared" si="113"/>
        <v>0</v>
      </c>
      <c r="N258" s="47">
        <f t="shared" si="113"/>
        <v>2.0354146592540818</v>
      </c>
      <c r="O258" s="47">
        <f t="shared" si="113"/>
        <v>2.8571254407679465</v>
      </c>
      <c r="P258" s="47">
        <f t="shared" si="113"/>
        <v>3.1282278110542827</v>
      </c>
      <c r="Q258" s="47">
        <f t="shared" si="113"/>
        <v>3.9098671351395256</v>
      </c>
      <c r="R258" s="47">
        <f t="shared" si="113"/>
        <v>4.1228120870510088</v>
      </c>
      <c r="S258" s="47">
        <f t="shared" si="113"/>
        <v>4.7738501989874322</v>
      </c>
      <c r="T258" s="47">
        <f t="shared" si="113"/>
        <v>5.0377664066979895</v>
      </c>
      <c r="U258" s="47">
        <f t="shared" si="113"/>
        <v>5.6343282967414048</v>
      </c>
      <c r="V258" s="47">
        <f t="shared" si="113"/>
        <v>5.9438421195036248</v>
      </c>
    </row>
    <row r="260" spans="2:23">
      <c r="B260" t="s">
        <v>1018</v>
      </c>
      <c r="I260" s="49">
        <f>SUM(J260:V260)</f>
        <v>-3.9568667383953278</v>
      </c>
      <c r="J260" s="23">
        <f>'Output_Standalone (IDR)'!J284/USD_IDR*Thousands</f>
        <v>0</v>
      </c>
      <c r="K260" s="23">
        <f>'Output_Standalone (IDR)'!K284/USD_IDR*Thousands</f>
        <v>0</v>
      </c>
      <c r="L260" s="23">
        <f>'Output_Standalone (IDR)'!L284/USD_IDR*Thousands</f>
        <v>0</v>
      </c>
      <c r="M260" s="23">
        <f>'Output_Standalone (IDR)'!M284/USD_IDR*Thousands</f>
        <v>0</v>
      </c>
      <c r="N260" s="23">
        <f>'Output_Standalone (IDR)'!N284/USD_IDR*Thousands</f>
        <v>-0.43965185982170302</v>
      </c>
      <c r="O260" s="23">
        <f>'Output_Standalone (IDR)'!O284/USD_IDR*Thousands</f>
        <v>-0.43965185982170302</v>
      </c>
      <c r="P260" s="23">
        <f>'Output_Standalone (IDR)'!P284/USD_IDR*Thousands</f>
        <v>-0.43965185982170302</v>
      </c>
      <c r="Q260" s="23">
        <f>'Output_Standalone (IDR)'!Q284/USD_IDR*Thousands</f>
        <v>-0.43965185982170302</v>
      </c>
      <c r="R260" s="23">
        <f>'Output_Standalone (IDR)'!R284/USD_IDR*Thousands</f>
        <v>-0.43965185982170302</v>
      </c>
      <c r="S260" s="23">
        <f>'Output_Standalone (IDR)'!S284/USD_IDR*Thousands</f>
        <v>-0.43965185982170302</v>
      </c>
      <c r="T260" s="23">
        <f>'Output_Standalone (IDR)'!T284/USD_IDR*Thousands</f>
        <v>-0.43965185982170302</v>
      </c>
      <c r="U260" s="23">
        <f>'Output_Standalone (IDR)'!U284/USD_IDR*Thousands</f>
        <v>-0.43965185982170302</v>
      </c>
      <c r="V260" s="23">
        <f>'Output_Standalone (IDR)'!V284/USD_IDR*Thousands</f>
        <v>-0.43965185982170302</v>
      </c>
    </row>
    <row r="261" spans="2:23">
      <c r="B261" s="28" t="s">
        <v>434</v>
      </c>
      <c r="C261" s="28"/>
      <c r="D261" s="28"/>
      <c r="E261" s="28"/>
      <c r="F261" s="28"/>
      <c r="G261" s="28"/>
      <c r="H261" s="28"/>
      <c r="I261" s="49">
        <f>SUM(J261:V261)</f>
        <v>33.486367416801968</v>
      </c>
      <c r="J261" s="47">
        <f t="shared" ref="J261:V261" si="114">SUM(J258,J260)</f>
        <v>0</v>
      </c>
      <c r="K261" s="47">
        <f t="shared" si="114"/>
        <v>0</v>
      </c>
      <c r="L261" s="47">
        <f t="shared" si="114"/>
        <v>0</v>
      </c>
      <c r="M261" s="47">
        <f t="shared" si="114"/>
        <v>0</v>
      </c>
      <c r="N261" s="47">
        <f t="shared" si="114"/>
        <v>1.5957627994323789</v>
      </c>
      <c r="O261" s="47">
        <f t="shared" si="114"/>
        <v>2.4174735809462433</v>
      </c>
      <c r="P261" s="47">
        <f t="shared" si="114"/>
        <v>2.6885759512325795</v>
      </c>
      <c r="Q261" s="47">
        <f t="shared" si="114"/>
        <v>3.4702152753178224</v>
      </c>
      <c r="R261" s="47">
        <f t="shared" si="114"/>
        <v>3.6831602272293056</v>
      </c>
      <c r="S261" s="47">
        <f t="shared" si="114"/>
        <v>4.3341983391657291</v>
      </c>
      <c r="T261" s="47">
        <f t="shared" si="114"/>
        <v>4.5981145468762863</v>
      </c>
      <c r="U261" s="47">
        <f t="shared" si="114"/>
        <v>5.1946764369197016</v>
      </c>
      <c r="V261" s="47">
        <f t="shared" si="114"/>
        <v>5.5041902596819217</v>
      </c>
    </row>
    <row r="262" spans="2:23"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</row>
    <row r="263" spans="2:23">
      <c r="B263" t="s">
        <v>881</v>
      </c>
      <c r="I263" s="48">
        <f>SUM(J263:V263)</f>
        <v>0</v>
      </c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</row>
    <row r="264" spans="2:23">
      <c r="B264" s="28" t="s">
        <v>1019</v>
      </c>
      <c r="C264" s="28"/>
      <c r="D264" s="28"/>
      <c r="E264" s="28"/>
      <c r="F264" s="28"/>
      <c r="G264" s="28"/>
      <c r="H264" s="28"/>
      <c r="I264" s="48">
        <f>SUM(J264:V264)</f>
        <v>33.486367416801968</v>
      </c>
      <c r="J264" s="47">
        <f t="shared" ref="J264:V264" si="115">SUM(J261,J263)</f>
        <v>0</v>
      </c>
      <c r="K264" s="47">
        <f t="shared" si="115"/>
        <v>0</v>
      </c>
      <c r="L264" s="47">
        <f t="shared" si="115"/>
        <v>0</v>
      </c>
      <c r="M264" s="47">
        <f t="shared" si="115"/>
        <v>0</v>
      </c>
      <c r="N264" s="47">
        <f t="shared" si="115"/>
        <v>1.5957627994323789</v>
      </c>
      <c r="O264" s="47">
        <f t="shared" si="115"/>
        <v>2.4174735809462433</v>
      </c>
      <c r="P264" s="47">
        <f t="shared" si="115"/>
        <v>2.6885759512325795</v>
      </c>
      <c r="Q264" s="47">
        <f t="shared" si="115"/>
        <v>3.4702152753178224</v>
      </c>
      <c r="R264" s="47">
        <f t="shared" si="115"/>
        <v>3.6831602272293056</v>
      </c>
      <c r="S264" s="47">
        <f t="shared" si="115"/>
        <v>4.3341983391657291</v>
      </c>
      <c r="T264" s="47">
        <f t="shared" si="115"/>
        <v>4.5981145468762863</v>
      </c>
      <c r="U264" s="47">
        <f t="shared" si="115"/>
        <v>5.1946764369197016</v>
      </c>
      <c r="V264" s="47">
        <f t="shared" si="115"/>
        <v>5.5041902596819217</v>
      </c>
    </row>
    <row r="265" spans="2:23"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</row>
    <row r="266" spans="2:23">
      <c r="B266" t="s">
        <v>759</v>
      </c>
      <c r="I266" s="48">
        <f>SUM(J266:V266)</f>
        <v>-7.3670008316964335</v>
      </c>
      <c r="J266" s="23">
        <f>-IF(J264&lt;0,0,J264*22%)</f>
        <v>0</v>
      </c>
      <c r="K266" s="23">
        <f t="shared" ref="K266:V266" si="116">-IF(K264&lt;0,0,K264*22%)</f>
        <v>0</v>
      </c>
      <c r="L266" s="23">
        <f t="shared" si="116"/>
        <v>0</v>
      </c>
      <c r="M266" s="23">
        <f t="shared" si="116"/>
        <v>0</v>
      </c>
      <c r="N266" s="23">
        <f t="shared" si="116"/>
        <v>-0.35106781587512337</v>
      </c>
      <c r="O266" s="23">
        <f t="shared" si="116"/>
        <v>-0.53184418780817355</v>
      </c>
      <c r="P266" s="23">
        <f t="shared" si="116"/>
        <v>-0.59148670927116753</v>
      </c>
      <c r="Q266" s="23">
        <f t="shared" si="116"/>
        <v>-0.76344736056992091</v>
      </c>
      <c r="R266" s="23">
        <f t="shared" si="116"/>
        <v>-0.81029524999044722</v>
      </c>
      <c r="S266" s="23">
        <f t="shared" si="116"/>
        <v>-0.95352363461646039</v>
      </c>
      <c r="T266" s="23">
        <f t="shared" si="116"/>
        <v>-1.011585200312783</v>
      </c>
      <c r="U266" s="23">
        <f t="shared" si="116"/>
        <v>-1.1428288161223343</v>
      </c>
      <c r="V266" s="23">
        <f t="shared" si="116"/>
        <v>-1.2109218571300229</v>
      </c>
    </row>
    <row r="267" spans="2:23">
      <c r="B267" s="28" t="s">
        <v>1020</v>
      </c>
      <c r="C267" s="28"/>
      <c r="D267" s="28"/>
      <c r="E267" s="28"/>
      <c r="F267" s="28"/>
      <c r="G267" s="28"/>
      <c r="H267" s="28"/>
      <c r="I267" s="48">
        <f>SUM(J267:V267)</f>
        <v>26.119366585105535</v>
      </c>
      <c r="J267" s="47">
        <f t="shared" ref="J267:V267" si="117">SUM(J264,J266)</f>
        <v>0</v>
      </c>
      <c r="K267" s="47">
        <f t="shared" si="117"/>
        <v>0</v>
      </c>
      <c r="L267" s="47">
        <f t="shared" si="117"/>
        <v>0</v>
      </c>
      <c r="M267" s="47">
        <f t="shared" si="117"/>
        <v>0</v>
      </c>
      <c r="N267" s="47">
        <f t="shared" si="117"/>
        <v>1.2446949835572556</v>
      </c>
      <c r="O267" s="47">
        <f t="shared" si="117"/>
        <v>1.8856293931380699</v>
      </c>
      <c r="P267" s="47">
        <f t="shared" si="117"/>
        <v>2.0970892419614122</v>
      </c>
      <c r="Q267" s="47">
        <f t="shared" si="117"/>
        <v>2.7067679147479016</v>
      </c>
      <c r="R267" s="47">
        <f t="shared" si="117"/>
        <v>2.8728649772388586</v>
      </c>
      <c r="S267" s="47">
        <f t="shared" si="117"/>
        <v>3.3806747045492687</v>
      </c>
      <c r="T267" s="47">
        <f t="shared" si="117"/>
        <v>3.5865293465635033</v>
      </c>
      <c r="U267" s="47">
        <f t="shared" si="117"/>
        <v>4.0518476207973677</v>
      </c>
      <c r="V267" s="47">
        <f t="shared" si="117"/>
        <v>4.2932684025518988</v>
      </c>
    </row>
    <row r="269" spans="2:23">
      <c r="B269" s="407" t="s">
        <v>32</v>
      </c>
      <c r="C269" s="407"/>
      <c r="D269" s="407"/>
      <c r="E269" s="407"/>
      <c r="F269" s="407"/>
      <c r="G269" s="407"/>
      <c r="H269" s="407"/>
      <c r="I269" s="407"/>
      <c r="J269" s="9">
        <f>J$8</f>
        <v>2024</v>
      </c>
      <c r="K269" s="9">
        <f t="shared" ref="K269:V269" si="118">K$8</f>
        <v>2025</v>
      </c>
      <c r="L269" s="9">
        <f t="shared" si="118"/>
        <v>2026</v>
      </c>
      <c r="M269" s="9">
        <f t="shared" si="118"/>
        <v>2027</v>
      </c>
      <c r="N269" s="9">
        <f t="shared" si="118"/>
        <v>2028</v>
      </c>
      <c r="O269" s="9">
        <f t="shared" si="118"/>
        <v>2029</v>
      </c>
      <c r="P269" s="9">
        <f t="shared" si="118"/>
        <v>2030</v>
      </c>
      <c r="Q269" s="9">
        <f t="shared" si="118"/>
        <v>2031</v>
      </c>
      <c r="R269" s="9">
        <f t="shared" si="118"/>
        <v>2032</v>
      </c>
      <c r="S269" s="9">
        <f t="shared" si="118"/>
        <v>2033</v>
      </c>
      <c r="T269" s="9">
        <f t="shared" si="118"/>
        <v>2034</v>
      </c>
      <c r="U269" s="9">
        <f t="shared" si="118"/>
        <v>2035</v>
      </c>
      <c r="V269" s="9">
        <f t="shared" si="118"/>
        <v>2036</v>
      </c>
    </row>
    <row r="270" spans="2:23">
      <c r="B270" s="55" t="s">
        <v>1021</v>
      </c>
      <c r="C270" s="51"/>
      <c r="D270" s="51"/>
      <c r="E270" s="51"/>
      <c r="F270" s="51"/>
      <c r="G270" s="51"/>
      <c r="H270" s="51"/>
      <c r="I270" s="51"/>
      <c r="J270" s="56">
        <f>IFERROR(J255/J253,0)</f>
        <v>0</v>
      </c>
      <c r="K270" s="56">
        <f t="shared" ref="K270:V270" si="119">IFERROR(K255/K253,0)</f>
        <v>0</v>
      </c>
      <c r="L270" s="56">
        <f t="shared" si="119"/>
        <v>0</v>
      </c>
      <c r="M270" s="56">
        <f t="shared" si="119"/>
        <v>0</v>
      </c>
      <c r="N270" s="56">
        <f t="shared" si="119"/>
        <v>0.7414877355027103</v>
      </c>
      <c r="O270" s="56">
        <f t="shared" si="119"/>
        <v>0.76211640932127989</v>
      </c>
      <c r="P270" s="56">
        <f t="shared" si="119"/>
        <v>0.75964898780720458</v>
      </c>
      <c r="Q270" s="56">
        <f t="shared" si="119"/>
        <v>0.77083899220727869</v>
      </c>
      <c r="R270" s="56">
        <f t="shared" si="119"/>
        <v>0.76792017419830505</v>
      </c>
      <c r="S270" s="56">
        <f t="shared" si="119"/>
        <v>0.77862145965180141</v>
      </c>
      <c r="T270" s="56">
        <f t="shared" si="119"/>
        <v>0.77609912462262376</v>
      </c>
      <c r="U270" s="56">
        <f t="shared" si="119"/>
        <v>0.77348809283080866</v>
      </c>
      <c r="V270" s="56">
        <f t="shared" si="119"/>
        <v>0.77078661906471402</v>
      </c>
    </row>
    <row r="271" spans="2:23">
      <c r="B271" s="55" t="s">
        <v>1022</v>
      </c>
      <c r="C271" s="51"/>
      <c r="D271" s="51"/>
      <c r="E271" s="51"/>
      <c r="F271" s="51"/>
      <c r="G271" s="51"/>
      <c r="H271" s="51"/>
      <c r="I271" s="51"/>
      <c r="J271" s="56">
        <f>IFERROR(J258/J253,0)</f>
        <v>0</v>
      </c>
      <c r="K271" s="52">
        <f t="shared" ref="K271:T271" si="120">IFERROR(K261/K255,0)</f>
        <v>0</v>
      </c>
      <c r="L271" s="52">
        <f t="shared" si="120"/>
        <v>0</v>
      </c>
      <c r="M271" s="52">
        <f t="shared" si="120"/>
        <v>0</v>
      </c>
      <c r="N271" s="52">
        <f t="shared" si="120"/>
        <v>0.60084722089050169</v>
      </c>
      <c r="O271" s="52">
        <f t="shared" si="120"/>
        <v>0.67091296594427818</v>
      </c>
      <c r="P271" s="52">
        <f t="shared" si="120"/>
        <v>0.6805223953815569</v>
      </c>
      <c r="Q271" s="52">
        <f t="shared" si="120"/>
        <v>0.71538601804571034</v>
      </c>
      <c r="R271" s="52">
        <f t="shared" si="120"/>
        <v>0.71902894795681938</v>
      </c>
      <c r="S271" s="52">
        <f t="shared" si="120"/>
        <v>0.74269845756583808</v>
      </c>
      <c r="T271" s="52">
        <f t="shared" si="120"/>
        <v>0.74573896731774303</v>
      </c>
      <c r="U271" s="52">
        <f>IFERROR(U261/U255,0)</f>
        <v>0.75234559604497298</v>
      </c>
      <c r="V271" s="52">
        <f>IFERROR(V261/V255,0)</f>
        <v>0.75468534998589465</v>
      </c>
    </row>
    <row r="272" spans="2:23">
      <c r="B272" s="55" t="s">
        <v>990</v>
      </c>
      <c r="C272" s="51"/>
      <c r="D272" s="51"/>
      <c r="E272" s="51"/>
      <c r="F272" s="51"/>
      <c r="G272" s="51"/>
      <c r="H272" s="51"/>
      <c r="I272" s="51"/>
      <c r="J272" s="52">
        <f>IFERROR(J267/J253,0)</f>
        <v>0</v>
      </c>
      <c r="K272" s="52">
        <f t="shared" ref="K272:V272" si="121">IFERROR(K267/K253,0)</f>
        <v>0</v>
      </c>
      <c r="L272" s="52">
        <f t="shared" si="121"/>
        <v>0</v>
      </c>
      <c r="M272" s="52">
        <f t="shared" si="121"/>
        <v>0</v>
      </c>
      <c r="N272" s="52">
        <f t="shared" si="121"/>
        <v>0.34750625925693202</v>
      </c>
      <c r="O272" s="52">
        <f t="shared" si="121"/>
        <v>0.39882474884658387</v>
      </c>
      <c r="P272" s="52">
        <f t="shared" si="121"/>
        <v>0.4032273560887526</v>
      </c>
      <c r="Q272" s="52">
        <f t="shared" si="121"/>
        <v>0.43012900100783613</v>
      </c>
      <c r="R272" s="52">
        <f t="shared" si="121"/>
        <v>0.43068233127552735</v>
      </c>
      <c r="S272" s="52">
        <f t="shared" si="121"/>
        <v>0.45105914654662238</v>
      </c>
      <c r="T272" s="52">
        <f t="shared" si="121"/>
        <v>0.45143854059117827</v>
      </c>
      <c r="U272" s="52">
        <f t="shared" si="121"/>
        <v>0.45390568098289763</v>
      </c>
      <c r="V272" s="52">
        <f t="shared" si="121"/>
        <v>0.45372706811117253</v>
      </c>
    </row>
    <row r="274" spans="1:22" ht="24" thickBot="1">
      <c r="A274" s="260"/>
      <c r="B274" s="14" t="s">
        <v>1035</v>
      </c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</row>
    <row r="275" spans="1:22">
      <c r="A275" s="260"/>
      <c r="B275" s="2" t="s">
        <v>29</v>
      </c>
      <c r="F275" s="6">
        <f>Output_FSL!$F$36</f>
        <v>1</v>
      </c>
    </row>
    <row r="276" spans="1:22">
      <c r="A276" s="260"/>
      <c r="B276" s="407" t="s">
        <v>623</v>
      </c>
      <c r="I276" s="48">
        <f>SUM(J276:V276)</f>
        <v>0.35927974938365576</v>
      </c>
      <c r="J276" s="23">
        <f>'Output_Standalone (IDR)'!J300/USD_IDR*Thousands</f>
        <v>0</v>
      </c>
      <c r="K276" s="23">
        <f>'Output_Standalone (IDR)'!K300/USD_IDR*Thousands</f>
        <v>0</v>
      </c>
      <c r="L276" s="23">
        <f>'Output_Standalone (IDR)'!L300/USD_IDR*Thousands</f>
        <v>0</v>
      </c>
      <c r="M276" s="23">
        <f>'Output_Standalone (IDR)'!M300/USD_IDR*Thousands</f>
        <v>0</v>
      </c>
      <c r="N276" s="23">
        <f>'Output_Standalone (IDR)'!N300/USD_IDR*Thousands</f>
        <v>2.8527513064863206E-2</v>
      </c>
      <c r="O276" s="23">
        <f>'Output_Standalone (IDR)'!O300/USD_IDR*Thousands</f>
        <v>3.1380264371349526E-2</v>
      </c>
      <c r="P276" s="23">
        <f>'Output_Standalone (IDR)'!P300/USD_IDR*Thousands</f>
        <v>3.4518290808484488E-2</v>
      </c>
      <c r="Q276" s="23">
        <f>'Output_Standalone (IDR)'!Q300/USD_IDR*Thousands</f>
        <v>3.797011988933293E-2</v>
      </c>
      <c r="R276" s="23">
        <f>'Output_Standalone (IDR)'!R300/USD_IDR*Thousands</f>
        <v>4.0248327082692922E-2</v>
      </c>
      <c r="S276" s="23">
        <f>'Output_Standalone (IDR)'!S300/USD_IDR*Thousands</f>
        <v>4.2663226707654496E-2</v>
      </c>
      <c r="T276" s="23">
        <f>'Output_Standalone (IDR)'!T300/USD_IDR*Thousands</f>
        <v>4.5223020310113764E-2</v>
      </c>
      <c r="U276" s="23">
        <f>'Output_Standalone (IDR)'!U300/USD_IDR*Thousands</f>
        <v>4.7936401528720585E-2</v>
      </c>
      <c r="V276" s="23">
        <f>'Output_Standalone (IDR)'!V300/USD_IDR*Thousands</f>
        <v>5.0812585620443836E-2</v>
      </c>
    </row>
    <row r="277" spans="1:22">
      <c r="A277" s="260"/>
      <c r="B277" s="407" t="s">
        <v>473</v>
      </c>
      <c r="H277" s="21" t="e">
        <f>L277/L276</f>
        <v>#DIV/0!</v>
      </c>
      <c r="I277" s="48">
        <f>SUM(J277:V277)</f>
        <v>0</v>
      </c>
      <c r="J277" s="276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</row>
    <row r="278" spans="1:22">
      <c r="A278" s="260"/>
      <c r="B278" s="28" t="s">
        <v>1017</v>
      </c>
      <c r="C278" s="28"/>
      <c r="D278" s="28"/>
      <c r="E278" s="28"/>
      <c r="F278" s="28"/>
      <c r="G278" s="28"/>
      <c r="H278" s="28"/>
      <c r="I278" s="49">
        <f>SUM(J278:V278)</f>
        <v>0.35927974938365576</v>
      </c>
      <c r="J278" s="47">
        <f t="shared" ref="J278:V278" si="122">SUM(J276:J277)</f>
        <v>0</v>
      </c>
      <c r="K278" s="47">
        <f t="shared" si="122"/>
        <v>0</v>
      </c>
      <c r="L278" s="47">
        <f t="shared" si="122"/>
        <v>0</v>
      </c>
      <c r="M278" s="47">
        <f t="shared" si="122"/>
        <v>0</v>
      </c>
      <c r="N278" s="47">
        <f t="shared" si="122"/>
        <v>2.8527513064863206E-2</v>
      </c>
      <c r="O278" s="47">
        <f t="shared" si="122"/>
        <v>3.1380264371349526E-2</v>
      </c>
      <c r="P278" s="47">
        <f t="shared" si="122"/>
        <v>3.4518290808484488E-2</v>
      </c>
      <c r="Q278" s="47">
        <f t="shared" si="122"/>
        <v>3.797011988933293E-2</v>
      </c>
      <c r="R278" s="47">
        <f t="shared" si="122"/>
        <v>4.0248327082692922E-2</v>
      </c>
      <c r="S278" s="47">
        <f t="shared" si="122"/>
        <v>4.2663226707654496E-2</v>
      </c>
      <c r="T278" s="47">
        <f t="shared" si="122"/>
        <v>4.5223020310113764E-2</v>
      </c>
      <c r="U278" s="47">
        <f t="shared" si="122"/>
        <v>4.7936401528720585E-2</v>
      </c>
      <c r="V278" s="47">
        <f t="shared" si="122"/>
        <v>5.0812585620443836E-2</v>
      </c>
    </row>
    <row r="279" spans="1:22">
      <c r="A279" s="260"/>
      <c r="L279" s="1"/>
    </row>
    <row r="280" spans="1:22">
      <c r="A280" s="260"/>
      <c r="B280" t="s">
        <v>852</v>
      </c>
      <c r="I280" s="48">
        <f>SUM(J280:V280)</f>
        <v>-7.1855949876731162E-2</v>
      </c>
      <c r="J280">
        <f>'Output_Standalone (IDR)'!J304/USD_IDR*Thousands</f>
        <v>0</v>
      </c>
      <c r="K280">
        <f>'Output_Standalone (IDR)'!K304/USD_IDR*Thousands</f>
        <v>0</v>
      </c>
      <c r="L280">
        <f>'Output_Standalone (IDR)'!L304/USD_IDR*Thousands</f>
        <v>0</v>
      </c>
      <c r="M280">
        <f>'Output_Standalone (IDR)'!M304/USD_IDR*Thousands</f>
        <v>0</v>
      </c>
      <c r="N280">
        <f>'Output_Standalone (IDR)'!N304/USD_IDR*Thousands</f>
        <v>-5.7055026129726408E-3</v>
      </c>
      <c r="O280">
        <f>'Output_Standalone (IDR)'!O304/USD_IDR*Thousands</f>
        <v>-6.2760528742699063E-3</v>
      </c>
      <c r="P280">
        <f>'Output_Standalone (IDR)'!P304/USD_IDR*Thousands</f>
        <v>-6.9036581616968981E-3</v>
      </c>
      <c r="Q280">
        <f>'Output_Standalone (IDR)'!Q304/USD_IDR*Thousands</f>
        <v>-7.5940239778665873E-3</v>
      </c>
      <c r="R280">
        <f>'Output_Standalone (IDR)'!R304/USD_IDR*Thousands</f>
        <v>-8.0496654165385841E-3</v>
      </c>
      <c r="S280">
        <f>'Output_Standalone (IDR)'!S304/USD_IDR*Thousands</f>
        <v>-8.5326453415308992E-3</v>
      </c>
      <c r="T280">
        <f>'Output_Standalone (IDR)'!T304/USD_IDR*Thousands</f>
        <v>-9.044604062022751E-3</v>
      </c>
      <c r="U280">
        <f>'Output_Standalone (IDR)'!U304/USD_IDR*Thousands</f>
        <v>-9.5872803057441194E-3</v>
      </c>
      <c r="V280">
        <f>'Output_Standalone (IDR)'!V304/USD_IDR*Thousands</f>
        <v>-1.0162517124088768E-2</v>
      </c>
    </row>
    <row r="281" spans="1:22">
      <c r="A281" s="260"/>
      <c r="B281" s="28" t="s">
        <v>139</v>
      </c>
      <c r="C281" s="28"/>
      <c r="D281" s="28"/>
      <c r="E281" s="28"/>
      <c r="F281" s="28"/>
      <c r="G281" s="28"/>
      <c r="H281" s="28"/>
      <c r="I281" s="49">
        <f>SUM(J281:V281)</f>
        <v>0.28742379950692459</v>
      </c>
      <c r="J281" s="47">
        <f t="shared" ref="J281:V281" si="123">SUM(J278,J280)</f>
        <v>0</v>
      </c>
      <c r="K281" s="47">
        <f t="shared" si="123"/>
        <v>0</v>
      </c>
      <c r="L281" s="47">
        <f t="shared" si="123"/>
        <v>0</v>
      </c>
      <c r="M281" s="47">
        <f t="shared" si="123"/>
        <v>0</v>
      </c>
      <c r="N281" s="47">
        <f t="shared" si="123"/>
        <v>2.2822010451890563E-2</v>
      </c>
      <c r="O281" s="47">
        <f t="shared" si="123"/>
        <v>2.5104211497079618E-2</v>
      </c>
      <c r="P281" s="47">
        <f t="shared" si="123"/>
        <v>2.7614632646787589E-2</v>
      </c>
      <c r="Q281" s="47">
        <f t="shared" si="123"/>
        <v>3.0376095911466342E-2</v>
      </c>
      <c r="R281" s="47">
        <f t="shared" si="123"/>
        <v>3.2198661666154337E-2</v>
      </c>
      <c r="S281" s="47">
        <f t="shared" si="123"/>
        <v>3.4130581366123597E-2</v>
      </c>
      <c r="T281" s="47">
        <f t="shared" si="123"/>
        <v>3.6178416248091011E-2</v>
      </c>
      <c r="U281" s="47">
        <f t="shared" si="123"/>
        <v>3.8349121222976464E-2</v>
      </c>
      <c r="V281" s="47">
        <f t="shared" si="123"/>
        <v>4.0650068496355066E-2</v>
      </c>
    </row>
    <row r="282" spans="1:22">
      <c r="A282" s="260"/>
    </row>
    <row r="283" spans="1:22">
      <c r="A283" s="260"/>
      <c r="B283" t="s">
        <v>1018</v>
      </c>
      <c r="I283" s="49">
        <f>SUM(J283:V283)</f>
        <v>-5.3999999999999992E-2</v>
      </c>
      <c r="J283" s="23">
        <f>'Output_Standalone (IDR)'!J307/USD_IDR*Thousands</f>
        <v>0</v>
      </c>
      <c r="K283" s="23">
        <f>'Output_Standalone (IDR)'!K307/USD_IDR*Thousands</f>
        <v>0</v>
      </c>
      <c r="L283" s="23">
        <f>'Output_Standalone (IDR)'!L307/USD_IDR*Thousands</f>
        <v>0</v>
      </c>
      <c r="M283" s="23">
        <f>'Output_Standalone (IDR)'!M307/USD_IDR*Thousands</f>
        <v>0</v>
      </c>
      <c r="N283" s="23">
        <f>'Output_Standalone (IDR)'!N307/USD_IDR*Thousands</f>
        <v>-6.0000000000000001E-3</v>
      </c>
      <c r="O283" s="23">
        <f>'Output_Standalone (IDR)'!O307/USD_IDR*Thousands</f>
        <v>-6.0000000000000001E-3</v>
      </c>
      <c r="P283" s="23">
        <f>'Output_Standalone (IDR)'!P307/USD_IDR*Thousands</f>
        <v>-6.0000000000000001E-3</v>
      </c>
      <c r="Q283" s="23">
        <f>'Output_Standalone (IDR)'!Q307/USD_IDR*Thousands</f>
        <v>-6.0000000000000001E-3</v>
      </c>
      <c r="R283" s="23">
        <f>'Output_Standalone (IDR)'!R307/USD_IDR*Thousands</f>
        <v>-6.0000000000000001E-3</v>
      </c>
      <c r="S283" s="23">
        <f>'Output_Standalone (IDR)'!S307/USD_IDR*Thousands</f>
        <v>-6.0000000000000001E-3</v>
      </c>
      <c r="T283" s="23">
        <f>'Output_Standalone (IDR)'!T307/USD_IDR*Thousands</f>
        <v>-6.0000000000000001E-3</v>
      </c>
      <c r="U283" s="23">
        <f>'Output_Standalone (IDR)'!U307/USD_IDR*Thousands</f>
        <v>-6.0000000000000001E-3</v>
      </c>
      <c r="V283" s="23">
        <f>'Output_Standalone (IDR)'!V307/USD_IDR*Thousands</f>
        <v>-6.0000000000000001E-3</v>
      </c>
    </row>
    <row r="284" spans="1:22">
      <c r="A284" s="260"/>
      <c r="B284" s="28" t="s">
        <v>434</v>
      </c>
      <c r="C284" s="28"/>
      <c r="D284" s="28"/>
      <c r="E284" s="28"/>
      <c r="F284" s="28"/>
      <c r="G284" s="28"/>
      <c r="H284" s="28"/>
      <c r="I284" s="49">
        <f>SUM(J284:V284)</f>
        <v>0.23342379950692457</v>
      </c>
      <c r="J284" s="47">
        <f t="shared" ref="J284:V284" si="124">SUM(J281,J283)</f>
        <v>0</v>
      </c>
      <c r="K284" s="47">
        <f t="shared" si="124"/>
        <v>0</v>
      </c>
      <c r="L284" s="47">
        <f t="shared" si="124"/>
        <v>0</v>
      </c>
      <c r="M284" s="47">
        <f t="shared" si="124"/>
        <v>0</v>
      </c>
      <c r="N284" s="47">
        <f t="shared" si="124"/>
        <v>1.6822010451890565E-2</v>
      </c>
      <c r="O284" s="47">
        <f t="shared" si="124"/>
        <v>1.9104211497079616E-2</v>
      </c>
      <c r="P284" s="47">
        <f t="shared" si="124"/>
        <v>2.161463264678759E-2</v>
      </c>
      <c r="Q284" s="47">
        <f t="shared" si="124"/>
        <v>2.437609591146634E-2</v>
      </c>
      <c r="R284" s="47">
        <f t="shared" si="124"/>
        <v>2.6198661666154338E-2</v>
      </c>
      <c r="S284" s="47">
        <f t="shared" si="124"/>
        <v>2.8130581366123598E-2</v>
      </c>
      <c r="T284" s="47">
        <f t="shared" si="124"/>
        <v>3.0178416248091013E-2</v>
      </c>
      <c r="U284" s="47">
        <f t="shared" si="124"/>
        <v>3.2349121222976465E-2</v>
      </c>
      <c r="V284" s="47">
        <f t="shared" si="124"/>
        <v>3.4650068496355067E-2</v>
      </c>
    </row>
    <row r="285" spans="1:22">
      <c r="A285" s="260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</row>
    <row r="286" spans="1:22">
      <c r="A286" s="260"/>
      <c r="B286" t="s">
        <v>881</v>
      </c>
      <c r="I286" s="48">
        <f>SUM(J286:V286)</f>
        <v>0</v>
      </c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</row>
    <row r="287" spans="1:22">
      <c r="A287" s="260"/>
      <c r="B287" s="28" t="s">
        <v>1019</v>
      </c>
      <c r="C287" s="28"/>
      <c r="D287" s="28"/>
      <c r="E287" s="28"/>
      <c r="F287" s="28"/>
      <c r="G287" s="28"/>
      <c r="H287" s="28"/>
      <c r="I287" s="48">
        <f>SUM(J287:V287)</f>
        <v>0.23342379950692457</v>
      </c>
      <c r="J287" s="47">
        <f t="shared" ref="J287:V287" si="125">SUM(J284,J286)</f>
        <v>0</v>
      </c>
      <c r="K287" s="47">
        <f t="shared" si="125"/>
        <v>0</v>
      </c>
      <c r="L287" s="47">
        <f t="shared" si="125"/>
        <v>0</v>
      </c>
      <c r="M287" s="47">
        <f t="shared" si="125"/>
        <v>0</v>
      </c>
      <c r="N287" s="47">
        <f t="shared" si="125"/>
        <v>1.6822010451890565E-2</v>
      </c>
      <c r="O287" s="47">
        <f t="shared" si="125"/>
        <v>1.9104211497079616E-2</v>
      </c>
      <c r="P287" s="47">
        <f t="shared" si="125"/>
        <v>2.161463264678759E-2</v>
      </c>
      <c r="Q287" s="47">
        <f t="shared" si="125"/>
        <v>2.437609591146634E-2</v>
      </c>
      <c r="R287" s="47">
        <f t="shared" si="125"/>
        <v>2.6198661666154338E-2</v>
      </c>
      <c r="S287" s="47">
        <f t="shared" si="125"/>
        <v>2.8130581366123598E-2</v>
      </c>
      <c r="T287" s="47">
        <f t="shared" si="125"/>
        <v>3.0178416248091013E-2</v>
      </c>
      <c r="U287" s="47">
        <f t="shared" si="125"/>
        <v>3.2349121222976465E-2</v>
      </c>
      <c r="V287" s="47">
        <f t="shared" si="125"/>
        <v>3.4650068496355067E-2</v>
      </c>
    </row>
    <row r="288" spans="1:22">
      <c r="A288" s="260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</row>
    <row r="289" spans="1:22">
      <c r="A289" s="260"/>
      <c r="B289" t="s">
        <v>759</v>
      </c>
      <c r="I289" s="48">
        <f>SUM(J289:V289)</f>
        <v>-5.1353235891523408E-2</v>
      </c>
      <c r="J289" s="23">
        <f>-IF(J287&lt;0,0,J287*22%)</f>
        <v>0</v>
      </c>
      <c r="K289" s="23">
        <f t="shared" ref="K289:V289" si="126">-IF(K287&lt;0,0,K287*22%)</f>
        <v>0</v>
      </c>
      <c r="L289" s="23">
        <f t="shared" si="126"/>
        <v>0</v>
      </c>
      <c r="M289" s="23">
        <f t="shared" si="126"/>
        <v>0</v>
      </c>
      <c r="N289" s="23">
        <f t="shared" si="126"/>
        <v>-3.7008422994159241E-3</v>
      </c>
      <c r="O289" s="23">
        <f t="shared" si="126"/>
        <v>-4.2029265293575153E-3</v>
      </c>
      <c r="P289" s="23">
        <f t="shared" si="126"/>
        <v>-4.7552191822932697E-3</v>
      </c>
      <c r="Q289" s="23">
        <f t="shared" si="126"/>
        <v>-5.3627411005225953E-3</v>
      </c>
      <c r="R289" s="23">
        <f t="shared" si="126"/>
        <v>-5.7637055665539548E-3</v>
      </c>
      <c r="S289" s="23">
        <f t="shared" si="126"/>
        <v>-6.1887279005471913E-3</v>
      </c>
      <c r="T289" s="23">
        <f t="shared" si="126"/>
        <v>-6.639251574580023E-3</v>
      </c>
      <c r="U289" s="23">
        <f t="shared" si="126"/>
        <v>-7.1168066690548227E-3</v>
      </c>
      <c r="V289" s="23">
        <f t="shared" si="126"/>
        <v>-7.6230150691981146E-3</v>
      </c>
    </row>
    <row r="290" spans="1:22">
      <c r="A290" s="260"/>
      <c r="B290" s="28" t="s">
        <v>1020</v>
      </c>
      <c r="C290" s="28"/>
      <c r="D290" s="28"/>
      <c r="E290" s="28"/>
      <c r="F290" s="28"/>
      <c r="G290" s="28"/>
      <c r="H290" s="28"/>
      <c r="I290" s="48">
        <f>SUM(J290:V290)</f>
        <v>0.18207056361540117</v>
      </c>
      <c r="J290" s="47">
        <f t="shared" ref="J290:V290" si="127">SUM(J287,J289)</f>
        <v>0</v>
      </c>
      <c r="K290" s="47">
        <f t="shared" si="127"/>
        <v>0</v>
      </c>
      <c r="L290" s="47">
        <f t="shared" si="127"/>
        <v>0</v>
      </c>
      <c r="M290" s="47">
        <f t="shared" si="127"/>
        <v>0</v>
      </c>
      <c r="N290" s="47">
        <f t="shared" si="127"/>
        <v>1.3121168152474641E-2</v>
      </c>
      <c r="O290" s="47">
        <f t="shared" si="127"/>
        <v>1.4901284967722101E-2</v>
      </c>
      <c r="P290" s="47">
        <f t="shared" si="127"/>
        <v>1.6859413464494322E-2</v>
      </c>
      <c r="Q290" s="47">
        <f t="shared" si="127"/>
        <v>1.9013354810943746E-2</v>
      </c>
      <c r="R290" s="47">
        <f t="shared" si="127"/>
        <v>2.0434956099600384E-2</v>
      </c>
      <c r="S290" s="47">
        <f t="shared" si="127"/>
        <v>2.1941853465576408E-2</v>
      </c>
      <c r="T290" s="47">
        <f t="shared" si="127"/>
        <v>2.3539164673510991E-2</v>
      </c>
      <c r="U290" s="47">
        <f t="shared" si="127"/>
        <v>2.5232314553921643E-2</v>
      </c>
      <c r="V290" s="47">
        <f t="shared" si="127"/>
        <v>2.7027053427156951E-2</v>
      </c>
    </row>
    <row r="291" spans="1:22">
      <c r="A291" s="260"/>
    </row>
    <row r="292" spans="1:22">
      <c r="A292" s="260"/>
      <c r="B292" s="407" t="s">
        <v>32</v>
      </c>
      <c r="C292" s="407"/>
      <c r="D292" s="407"/>
      <c r="E292" s="407"/>
      <c r="F292" s="407"/>
      <c r="G292" s="407"/>
      <c r="H292" s="407"/>
      <c r="I292" s="407"/>
      <c r="J292" s="9">
        <f>J$8</f>
        <v>2024</v>
      </c>
      <c r="K292" s="9">
        <f t="shared" ref="K292:V292" si="128">K$8</f>
        <v>2025</v>
      </c>
      <c r="L292" s="9">
        <f t="shared" si="128"/>
        <v>2026</v>
      </c>
      <c r="M292" s="9">
        <f t="shared" si="128"/>
        <v>2027</v>
      </c>
      <c r="N292" s="9">
        <f t="shared" si="128"/>
        <v>2028</v>
      </c>
      <c r="O292" s="9">
        <f t="shared" si="128"/>
        <v>2029</v>
      </c>
      <c r="P292" s="9">
        <f t="shared" si="128"/>
        <v>2030</v>
      </c>
      <c r="Q292" s="9">
        <f t="shared" si="128"/>
        <v>2031</v>
      </c>
      <c r="R292" s="9">
        <f t="shared" si="128"/>
        <v>2032</v>
      </c>
      <c r="S292" s="9">
        <f t="shared" si="128"/>
        <v>2033</v>
      </c>
      <c r="T292" s="9">
        <f t="shared" si="128"/>
        <v>2034</v>
      </c>
      <c r="U292" s="9">
        <f t="shared" si="128"/>
        <v>2035</v>
      </c>
      <c r="V292" s="9">
        <f t="shared" si="128"/>
        <v>2036</v>
      </c>
    </row>
    <row r="293" spans="1:22">
      <c r="A293" s="260"/>
      <c r="B293" s="55" t="s">
        <v>1021</v>
      </c>
      <c r="C293" s="51"/>
      <c r="D293" s="51"/>
      <c r="E293" s="51"/>
      <c r="F293" s="51"/>
      <c r="G293" s="51"/>
      <c r="H293" s="51"/>
      <c r="I293" s="51"/>
      <c r="J293" s="56">
        <f>IFERROR(J278/J276,0)</f>
        <v>0</v>
      </c>
      <c r="K293" s="56">
        <f t="shared" ref="K293:V293" si="129">IFERROR(K278/K276,0)</f>
        <v>0</v>
      </c>
      <c r="L293" s="56">
        <f t="shared" si="129"/>
        <v>0</v>
      </c>
      <c r="M293" s="56">
        <f t="shared" si="129"/>
        <v>0</v>
      </c>
      <c r="N293" s="56">
        <f t="shared" si="129"/>
        <v>1</v>
      </c>
      <c r="O293" s="56">
        <f t="shared" si="129"/>
        <v>1</v>
      </c>
      <c r="P293" s="56">
        <f t="shared" si="129"/>
        <v>1</v>
      </c>
      <c r="Q293" s="56">
        <f t="shared" si="129"/>
        <v>1</v>
      </c>
      <c r="R293" s="56">
        <f t="shared" si="129"/>
        <v>1</v>
      </c>
      <c r="S293" s="56">
        <f t="shared" si="129"/>
        <v>1</v>
      </c>
      <c r="T293" s="56">
        <f t="shared" si="129"/>
        <v>1</v>
      </c>
      <c r="U293" s="56">
        <f t="shared" si="129"/>
        <v>1</v>
      </c>
      <c r="V293" s="56">
        <f t="shared" si="129"/>
        <v>1</v>
      </c>
    </row>
    <row r="294" spans="1:22">
      <c r="A294" s="260"/>
      <c r="B294" s="55" t="s">
        <v>1022</v>
      </c>
      <c r="C294" s="51"/>
      <c r="D294" s="51"/>
      <c r="E294" s="51"/>
      <c r="F294" s="51"/>
      <c r="G294" s="51"/>
      <c r="H294" s="51"/>
      <c r="I294" s="51"/>
      <c r="J294" s="56">
        <f>IFERROR(J281/J276,0)</f>
        <v>0</v>
      </c>
      <c r="K294" s="52">
        <f t="shared" ref="K294:T294" si="130">IFERROR(K284/K278,0)</f>
        <v>0</v>
      </c>
      <c r="L294" s="52">
        <f t="shared" si="130"/>
        <v>0</v>
      </c>
      <c r="M294" s="52">
        <f t="shared" si="130"/>
        <v>0</v>
      </c>
      <c r="N294" s="52">
        <f t="shared" si="130"/>
        <v>0.58967672413793104</v>
      </c>
      <c r="O294" s="52">
        <f t="shared" si="130"/>
        <v>0.60879702194357355</v>
      </c>
      <c r="P294" s="52">
        <f t="shared" si="130"/>
        <v>0.62617911085779432</v>
      </c>
      <c r="Q294" s="52">
        <f t="shared" si="130"/>
        <v>0.64198100987072193</v>
      </c>
      <c r="R294" s="52">
        <f t="shared" si="130"/>
        <v>0.65092548101011527</v>
      </c>
      <c r="S294" s="52">
        <f t="shared" si="130"/>
        <v>0.65936366133029745</v>
      </c>
      <c r="T294" s="52">
        <f t="shared" si="130"/>
        <v>0.66732420880216736</v>
      </c>
      <c r="U294" s="52">
        <f>IFERROR(U284/U278,0)</f>
        <v>0.67483415924732759</v>
      </c>
      <c r="V294" s="52">
        <f>IFERROR(V284/V278,0)</f>
        <v>0.68191901815785627</v>
      </c>
    </row>
    <row r="295" spans="1:22">
      <c r="A295" s="260"/>
      <c r="B295" s="55" t="s">
        <v>990</v>
      </c>
      <c r="C295" s="51"/>
      <c r="D295" s="51"/>
      <c r="E295" s="51"/>
      <c r="F295" s="51"/>
      <c r="G295" s="51"/>
      <c r="H295" s="51"/>
      <c r="I295" s="51"/>
      <c r="J295" s="52">
        <f>IFERROR(J290/J276,0)</f>
        <v>0</v>
      </c>
      <c r="K295" s="52">
        <f t="shared" ref="K295:V295" si="131">IFERROR(K290/K276,0)</f>
        <v>0</v>
      </c>
      <c r="L295" s="52">
        <f t="shared" si="131"/>
        <v>0</v>
      </c>
      <c r="M295" s="52">
        <f t="shared" si="131"/>
        <v>0</v>
      </c>
      <c r="N295" s="52">
        <f t="shared" si="131"/>
        <v>0.45994784482758627</v>
      </c>
      <c r="O295" s="52">
        <f t="shared" si="131"/>
        <v>0.47486167711598737</v>
      </c>
      <c r="P295" s="52">
        <f t="shared" si="131"/>
        <v>0.48841970646907962</v>
      </c>
      <c r="Q295" s="52">
        <f t="shared" si="131"/>
        <v>0.5007451876991631</v>
      </c>
      <c r="R295" s="52">
        <f t="shared" si="131"/>
        <v>0.50772187518788992</v>
      </c>
      <c r="S295" s="52">
        <f t="shared" si="131"/>
        <v>0.51430365583763205</v>
      </c>
      <c r="T295" s="52">
        <f t="shared" si="131"/>
        <v>0.52051288286569053</v>
      </c>
      <c r="U295" s="52">
        <f t="shared" si="131"/>
        <v>0.52637064421291557</v>
      </c>
      <c r="V295" s="52">
        <f t="shared" si="131"/>
        <v>0.53189683416312783</v>
      </c>
    </row>
    <row r="297" spans="1:22" ht="24" thickBot="1">
      <c r="B297" s="14" t="s">
        <v>1036</v>
      </c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</row>
    <row r="298" spans="1:22">
      <c r="B298" s="2" t="s">
        <v>29</v>
      </c>
      <c r="F298" s="6">
        <f>Output_FSL!F37</f>
        <v>1</v>
      </c>
    </row>
    <row r="299" spans="1:22">
      <c r="B299" s="407" t="s">
        <v>623</v>
      </c>
      <c r="I299" s="48">
        <f>SUM(J299:V299)</f>
        <v>43.433360910388828</v>
      </c>
      <c r="J299" s="458">
        <f>'Output_Standalone (IDR)'!J323/USD_IDR*Thousands</f>
        <v>1.3675683984014757</v>
      </c>
      <c r="K299" s="23">
        <f>'Output_Standalone (IDR)'!K323/USD_IDR*Thousands</f>
        <v>1.4085954503535199</v>
      </c>
      <c r="L299" s="23">
        <f>'Output_Standalone (IDR)'!L323/USD_IDR*Thousands</f>
        <v>2.1498879226867507</v>
      </c>
      <c r="M299" s="23">
        <f>'Output_Standalone (IDR)'!M323/USD_IDR*Thousands</f>
        <v>2.754778043306179</v>
      </c>
      <c r="N299" s="23">
        <f>'Output_Standalone (IDR)'!N323/USD_IDR*Thousands</f>
        <v>3.0449971893774634</v>
      </c>
      <c r="O299" s="23">
        <f>'Output_Standalone (IDR)'!O323/USD_IDR*Thousands</f>
        <v>3.3522645004961333</v>
      </c>
      <c r="P299" s="23">
        <f>'Output_Standalone (IDR)'!P323/USD_IDR*Thousands</f>
        <v>3.6774704312097626</v>
      </c>
      <c r="Q299" s="23">
        <f>'Output_Standalone (IDR)'!Q323/USD_IDR*Thousands</f>
        <v>4.0215513615884992</v>
      </c>
      <c r="R299" s="23">
        <f>'Output_Standalone (IDR)'!R323/USD_IDR*Thousands</f>
        <v>4.3854920289006545</v>
      </c>
      <c r="S299" s="23">
        <f>'Output_Standalone (IDR)'!S323/USD_IDR*Thousands</f>
        <v>4.7703280929388692</v>
      </c>
      <c r="T299" s="23">
        <f>'Output_Standalone (IDR)'!T323/USD_IDR*Thousands</f>
        <v>5.1771488425985135</v>
      </c>
      <c r="U299" s="23">
        <f>'Output_Standalone (IDR)'!U323/USD_IDR*Thousands</f>
        <v>3.5534371626624313</v>
      </c>
      <c r="V299" s="23">
        <f>'Output_Standalone (IDR)'!V323/USD_IDR*Thousands</f>
        <v>3.7698414858685734</v>
      </c>
    </row>
    <row r="300" spans="1:22">
      <c r="B300" s="407" t="s">
        <v>473</v>
      </c>
      <c r="I300" s="48">
        <f>SUM(J300:V300)</f>
        <v>-9.7314363489991322</v>
      </c>
      <c r="J300" s="23">
        <f>'Output_Standalone (IDR)'!J324/USD_IDR*Thousands</f>
        <v>-0.49346087197578098</v>
      </c>
      <c r="K300" s="23">
        <f>'Output_Standalone (IDR)'!K324/USD_IDR*Thousands</f>
        <v>-0.51372434624004304</v>
      </c>
      <c r="L300" s="23">
        <f>'Output_Standalone (IDR)'!L324/USD_IDR*Thousands</f>
        <v>-0.57866234636878322</v>
      </c>
      <c r="M300" s="23">
        <f>'Output_Standalone (IDR)'!M324/USD_IDR*Thousands</f>
        <v>-0.64931920844869007</v>
      </c>
      <c r="N300" s="23">
        <f>'Output_Standalone (IDR)'!N324/USD_IDR*Thousands</f>
        <v>-0.68901996611620731</v>
      </c>
      <c r="O300" s="23">
        <f>'Output_Standalone (IDR)'!O324/USD_IDR*Thousands</f>
        <v>-0.73076336026952105</v>
      </c>
      <c r="P300" s="23">
        <f>'Output_Standalone (IDR)'!P324/USD_IDR*Thousands</f>
        <v>-0.77464922950613524</v>
      </c>
      <c r="Q300" s="23">
        <f>'Output_Standalone (IDR)'!Q324/USD_IDR*Thousands</f>
        <v>-0.82078234645536374</v>
      </c>
      <c r="R300" s="23">
        <f>'Output_Standalone (IDR)'!R324/USD_IDR*Thousands</f>
        <v>-0.86927267143268971</v>
      </c>
      <c r="S300" s="23">
        <f>'Output_Standalone (IDR)'!S324/USD_IDR*Thousands</f>
        <v>-0.92023561977163315</v>
      </c>
      <c r="T300" s="23">
        <f>'Output_Standalone (IDR)'!T324/USD_IDR*Thousands</f>
        <v>-0.97379234360325029</v>
      </c>
      <c r="U300" s="23">
        <f>'Output_Standalone (IDR)'!U324/USD_IDR*Thousands</f>
        <v>-0.84034142683698876</v>
      </c>
      <c r="V300" s="23">
        <f>'Output_Standalone (IDR)'!V324/USD_IDR*Thousands</f>
        <v>-0.87741261197404463</v>
      </c>
    </row>
    <row r="301" spans="1:22">
      <c r="B301" s="28" t="s">
        <v>1017</v>
      </c>
      <c r="C301" s="28"/>
      <c r="D301" s="28"/>
      <c r="E301" s="28"/>
      <c r="F301" s="28"/>
      <c r="G301" s="28"/>
      <c r="H301" s="28"/>
      <c r="I301" s="49">
        <f>SUM(J301:V301)</f>
        <v>33.701924561389696</v>
      </c>
      <c r="J301" s="47">
        <f t="shared" ref="J301:V301" si="132">SUM(J299:J300)</f>
        <v>0.87410752642569478</v>
      </c>
      <c r="K301" s="47">
        <f t="shared" si="132"/>
        <v>0.89487110411347681</v>
      </c>
      <c r="L301" s="47">
        <f t="shared" si="132"/>
        <v>1.5712255763179674</v>
      </c>
      <c r="M301" s="47">
        <f t="shared" si="132"/>
        <v>2.105458834857489</v>
      </c>
      <c r="N301" s="47">
        <f t="shared" si="132"/>
        <v>2.3559772232612559</v>
      </c>
      <c r="O301" s="47">
        <f t="shared" si="132"/>
        <v>2.6215011402266124</v>
      </c>
      <c r="P301" s="47">
        <f t="shared" si="132"/>
        <v>2.9028212017036275</v>
      </c>
      <c r="Q301" s="47">
        <f t="shared" si="132"/>
        <v>3.2007690151331354</v>
      </c>
      <c r="R301" s="47">
        <f t="shared" si="132"/>
        <v>3.516219357467965</v>
      </c>
      <c r="S301" s="47">
        <f t="shared" si="132"/>
        <v>3.8500924731672361</v>
      </c>
      <c r="T301" s="47">
        <f t="shared" si="132"/>
        <v>4.2033564989952632</v>
      </c>
      <c r="U301" s="47">
        <f t="shared" si="132"/>
        <v>2.7130957358254424</v>
      </c>
      <c r="V301" s="47">
        <f t="shared" si="132"/>
        <v>2.892428873894529</v>
      </c>
    </row>
    <row r="302" spans="1:22">
      <c r="L302" s="1"/>
    </row>
    <row r="303" spans="1:22">
      <c r="B303" t="s">
        <v>852</v>
      </c>
      <c r="I303" s="48">
        <f>SUM(J303:V303)</f>
        <v>-2.9214661205744901</v>
      </c>
      <c r="J303" s="23">
        <f>'Output_Standalone (IDR)'!J327/USD_IDR*Thousands</f>
        <v>-0.18885667097222258</v>
      </c>
      <c r="K303" s="23">
        <f>'Output_Standalone (IDR)'!K327/USD_IDR*Thousands</f>
        <v>-0.1942205377172378</v>
      </c>
      <c r="L303" s="23">
        <f>'Output_Standalone (IDR)'!L327/USD_IDR*Thousands</f>
        <v>-0.19973995668952174</v>
      </c>
      <c r="M303" s="23">
        <f>'Output_Standalone (IDR)'!M327/USD_IDR*Thousands</f>
        <v>-0.20541951073163181</v>
      </c>
      <c r="N303" s="23">
        <f>'Output_Standalone (IDR)'!N327/USD_IDR*Thousands</f>
        <v>-0.21126391932121039</v>
      </c>
      <c r="O303" s="23">
        <f>'Output_Standalone (IDR)'!O327/USD_IDR*Thousands</f>
        <v>-0.21727804268188386</v>
      </c>
      <c r="P303" s="23">
        <f>'Output_Standalone (IDR)'!P327/USD_IDR*Thousands</f>
        <v>-0.22346688601873524</v>
      </c>
      <c r="Q303" s="23">
        <f>'Output_Standalone (IDR)'!Q327/USD_IDR*Thousands</f>
        <v>-0.2298356038821476</v>
      </c>
      <c r="R303" s="23">
        <f>'Output_Standalone (IDR)'!R327/USD_IDR*Thousands</f>
        <v>-0.23638950466393355</v>
      </c>
      <c r="S303" s="23">
        <f>'Output_Standalone (IDR)'!S327/USD_IDR*Thousands</f>
        <v>-0.2431340552297821</v>
      </c>
      <c r="T303" s="23">
        <f>'Output_Standalone (IDR)'!T327/USD_IDR*Thousands</f>
        <v>-0.250074885692183</v>
      </c>
      <c r="U303" s="23">
        <f>'Output_Standalone (IDR)'!U327/USD_IDR*Thousands</f>
        <v>-0.25721779432811115</v>
      </c>
      <c r="V303" s="23">
        <f>'Output_Standalone (IDR)'!V327/USD_IDR*Thousands</f>
        <v>-0.26456875264588992</v>
      </c>
    </row>
    <row r="304" spans="1:22">
      <c r="B304" s="28" t="s">
        <v>139</v>
      </c>
      <c r="C304" s="28"/>
      <c r="D304" s="28"/>
      <c r="E304" s="28"/>
      <c r="F304" s="28"/>
      <c r="G304" s="28"/>
      <c r="H304" s="28"/>
      <c r="I304" s="49">
        <f>SUM(J304:V304)</f>
        <v>30.780458440815202</v>
      </c>
      <c r="J304" s="47">
        <f t="shared" ref="J304:V304" si="133">SUM(J301,J303)</f>
        <v>0.6852508554534722</v>
      </c>
      <c r="K304" s="47">
        <f t="shared" si="133"/>
        <v>0.70065056639623902</v>
      </c>
      <c r="L304" s="47">
        <f t="shared" si="133"/>
        <v>1.3714856196284457</v>
      </c>
      <c r="M304" s="47">
        <f t="shared" si="133"/>
        <v>1.9000393241258571</v>
      </c>
      <c r="N304" s="47">
        <f t="shared" si="133"/>
        <v>2.1447133039400454</v>
      </c>
      <c r="O304" s="47">
        <f t="shared" si="133"/>
        <v>2.4042230975447287</v>
      </c>
      <c r="P304" s="47">
        <f t="shared" si="133"/>
        <v>2.679354315684892</v>
      </c>
      <c r="Q304" s="47">
        <f t="shared" si="133"/>
        <v>2.970933411250988</v>
      </c>
      <c r="R304" s="47">
        <f t="shared" si="133"/>
        <v>3.2798298528040313</v>
      </c>
      <c r="S304" s="47">
        <f t="shared" si="133"/>
        <v>3.6069584179374541</v>
      </c>
      <c r="T304" s="47">
        <f t="shared" si="133"/>
        <v>3.9532816133030804</v>
      </c>
      <c r="U304" s="47">
        <f t="shared" si="133"/>
        <v>2.4558779414973313</v>
      </c>
      <c r="V304" s="47">
        <f t="shared" si="133"/>
        <v>2.6278601212486392</v>
      </c>
    </row>
    <row r="306" spans="1:22">
      <c r="B306" t="s">
        <v>1018</v>
      </c>
      <c r="I306" s="49">
        <f>SUM(J306:V306)</f>
        <v>-9.6750390736904386</v>
      </c>
      <c r="J306" s="23">
        <f>'Output_Standalone (IDR)'!J330/USD_IDR*Thousands</f>
        <v>-0.32179368050599449</v>
      </c>
      <c r="K306" s="23">
        <f>'Output_Standalone (IDR)'!K330/USD_IDR*Thousands</f>
        <v>-0.32179368050599449</v>
      </c>
      <c r="L306" s="23">
        <f>'Output_Standalone (IDR)'!L330/USD_IDR*Thousands</f>
        <v>-0.96731091956440196</v>
      </c>
      <c r="M306" s="23">
        <f>'Output_Standalone (IDR)'!M330/USD_IDR*Thousands</f>
        <v>-0.80641407931140474</v>
      </c>
      <c r="N306" s="23">
        <f>'Output_Standalone (IDR)'!N330/USD_IDR*Thousands</f>
        <v>-0.80641407931140474</v>
      </c>
      <c r="O306" s="23">
        <f>'Output_Standalone (IDR)'!O330/USD_IDR*Thousands</f>
        <v>-0.80641407931140474</v>
      </c>
      <c r="P306" s="23">
        <f>'Output_Standalone (IDR)'!P330/USD_IDR*Thousands</f>
        <v>-0.80641407931140474</v>
      </c>
      <c r="Q306" s="23">
        <f>'Output_Standalone (IDR)'!Q330/USD_IDR*Thousands</f>
        <v>-0.80641407931140474</v>
      </c>
      <c r="R306" s="23">
        <f>'Output_Standalone (IDR)'!R330/USD_IDR*Thousands</f>
        <v>-0.80641407931140474</v>
      </c>
      <c r="S306" s="23">
        <f>'Output_Standalone (IDR)'!S330/USD_IDR*Thousands</f>
        <v>-0.80641407931140474</v>
      </c>
      <c r="T306" s="23">
        <f>'Output_Standalone (IDR)'!T330/USD_IDR*Thousands</f>
        <v>-0.80641407931140474</v>
      </c>
      <c r="U306" s="23">
        <f>'Output_Standalone (IDR)'!U330/USD_IDR*Thousands</f>
        <v>-0.80641407931140474</v>
      </c>
      <c r="V306" s="23">
        <f>'Output_Standalone (IDR)'!V330/USD_IDR*Thousands</f>
        <v>-0.80641407931140474</v>
      </c>
    </row>
    <row r="307" spans="1:22">
      <c r="B307" s="28" t="s">
        <v>434</v>
      </c>
      <c r="C307" s="28"/>
      <c r="D307" s="28"/>
      <c r="E307" s="28"/>
      <c r="F307" s="28"/>
      <c r="G307" s="28"/>
      <c r="H307" s="28"/>
      <c r="I307" s="49">
        <f>SUM(J307:V307)</f>
        <v>21.105419367124767</v>
      </c>
      <c r="J307" s="47">
        <f t="shared" ref="J307:V307" si="134">SUM(J304,J306)</f>
        <v>0.3634571749474777</v>
      </c>
      <c r="K307" s="47">
        <f t="shared" si="134"/>
        <v>0.37885688589024452</v>
      </c>
      <c r="L307" s="47">
        <f t="shared" si="134"/>
        <v>0.40417470006404377</v>
      </c>
      <c r="M307" s="47">
        <f t="shared" si="134"/>
        <v>1.0936252448144523</v>
      </c>
      <c r="N307" s="47">
        <f t="shared" si="134"/>
        <v>1.3382992246286407</v>
      </c>
      <c r="O307" s="47">
        <f t="shared" si="134"/>
        <v>1.597809018233324</v>
      </c>
      <c r="P307" s="47">
        <f t="shared" si="134"/>
        <v>1.8729402363734873</v>
      </c>
      <c r="Q307" s="47">
        <f t="shared" si="134"/>
        <v>2.1645193319395832</v>
      </c>
      <c r="R307" s="47">
        <f t="shared" si="134"/>
        <v>2.4734157734926265</v>
      </c>
      <c r="S307" s="47">
        <f t="shared" si="134"/>
        <v>2.8005443386260493</v>
      </c>
      <c r="T307" s="47">
        <f t="shared" si="134"/>
        <v>3.1468675339916756</v>
      </c>
      <c r="U307" s="47">
        <f t="shared" si="134"/>
        <v>1.6494638621859266</v>
      </c>
      <c r="V307" s="47">
        <f t="shared" si="134"/>
        <v>1.8214460419372345</v>
      </c>
    </row>
    <row r="308" spans="1:22"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</row>
    <row r="309" spans="1:22">
      <c r="B309" t="s">
        <v>881</v>
      </c>
      <c r="I309" s="48">
        <f>SUM(J309:V309)</f>
        <v>0</v>
      </c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</row>
    <row r="310" spans="1:22">
      <c r="B310" s="28" t="s">
        <v>1019</v>
      </c>
      <c r="C310" s="28"/>
      <c r="D310" s="28"/>
      <c r="E310" s="28"/>
      <c r="F310" s="28"/>
      <c r="G310" s="28"/>
      <c r="H310" s="28"/>
      <c r="I310" s="48">
        <f>SUM(J310:V310)</f>
        <v>21.105419367124767</v>
      </c>
      <c r="J310" s="47">
        <f t="shared" ref="J310:V310" si="135">SUM(J307,J309)</f>
        <v>0.3634571749474777</v>
      </c>
      <c r="K310" s="47">
        <f t="shared" si="135"/>
        <v>0.37885688589024452</v>
      </c>
      <c r="L310" s="47">
        <f t="shared" si="135"/>
        <v>0.40417470006404377</v>
      </c>
      <c r="M310" s="47">
        <f t="shared" si="135"/>
        <v>1.0936252448144523</v>
      </c>
      <c r="N310" s="47">
        <f t="shared" si="135"/>
        <v>1.3382992246286407</v>
      </c>
      <c r="O310" s="47">
        <f t="shared" si="135"/>
        <v>1.597809018233324</v>
      </c>
      <c r="P310" s="47">
        <f t="shared" si="135"/>
        <v>1.8729402363734873</v>
      </c>
      <c r="Q310" s="47">
        <f t="shared" si="135"/>
        <v>2.1645193319395832</v>
      </c>
      <c r="R310" s="47">
        <f t="shared" si="135"/>
        <v>2.4734157734926265</v>
      </c>
      <c r="S310" s="47">
        <f t="shared" si="135"/>
        <v>2.8005443386260493</v>
      </c>
      <c r="T310" s="47">
        <f t="shared" si="135"/>
        <v>3.1468675339916756</v>
      </c>
      <c r="U310" s="47">
        <f t="shared" si="135"/>
        <v>1.6494638621859266</v>
      </c>
      <c r="V310" s="47">
        <f t="shared" si="135"/>
        <v>1.8214460419372345</v>
      </c>
    </row>
    <row r="311" spans="1:22"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</row>
    <row r="312" spans="1:22">
      <c r="B312" t="s">
        <v>759</v>
      </c>
      <c r="I312" s="48">
        <f>SUM(J312:V312)</f>
        <v>-4.6431922607674485</v>
      </c>
      <c r="J312" s="23">
        <f>-IF(J310&lt;0,0,J310*22%)</f>
        <v>-7.9960578488445094E-2</v>
      </c>
      <c r="K312" s="23">
        <f t="shared" ref="K312:V312" si="136">-IF(K310&lt;0,0,K310*22%)</f>
        <v>-8.3348514895853792E-2</v>
      </c>
      <c r="L312" s="23">
        <f t="shared" si="136"/>
        <v>-8.8918434014089623E-2</v>
      </c>
      <c r="M312" s="23">
        <f t="shared" si="136"/>
        <v>-0.24059755385917952</v>
      </c>
      <c r="N312" s="23">
        <f t="shared" si="136"/>
        <v>-0.29442582941830098</v>
      </c>
      <c r="O312" s="23">
        <f t="shared" si="136"/>
        <v>-0.35151798401133127</v>
      </c>
      <c r="P312" s="23">
        <f t="shared" si="136"/>
        <v>-0.41204685200216723</v>
      </c>
      <c r="Q312" s="23">
        <f t="shared" si="136"/>
        <v>-0.47619425302670831</v>
      </c>
      <c r="R312" s="23">
        <f t="shared" si="136"/>
        <v>-0.54415147016837784</v>
      </c>
      <c r="S312" s="23">
        <f t="shared" si="136"/>
        <v>-0.61611975449773082</v>
      </c>
      <c r="T312" s="23">
        <f t="shared" si="136"/>
        <v>-0.69231085747816867</v>
      </c>
      <c r="U312" s="23">
        <f t="shared" si="136"/>
        <v>-0.36288204968090382</v>
      </c>
      <c r="V312" s="23">
        <f t="shared" si="136"/>
        <v>-0.4007181292261916</v>
      </c>
    </row>
    <row r="313" spans="1:22">
      <c r="B313" s="28" t="s">
        <v>1020</v>
      </c>
      <c r="C313" s="28"/>
      <c r="D313" s="28"/>
      <c r="E313" s="28"/>
      <c r="F313" s="28"/>
      <c r="G313" s="28"/>
      <c r="H313" s="28"/>
      <c r="I313" s="48">
        <f>SUM(J313:V313)</f>
        <v>16.462227106357318</v>
      </c>
      <c r="J313" s="47">
        <f t="shared" ref="J313:V313" si="137">SUM(J310,J312)</f>
        <v>0.28349659645903258</v>
      </c>
      <c r="K313" s="47">
        <f t="shared" si="137"/>
        <v>0.29550837099439076</v>
      </c>
      <c r="L313" s="47">
        <f t="shared" si="137"/>
        <v>0.31525626604995416</v>
      </c>
      <c r="M313" s="47">
        <f t="shared" si="137"/>
        <v>0.85302769095527275</v>
      </c>
      <c r="N313" s="47">
        <f t="shared" si="137"/>
        <v>1.0438733952103396</v>
      </c>
      <c r="O313" s="47">
        <f t="shared" si="137"/>
        <v>1.2462910342219926</v>
      </c>
      <c r="P313" s="47">
        <f t="shared" si="137"/>
        <v>1.4608933843713201</v>
      </c>
      <c r="Q313" s="47">
        <f t="shared" si="137"/>
        <v>1.688325078912875</v>
      </c>
      <c r="R313" s="47">
        <f t="shared" si="137"/>
        <v>1.9292643033242487</v>
      </c>
      <c r="S313" s="47">
        <f t="shared" si="137"/>
        <v>2.1844245841283185</v>
      </c>
      <c r="T313" s="47">
        <f t="shared" si="137"/>
        <v>2.4545566765135067</v>
      </c>
      <c r="U313" s="47">
        <f t="shared" si="137"/>
        <v>1.2865818125050228</v>
      </c>
      <c r="V313" s="47">
        <f t="shared" si="137"/>
        <v>1.4207279127110428</v>
      </c>
    </row>
    <row r="315" spans="1:22">
      <c r="B315" s="407" t="s">
        <v>32</v>
      </c>
      <c r="C315" s="407"/>
      <c r="D315" s="407"/>
      <c r="E315" s="407"/>
      <c r="F315" s="407"/>
      <c r="G315" s="407"/>
      <c r="H315" s="407"/>
      <c r="I315" s="407"/>
      <c r="J315" s="9">
        <f>J$8</f>
        <v>2024</v>
      </c>
      <c r="K315" s="9">
        <f t="shared" ref="K315:V315" si="138">K$8</f>
        <v>2025</v>
      </c>
      <c r="L315" s="9">
        <f t="shared" si="138"/>
        <v>2026</v>
      </c>
      <c r="M315" s="9">
        <f t="shared" si="138"/>
        <v>2027</v>
      </c>
      <c r="N315" s="9">
        <f t="shared" si="138"/>
        <v>2028</v>
      </c>
      <c r="O315" s="9">
        <f t="shared" si="138"/>
        <v>2029</v>
      </c>
      <c r="P315" s="9">
        <f t="shared" si="138"/>
        <v>2030</v>
      </c>
      <c r="Q315" s="9">
        <f t="shared" si="138"/>
        <v>2031</v>
      </c>
      <c r="R315" s="9">
        <f t="shared" si="138"/>
        <v>2032</v>
      </c>
      <c r="S315" s="9">
        <f t="shared" si="138"/>
        <v>2033</v>
      </c>
      <c r="T315" s="9">
        <f t="shared" si="138"/>
        <v>2034</v>
      </c>
      <c r="U315" s="9">
        <f t="shared" si="138"/>
        <v>2035</v>
      </c>
      <c r="V315" s="9">
        <f t="shared" si="138"/>
        <v>2036</v>
      </c>
    </row>
    <row r="316" spans="1:22">
      <c r="B316" s="55" t="s">
        <v>1021</v>
      </c>
      <c r="C316" s="51"/>
      <c r="D316" s="51"/>
      <c r="E316" s="51"/>
      <c r="F316" s="51"/>
      <c r="G316" s="51"/>
      <c r="H316" s="51"/>
      <c r="I316" s="51"/>
      <c r="J316" s="56">
        <f>IFERROR(J301/J299,0)</f>
        <v>0.63916914682104542</v>
      </c>
      <c r="K316" s="56">
        <f t="shared" ref="K316:V316" si="139">IFERROR(K301/K299,0)</f>
        <v>0.63529319499710724</v>
      </c>
      <c r="L316" s="56">
        <f t="shared" si="139"/>
        <v>0.73084069161818477</v>
      </c>
      <c r="M316" s="56">
        <f t="shared" si="139"/>
        <v>0.76429345731629184</v>
      </c>
      <c r="N316" s="56">
        <f t="shared" si="139"/>
        <v>0.77372065612412777</v>
      </c>
      <c r="O316" s="56">
        <f t="shared" si="139"/>
        <v>0.78200903891641949</v>
      </c>
      <c r="P316" s="56">
        <f t="shared" si="139"/>
        <v>0.78935269664389884</v>
      </c>
      <c r="Q316" s="56">
        <f t="shared" si="139"/>
        <v>0.79590404979158158</v>
      </c>
      <c r="R316" s="56">
        <f t="shared" si="139"/>
        <v>0.8017844598270546</v>
      </c>
      <c r="S316" s="56">
        <f t="shared" si="139"/>
        <v>0.80709175514913045</v>
      </c>
      <c r="T316" s="56">
        <f t="shared" si="139"/>
        <v>0.81190566985621282</v>
      </c>
      <c r="U316" s="56">
        <f t="shared" si="139"/>
        <v>0.76351307526503198</v>
      </c>
      <c r="V316" s="56">
        <f t="shared" si="139"/>
        <v>0.76725477310834778</v>
      </c>
    </row>
    <row r="317" spans="1:22">
      <c r="B317" s="55" t="s">
        <v>1022</v>
      </c>
      <c r="C317" s="51"/>
      <c r="D317" s="51"/>
      <c r="E317" s="51"/>
      <c r="F317" s="51"/>
      <c r="G317" s="51"/>
      <c r="H317" s="51"/>
      <c r="I317" s="51"/>
      <c r="J317" s="56">
        <f>IFERROR(J304/J299,0)</f>
        <v>0.50107245550163981</v>
      </c>
      <c r="K317" s="52">
        <f t="shared" ref="K317:T317" si="140">IFERROR(K307/K301,0)</f>
        <v>0.42336475515718791</v>
      </c>
      <c r="L317" s="52">
        <f t="shared" si="140"/>
        <v>0.25723531118376558</v>
      </c>
      <c r="M317" s="52">
        <f t="shared" si="140"/>
        <v>0.51942371264099108</v>
      </c>
      <c r="N317" s="52">
        <f t="shared" si="140"/>
        <v>0.56804421172463759</v>
      </c>
      <c r="O317" s="52">
        <f t="shared" si="140"/>
        <v>0.60950155379112414</v>
      </c>
      <c r="P317" s="52">
        <f t="shared" si="140"/>
        <v>0.64521377867651075</v>
      </c>
      <c r="Q317" s="52">
        <f t="shared" si="140"/>
        <v>0.67624977675858644</v>
      </c>
      <c r="R317" s="52">
        <f t="shared" si="140"/>
        <v>0.70343045243734081</v>
      </c>
      <c r="S317" s="52">
        <f t="shared" si="140"/>
        <v>0.72739664258562919</v>
      </c>
      <c r="T317" s="52">
        <f t="shared" si="140"/>
        <v>0.74865587411961787</v>
      </c>
      <c r="U317" s="52">
        <f>IFERROR(U307/U301,0)</f>
        <v>0.60796375166764527</v>
      </c>
      <c r="V317" s="52">
        <f>IFERROR(V307/V301,0)</f>
        <v>0.62972889614559024</v>
      </c>
    </row>
    <row r="318" spans="1:22">
      <c r="B318" s="55" t="s">
        <v>990</v>
      </c>
      <c r="C318" s="51"/>
      <c r="D318" s="51"/>
      <c r="E318" s="51"/>
      <c r="F318" s="51"/>
      <c r="G318" s="51"/>
      <c r="H318" s="51"/>
      <c r="I318" s="51"/>
      <c r="J318" s="52">
        <f>IFERROR(J313/J299,0)</f>
        <v>0.20729975684609725</v>
      </c>
      <c r="K318" s="52">
        <f t="shared" ref="K318:V318" si="141">IFERROR(K313/K299,0)</f>
        <v>0.20978938340332282</v>
      </c>
      <c r="L318" s="52">
        <f t="shared" si="141"/>
        <v>0.14663846553264653</v>
      </c>
      <c r="M318" s="52">
        <f t="shared" si="141"/>
        <v>0.30965387321422877</v>
      </c>
      <c r="N318" s="52">
        <f t="shared" si="141"/>
        <v>0.34281588135841762</v>
      </c>
      <c r="O318" s="52">
        <f t="shared" si="141"/>
        <v>0.37177586495264386</v>
      </c>
      <c r="P318" s="52">
        <f t="shared" si="141"/>
        <v>0.39725496416588069</v>
      </c>
      <c r="Q318" s="52">
        <f t="shared" si="141"/>
        <v>0.41981935007439325</v>
      </c>
      <c r="R318" s="52">
        <f t="shared" si="141"/>
        <v>0.43991969216003168</v>
      </c>
      <c r="S318" s="52">
        <f t="shared" si="141"/>
        <v>0.45791914970413578</v>
      </c>
      <c r="T318" s="52">
        <f t="shared" si="141"/>
        <v>0.47411360019572396</v>
      </c>
      <c r="U318" s="52">
        <f t="shared" si="141"/>
        <v>0.36206685347463546</v>
      </c>
      <c r="V318" s="52">
        <f t="shared" si="141"/>
        <v>0.37686675103892503</v>
      </c>
    </row>
    <row r="320" spans="1:22" ht="24" thickBot="1">
      <c r="A320" s="260"/>
      <c r="B320" s="14" t="s">
        <v>1037</v>
      </c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</row>
    <row r="321" spans="1:22">
      <c r="A321" s="260"/>
      <c r="B321" s="2" t="s">
        <v>29</v>
      </c>
      <c r="F321" s="6">
        <f>Output_FSL!$F$36</f>
        <v>1</v>
      </c>
    </row>
    <row r="322" spans="1:22">
      <c r="A322" s="260"/>
      <c r="B322" s="407" t="s">
        <v>623</v>
      </c>
      <c r="I322" s="48">
        <f>SUM(J322:V322)</f>
        <v>0.31769703719391396</v>
      </c>
      <c r="J322" s="23">
        <f>'Output_Standalone (IDR)'!J346/USD_IDR*Thousands</f>
        <v>0</v>
      </c>
      <c r="K322" s="23">
        <f>'Output_Standalone (IDR)'!K346/USD_IDR*Thousands</f>
        <v>0</v>
      </c>
      <c r="L322" s="23">
        <f>'Output_Standalone (IDR)'!L346/USD_IDR*Thousands</f>
        <v>0</v>
      </c>
      <c r="M322" s="23">
        <f>'Output_Standalone (IDR)'!M346/USD_IDR*Thousands</f>
        <v>2.7712873501383337E-2</v>
      </c>
      <c r="N322" s="23">
        <f>'Output_Standalone (IDR)'!N346/USD_IDR*Thousands</f>
        <v>2.8544259706424841E-2</v>
      </c>
      <c r="O322" s="23">
        <f>'Output_Standalone (IDR)'!O346/USD_IDR*Thousands</f>
        <v>2.9400587497617588E-2</v>
      </c>
      <c r="P322" s="23">
        <f>'Output_Standalone (IDR)'!P346/USD_IDR*Thousands</f>
        <v>3.0282605122546116E-2</v>
      </c>
      <c r="Q322" s="23">
        <f>'Output_Standalone (IDR)'!Q346/USD_IDR*Thousands</f>
        <v>3.1191083276222501E-2</v>
      </c>
      <c r="R322" s="23">
        <f>'Output_Standalone (IDR)'!R346/USD_IDR*Thousands</f>
        <v>3.2126815774509182E-2</v>
      </c>
      <c r="S322" s="23">
        <f>'Output_Standalone (IDR)'!S346/USD_IDR*Thousands</f>
        <v>3.3090620247744451E-2</v>
      </c>
      <c r="T322" s="23">
        <f>'Output_Standalone (IDR)'!T346/USD_IDR*Thousands</f>
        <v>3.4083338855176788E-2</v>
      </c>
      <c r="U322" s="23">
        <f>'Output_Standalone (IDR)'!U346/USD_IDR*Thousands</f>
        <v>3.5105839020832093E-2</v>
      </c>
      <c r="V322" s="23">
        <f>'Output_Standalone (IDR)'!V346/USD_IDR*Thousands</f>
        <v>3.6159014191457055E-2</v>
      </c>
    </row>
    <row r="323" spans="1:22">
      <c r="A323" s="260"/>
      <c r="B323" s="407" t="s">
        <v>473</v>
      </c>
      <c r="H323" s="21" t="e">
        <f>L323/L322</f>
        <v>#DIV/0!</v>
      </c>
      <c r="I323" s="48">
        <f>SUM(J323:V323)</f>
        <v>0</v>
      </c>
      <c r="J323" s="276">
        <f>'Output_Standalone (IDR)'!J347/USD_IDR*Thousands</f>
        <v>0</v>
      </c>
      <c r="K323" s="43">
        <f>'Output_Standalone (IDR)'!K347/USD_IDR*Thousands</f>
        <v>0</v>
      </c>
      <c r="L323" s="43">
        <f>'Output_Standalone (IDR)'!L347/USD_IDR*Thousands</f>
        <v>0</v>
      </c>
      <c r="M323" s="43">
        <f>'Output_Standalone (IDR)'!M347/USD_IDR*Thousands</f>
        <v>0</v>
      </c>
      <c r="N323" s="43">
        <f>'Output_Standalone (IDR)'!N347/USD_IDR*Thousands</f>
        <v>0</v>
      </c>
      <c r="O323" s="43">
        <f>'Output_Standalone (IDR)'!O347/USD_IDR*Thousands</f>
        <v>0</v>
      </c>
      <c r="P323" s="43">
        <f>'Output_Standalone (IDR)'!P347/USD_IDR*Thousands</f>
        <v>0</v>
      </c>
      <c r="Q323" s="43">
        <f>'Output_Standalone (IDR)'!Q347/USD_IDR*Thousands</f>
        <v>0</v>
      </c>
      <c r="R323" s="43">
        <f>'Output_Standalone (IDR)'!R347/USD_IDR*Thousands</f>
        <v>0</v>
      </c>
      <c r="S323" s="43">
        <f>'Output_Standalone (IDR)'!S347/USD_IDR*Thousands</f>
        <v>0</v>
      </c>
      <c r="T323" s="43">
        <f>'Output_Standalone (IDR)'!T347/USD_IDR*Thousands</f>
        <v>0</v>
      </c>
      <c r="U323" s="43">
        <f>'Output_Standalone (IDR)'!U347/USD_IDR*Thousands</f>
        <v>0</v>
      </c>
      <c r="V323" s="43">
        <f>'Output_Standalone (IDR)'!V347/USD_IDR*Thousands</f>
        <v>0</v>
      </c>
    </row>
    <row r="324" spans="1:22">
      <c r="A324" s="260"/>
      <c r="B324" s="28" t="s">
        <v>1017</v>
      </c>
      <c r="C324" s="28"/>
      <c r="D324" s="28"/>
      <c r="E324" s="28"/>
      <c r="F324" s="28"/>
      <c r="G324" s="28"/>
      <c r="H324" s="28"/>
      <c r="I324" s="49">
        <f>SUM(J324:V324)</f>
        <v>0.31769703719391396</v>
      </c>
      <c r="J324" s="47">
        <f t="shared" ref="J324:V324" si="142">SUM(J322:J323)</f>
        <v>0</v>
      </c>
      <c r="K324" s="47">
        <f t="shared" si="142"/>
        <v>0</v>
      </c>
      <c r="L324" s="47">
        <f t="shared" si="142"/>
        <v>0</v>
      </c>
      <c r="M324" s="47">
        <f t="shared" si="142"/>
        <v>2.7712873501383337E-2</v>
      </c>
      <c r="N324" s="47">
        <f t="shared" si="142"/>
        <v>2.8544259706424841E-2</v>
      </c>
      <c r="O324" s="47">
        <f t="shared" si="142"/>
        <v>2.9400587497617588E-2</v>
      </c>
      <c r="P324" s="47">
        <f t="shared" si="142"/>
        <v>3.0282605122546116E-2</v>
      </c>
      <c r="Q324" s="47">
        <f t="shared" si="142"/>
        <v>3.1191083276222501E-2</v>
      </c>
      <c r="R324" s="47">
        <f t="shared" si="142"/>
        <v>3.2126815774509182E-2</v>
      </c>
      <c r="S324" s="47">
        <f t="shared" si="142"/>
        <v>3.3090620247744451E-2</v>
      </c>
      <c r="T324" s="47">
        <f t="shared" si="142"/>
        <v>3.4083338855176788E-2</v>
      </c>
      <c r="U324" s="47">
        <f t="shared" si="142"/>
        <v>3.5105839020832093E-2</v>
      </c>
      <c r="V324" s="47">
        <f t="shared" si="142"/>
        <v>3.6159014191457055E-2</v>
      </c>
    </row>
    <row r="325" spans="1:22">
      <c r="A325" s="260"/>
      <c r="L325" s="1"/>
    </row>
    <row r="326" spans="1:22">
      <c r="A326" s="260"/>
      <c r="B326" t="s">
        <v>852</v>
      </c>
      <c r="I326" s="48">
        <f>SUM(J326:V326)</f>
        <v>-6.3539407438782794E-2</v>
      </c>
      <c r="J326">
        <f>'Output_Standalone (IDR)'!J350/USD_IDR*Thousands</f>
        <v>0</v>
      </c>
      <c r="K326">
        <f>'Output_Standalone (IDR)'!K350/USD_IDR*Thousands</f>
        <v>0</v>
      </c>
      <c r="L326">
        <f>'Output_Standalone (IDR)'!L350/USD_IDR*Thousands</f>
        <v>0</v>
      </c>
      <c r="M326">
        <f>'Output_Standalone (IDR)'!M350/USD_IDR*Thousands</f>
        <v>-5.542574700276668E-3</v>
      </c>
      <c r="N326">
        <f>'Output_Standalone (IDR)'!N350/USD_IDR*Thousands</f>
        <v>-5.7088519412849684E-3</v>
      </c>
      <c r="O326">
        <f>'Output_Standalone (IDR)'!O350/USD_IDR*Thousands</f>
        <v>-5.8801174995235178E-3</v>
      </c>
      <c r="P326">
        <f>'Output_Standalone (IDR)'!P350/USD_IDR*Thousands</f>
        <v>-6.0565210245092241E-3</v>
      </c>
      <c r="Q326">
        <f>'Output_Standalone (IDR)'!Q350/USD_IDR*Thousands</f>
        <v>-6.2382166552444997E-3</v>
      </c>
      <c r="R326">
        <f>'Output_Standalone (IDR)'!R350/USD_IDR*Thousands</f>
        <v>-6.4253631549018361E-3</v>
      </c>
      <c r="S326">
        <f>'Output_Standalone (IDR)'!S350/USD_IDR*Thousands</f>
        <v>-6.6181240495488906E-3</v>
      </c>
      <c r="T326">
        <f>'Output_Standalone (IDR)'!T350/USD_IDR*Thousands</f>
        <v>-6.8166677710353564E-3</v>
      </c>
      <c r="U326">
        <f>'Output_Standalone (IDR)'!U350/USD_IDR*Thousands</f>
        <v>-7.0211678041664175E-3</v>
      </c>
      <c r="V326">
        <f>'Output_Standalone (IDR)'!V350/USD_IDR*Thousands</f>
        <v>-7.2318028382914118E-3</v>
      </c>
    </row>
    <row r="327" spans="1:22">
      <c r="A327" s="260"/>
      <c r="B327" s="28" t="s">
        <v>139</v>
      </c>
      <c r="C327" s="28"/>
      <c r="D327" s="28"/>
      <c r="E327" s="28"/>
      <c r="F327" s="28"/>
      <c r="G327" s="28"/>
      <c r="H327" s="28"/>
      <c r="I327" s="49">
        <f>SUM(J327:V327)</f>
        <v>0.25415762975513112</v>
      </c>
      <c r="J327" s="47">
        <f t="shared" ref="J327:V327" si="143">SUM(J324,J326)</f>
        <v>0</v>
      </c>
      <c r="K327" s="47">
        <f t="shared" si="143"/>
        <v>0</v>
      </c>
      <c r="L327" s="47">
        <f t="shared" si="143"/>
        <v>0</v>
      </c>
      <c r="M327" s="47">
        <f t="shared" si="143"/>
        <v>2.2170298801106669E-2</v>
      </c>
      <c r="N327" s="47">
        <f t="shared" si="143"/>
        <v>2.2835407765139874E-2</v>
      </c>
      <c r="O327" s="47">
        <f t="shared" si="143"/>
        <v>2.3520469998094071E-2</v>
      </c>
      <c r="P327" s="47">
        <f t="shared" si="143"/>
        <v>2.4226084098036893E-2</v>
      </c>
      <c r="Q327" s="47">
        <f t="shared" si="143"/>
        <v>2.4952866620978002E-2</v>
      </c>
      <c r="R327" s="47">
        <f t="shared" si="143"/>
        <v>2.5701452619607344E-2</v>
      </c>
      <c r="S327" s="47">
        <f t="shared" si="143"/>
        <v>2.6472496198195562E-2</v>
      </c>
      <c r="T327" s="47">
        <f t="shared" si="143"/>
        <v>2.7266671084141433E-2</v>
      </c>
      <c r="U327" s="47">
        <f t="shared" si="143"/>
        <v>2.8084671216665677E-2</v>
      </c>
      <c r="V327" s="47">
        <f t="shared" si="143"/>
        <v>2.8927211353165644E-2</v>
      </c>
    </row>
    <row r="328" spans="1:22">
      <c r="A328" s="260"/>
    </row>
    <row r="329" spans="1:22">
      <c r="A329" s="260"/>
      <c r="B329" t="s">
        <v>1018</v>
      </c>
      <c r="I329" s="49">
        <f>SUM(J329:V329)</f>
        <v>-8.0000000000000029E-2</v>
      </c>
      <c r="J329" s="23">
        <f>'Output_Standalone (IDR)'!J353/USD_IDR*Thousands</f>
        <v>0</v>
      </c>
      <c r="K329" s="23">
        <f>'Output_Standalone (IDR)'!K353/USD_IDR*Thousands</f>
        <v>0</v>
      </c>
      <c r="L329" s="23">
        <f>'Output_Standalone (IDR)'!L353/USD_IDR*Thousands</f>
        <v>0</v>
      </c>
      <c r="M329" s="23">
        <f>'Output_Standalone (IDR)'!M353/USD_IDR*Thousands</f>
        <v>-8.0000000000000019E-3</v>
      </c>
      <c r="N329" s="23">
        <f>'Output_Standalone (IDR)'!N353/USD_IDR*Thousands</f>
        <v>-8.0000000000000019E-3</v>
      </c>
      <c r="O329" s="23">
        <f>'Output_Standalone (IDR)'!O353/USD_IDR*Thousands</f>
        <v>-8.0000000000000019E-3</v>
      </c>
      <c r="P329" s="23">
        <f>'Output_Standalone (IDR)'!P353/USD_IDR*Thousands</f>
        <v>-8.0000000000000019E-3</v>
      </c>
      <c r="Q329" s="23">
        <f>'Output_Standalone (IDR)'!Q353/USD_IDR*Thousands</f>
        <v>-8.0000000000000019E-3</v>
      </c>
      <c r="R329" s="23">
        <f>'Output_Standalone (IDR)'!R353/USD_IDR*Thousands</f>
        <v>-8.0000000000000019E-3</v>
      </c>
      <c r="S329" s="23">
        <f>'Output_Standalone (IDR)'!S353/USD_IDR*Thousands</f>
        <v>-8.0000000000000019E-3</v>
      </c>
      <c r="T329" s="23">
        <f>'Output_Standalone (IDR)'!T353/USD_IDR*Thousands</f>
        <v>-8.0000000000000019E-3</v>
      </c>
      <c r="U329" s="23">
        <f>'Output_Standalone (IDR)'!U353/USD_IDR*Thousands</f>
        <v>-8.0000000000000019E-3</v>
      </c>
      <c r="V329" s="23">
        <f>'Output_Standalone (IDR)'!V353/USD_IDR*Thousands</f>
        <v>-8.0000000000000019E-3</v>
      </c>
    </row>
    <row r="330" spans="1:22">
      <c r="A330" s="260"/>
      <c r="B330" s="28" t="s">
        <v>434</v>
      </c>
      <c r="C330" s="28"/>
      <c r="D330" s="28"/>
      <c r="E330" s="28"/>
      <c r="F330" s="28"/>
      <c r="G330" s="28"/>
      <c r="H330" s="28"/>
      <c r="I330" s="49">
        <f>SUM(J330:V330)</f>
        <v>0.17415762975513116</v>
      </c>
      <c r="J330" s="47">
        <f t="shared" ref="J330:V330" si="144">SUM(J327,J329)</f>
        <v>0</v>
      </c>
      <c r="K330" s="47">
        <f t="shared" si="144"/>
        <v>0</v>
      </c>
      <c r="L330" s="47">
        <f t="shared" si="144"/>
        <v>0</v>
      </c>
      <c r="M330" s="47">
        <f t="shared" si="144"/>
        <v>1.4170298801106667E-2</v>
      </c>
      <c r="N330" s="47">
        <f t="shared" si="144"/>
        <v>1.4835407765139872E-2</v>
      </c>
      <c r="O330" s="47">
        <f t="shared" si="144"/>
        <v>1.5520469998094069E-2</v>
      </c>
      <c r="P330" s="47">
        <f t="shared" si="144"/>
        <v>1.6226084098036893E-2</v>
      </c>
      <c r="Q330" s="47">
        <f t="shared" si="144"/>
        <v>1.6952866620978002E-2</v>
      </c>
      <c r="R330" s="47">
        <f t="shared" si="144"/>
        <v>1.7701452619607344E-2</v>
      </c>
      <c r="S330" s="47">
        <f t="shared" si="144"/>
        <v>1.8472496198195562E-2</v>
      </c>
      <c r="T330" s="47">
        <f t="shared" si="144"/>
        <v>1.9266671084141429E-2</v>
      </c>
      <c r="U330" s="47">
        <f t="shared" si="144"/>
        <v>2.0084671216665677E-2</v>
      </c>
      <c r="V330" s="47">
        <f t="shared" si="144"/>
        <v>2.0927211353165644E-2</v>
      </c>
    </row>
    <row r="331" spans="1:22">
      <c r="A331" s="260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</row>
    <row r="332" spans="1:22">
      <c r="A332" s="260"/>
      <c r="B332" t="s">
        <v>881</v>
      </c>
      <c r="I332" s="48">
        <f>SUM(J332:V332)</f>
        <v>0</v>
      </c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</row>
    <row r="333" spans="1:22">
      <c r="A333" s="260"/>
      <c r="B333" s="28" t="s">
        <v>1019</v>
      </c>
      <c r="C333" s="28"/>
      <c r="D333" s="28"/>
      <c r="E333" s="28"/>
      <c r="F333" s="28"/>
      <c r="G333" s="28"/>
      <c r="H333" s="28"/>
      <c r="I333" s="48">
        <f>SUM(J333:V333)</f>
        <v>0.17415762975513116</v>
      </c>
      <c r="J333" s="47">
        <f t="shared" ref="J333:V333" si="145">SUM(J330,J332)</f>
        <v>0</v>
      </c>
      <c r="K333" s="47">
        <f t="shared" si="145"/>
        <v>0</v>
      </c>
      <c r="L333" s="47">
        <f t="shared" si="145"/>
        <v>0</v>
      </c>
      <c r="M333" s="47">
        <f t="shared" si="145"/>
        <v>1.4170298801106667E-2</v>
      </c>
      <c r="N333" s="47">
        <f t="shared" si="145"/>
        <v>1.4835407765139872E-2</v>
      </c>
      <c r="O333" s="47">
        <f t="shared" si="145"/>
        <v>1.5520469998094069E-2</v>
      </c>
      <c r="P333" s="47">
        <f t="shared" si="145"/>
        <v>1.6226084098036893E-2</v>
      </c>
      <c r="Q333" s="47">
        <f t="shared" si="145"/>
        <v>1.6952866620978002E-2</v>
      </c>
      <c r="R333" s="47">
        <f t="shared" si="145"/>
        <v>1.7701452619607344E-2</v>
      </c>
      <c r="S333" s="47">
        <f t="shared" si="145"/>
        <v>1.8472496198195562E-2</v>
      </c>
      <c r="T333" s="47">
        <f t="shared" si="145"/>
        <v>1.9266671084141429E-2</v>
      </c>
      <c r="U333" s="47">
        <f t="shared" si="145"/>
        <v>2.0084671216665677E-2</v>
      </c>
      <c r="V333" s="47">
        <f t="shared" si="145"/>
        <v>2.0927211353165644E-2</v>
      </c>
    </row>
    <row r="334" spans="1:22">
      <c r="A334" s="260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</row>
    <row r="335" spans="1:22">
      <c r="A335" s="260"/>
      <c r="B335" t="s">
        <v>759</v>
      </c>
      <c r="I335" s="48">
        <f>SUM(J335:V335)</f>
        <v>-3.8314678546128855E-2</v>
      </c>
      <c r="J335" s="23">
        <f>-IF(J333&lt;0,0,J333*22%)</f>
        <v>0</v>
      </c>
      <c r="K335" s="23">
        <f t="shared" ref="K335:V335" si="146">-IF(K333&lt;0,0,K333*22%)</f>
        <v>0</v>
      </c>
      <c r="L335" s="23">
        <f t="shared" si="146"/>
        <v>0</v>
      </c>
      <c r="M335" s="23">
        <f t="shared" si="146"/>
        <v>-3.1174657362434666E-3</v>
      </c>
      <c r="N335" s="23">
        <f t="shared" si="146"/>
        <v>-3.2637897083307717E-3</v>
      </c>
      <c r="O335" s="23">
        <f t="shared" si="146"/>
        <v>-3.4145033995806955E-3</v>
      </c>
      <c r="P335" s="23">
        <f t="shared" si="146"/>
        <v>-3.5697385015681163E-3</v>
      </c>
      <c r="Q335" s="23">
        <f t="shared" si="146"/>
        <v>-3.7296306566151605E-3</v>
      </c>
      <c r="R335" s="23">
        <f t="shared" si="146"/>
        <v>-3.8943195763136156E-3</v>
      </c>
      <c r="S335" s="23">
        <f t="shared" si="146"/>
        <v>-4.0639491636030233E-3</v>
      </c>
      <c r="T335" s="23">
        <f t="shared" si="146"/>
        <v>-4.2386676385111144E-3</v>
      </c>
      <c r="U335" s="23">
        <f t="shared" si="146"/>
        <v>-4.4186276676664487E-3</v>
      </c>
      <c r="V335" s="23">
        <f t="shared" si="146"/>
        <v>-4.6039864976964414E-3</v>
      </c>
    </row>
    <row r="336" spans="1:22">
      <c r="A336" s="260"/>
      <c r="B336" s="28" t="s">
        <v>1020</v>
      </c>
      <c r="C336" s="28"/>
      <c r="D336" s="28"/>
      <c r="E336" s="28"/>
      <c r="F336" s="28"/>
      <c r="G336" s="28"/>
      <c r="H336" s="28"/>
      <c r="I336" s="48">
        <f>SUM(J336:V336)</f>
        <v>0.13584295120900231</v>
      </c>
      <c r="J336" s="47">
        <f t="shared" ref="J336:V336" si="147">SUM(J333,J335)</f>
        <v>0</v>
      </c>
      <c r="K336" s="47">
        <f t="shared" si="147"/>
        <v>0</v>
      </c>
      <c r="L336" s="47">
        <f t="shared" si="147"/>
        <v>0</v>
      </c>
      <c r="M336" s="47">
        <f t="shared" si="147"/>
        <v>1.10528330648632E-2</v>
      </c>
      <c r="N336" s="47">
        <f t="shared" si="147"/>
        <v>1.15716180568091E-2</v>
      </c>
      <c r="O336" s="47">
        <f t="shared" si="147"/>
        <v>1.2105966598513374E-2</v>
      </c>
      <c r="P336" s="47">
        <f t="shared" si="147"/>
        <v>1.2656345596468777E-2</v>
      </c>
      <c r="Q336" s="47">
        <f t="shared" si="147"/>
        <v>1.3223235964362841E-2</v>
      </c>
      <c r="R336" s="47">
        <f t="shared" si="147"/>
        <v>1.3807133043293729E-2</v>
      </c>
      <c r="S336" s="47">
        <f t="shared" si="147"/>
        <v>1.4408547034592538E-2</v>
      </c>
      <c r="T336" s="47">
        <f t="shared" si="147"/>
        <v>1.5028003445630315E-2</v>
      </c>
      <c r="U336" s="47">
        <f t="shared" si="147"/>
        <v>1.5666043548999229E-2</v>
      </c>
      <c r="V336" s="47">
        <f t="shared" si="147"/>
        <v>1.6323224855469203E-2</v>
      </c>
    </row>
    <row r="337" spans="1:22">
      <c r="A337" s="260"/>
    </row>
    <row r="338" spans="1:22">
      <c r="A338" s="260"/>
      <c r="B338" s="407" t="s">
        <v>32</v>
      </c>
      <c r="C338" s="407"/>
      <c r="D338" s="407"/>
      <c r="E338" s="407"/>
      <c r="F338" s="407"/>
      <c r="G338" s="407"/>
      <c r="H338" s="407"/>
      <c r="I338" s="407"/>
      <c r="J338" s="9">
        <f>J$8</f>
        <v>2024</v>
      </c>
      <c r="K338" s="9">
        <f t="shared" ref="K338:V338" si="148">K$8</f>
        <v>2025</v>
      </c>
      <c r="L338" s="9">
        <f t="shared" si="148"/>
        <v>2026</v>
      </c>
      <c r="M338" s="9">
        <f t="shared" si="148"/>
        <v>2027</v>
      </c>
      <c r="N338" s="9">
        <f t="shared" si="148"/>
        <v>2028</v>
      </c>
      <c r="O338" s="9">
        <f t="shared" si="148"/>
        <v>2029</v>
      </c>
      <c r="P338" s="9">
        <f t="shared" si="148"/>
        <v>2030</v>
      </c>
      <c r="Q338" s="9">
        <f t="shared" si="148"/>
        <v>2031</v>
      </c>
      <c r="R338" s="9">
        <f t="shared" si="148"/>
        <v>2032</v>
      </c>
      <c r="S338" s="9">
        <f t="shared" si="148"/>
        <v>2033</v>
      </c>
      <c r="T338" s="9">
        <f t="shared" si="148"/>
        <v>2034</v>
      </c>
      <c r="U338" s="9">
        <f t="shared" si="148"/>
        <v>2035</v>
      </c>
      <c r="V338" s="9">
        <f t="shared" si="148"/>
        <v>2036</v>
      </c>
    </row>
    <row r="339" spans="1:22">
      <c r="A339" s="260"/>
      <c r="B339" s="55" t="s">
        <v>1021</v>
      </c>
      <c r="C339" s="51"/>
      <c r="D339" s="51"/>
      <c r="E339" s="51"/>
      <c r="F339" s="51"/>
      <c r="G339" s="51"/>
      <c r="H339" s="51"/>
      <c r="I339" s="51"/>
      <c r="J339" s="56">
        <f>IFERROR(J324/J322,0)</f>
        <v>0</v>
      </c>
      <c r="K339" s="56">
        <f t="shared" ref="K339:V339" si="149">IFERROR(K324/K322,0)</f>
        <v>0</v>
      </c>
      <c r="L339" s="56">
        <f t="shared" si="149"/>
        <v>0</v>
      </c>
      <c r="M339" s="56">
        <f t="shared" si="149"/>
        <v>1</v>
      </c>
      <c r="N339" s="56">
        <f t="shared" si="149"/>
        <v>1</v>
      </c>
      <c r="O339" s="56">
        <f t="shared" si="149"/>
        <v>1</v>
      </c>
      <c r="P339" s="56">
        <f t="shared" si="149"/>
        <v>1</v>
      </c>
      <c r="Q339" s="56">
        <f t="shared" si="149"/>
        <v>1</v>
      </c>
      <c r="R339" s="56">
        <f t="shared" si="149"/>
        <v>1</v>
      </c>
      <c r="S339" s="56">
        <f t="shared" si="149"/>
        <v>1</v>
      </c>
      <c r="T339" s="56">
        <f t="shared" si="149"/>
        <v>1</v>
      </c>
      <c r="U339" s="56">
        <f t="shared" si="149"/>
        <v>1</v>
      </c>
      <c r="V339" s="56">
        <f t="shared" si="149"/>
        <v>1</v>
      </c>
    </row>
    <row r="340" spans="1:22">
      <c r="A340" s="260"/>
      <c r="B340" s="55" t="s">
        <v>1022</v>
      </c>
      <c r="C340" s="51"/>
      <c r="D340" s="51"/>
      <c r="E340" s="51"/>
      <c r="F340" s="51"/>
      <c r="G340" s="51"/>
      <c r="H340" s="51"/>
      <c r="I340" s="51"/>
      <c r="J340" s="56">
        <f>IFERROR(J327/J322,0)</f>
        <v>0</v>
      </c>
      <c r="K340" s="52">
        <f t="shared" ref="K340:T340" si="150">IFERROR(K330/K324,0)</f>
        <v>0</v>
      </c>
      <c r="L340" s="52">
        <f t="shared" si="150"/>
        <v>0</v>
      </c>
      <c r="M340" s="52">
        <f t="shared" si="150"/>
        <v>0.51132549644840442</v>
      </c>
      <c r="N340" s="52">
        <f t="shared" si="150"/>
        <v>0.51973349169748018</v>
      </c>
      <c r="O340" s="52">
        <f t="shared" si="150"/>
        <v>0.5278965938810487</v>
      </c>
      <c r="P340" s="52">
        <f t="shared" si="150"/>
        <v>0.53582193580684345</v>
      </c>
      <c r="Q340" s="52">
        <f t="shared" si="150"/>
        <v>0.54351644253091602</v>
      </c>
      <c r="R340" s="52">
        <f t="shared" si="150"/>
        <v>0.55098683740865628</v>
      </c>
      <c r="S340" s="52">
        <f t="shared" si="150"/>
        <v>0.55823964796956926</v>
      </c>
      <c r="T340" s="52">
        <f t="shared" si="150"/>
        <v>0.56528121162094092</v>
      </c>
      <c r="U340" s="52">
        <f>IFERROR(U330/U324,0)</f>
        <v>0.57211768118537965</v>
      </c>
      <c r="V340" s="52">
        <f>IFERROR(V330/V324,0)</f>
        <v>0.57875503027706754</v>
      </c>
    </row>
    <row r="341" spans="1:22">
      <c r="A341" s="260"/>
      <c r="B341" s="55" t="s">
        <v>990</v>
      </c>
      <c r="C341" s="51"/>
      <c r="D341" s="51"/>
      <c r="E341" s="51"/>
      <c r="F341" s="51"/>
      <c r="G341" s="51"/>
      <c r="H341" s="51"/>
      <c r="I341" s="51"/>
      <c r="J341" s="52">
        <f>IFERROR(J336/J322,0)</f>
        <v>0</v>
      </c>
      <c r="K341" s="52">
        <f t="shared" ref="K341:V341" si="151">IFERROR(K336/K322,0)</f>
        <v>0</v>
      </c>
      <c r="L341" s="52">
        <f t="shared" si="151"/>
        <v>0</v>
      </c>
      <c r="M341" s="52">
        <f t="shared" si="151"/>
        <v>0.39883388722975543</v>
      </c>
      <c r="N341" s="52">
        <f t="shared" si="151"/>
        <v>0.40539212352403448</v>
      </c>
      <c r="O341" s="52">
        <f t="shared" si="151"/>
        <v>0.41175934322721797</v>
      </c>
      <c r="P341" s="52">
        <f t="shared" si="151"/>
        <v>0.41794110992933786</v>
      </c>
      <c r="Q341" s="52">
        <f t="shared" si="151"/>
        <v>0.42394282517411447</v>
      </c>
      <c r="R341" s="52">
        <f t="shared" si="151"/>
        <v>0.42976973317875189</v>
      </c>
      <c r="S341" s="52">
        <f t="shared" si="151"/>
        <v>0.43542692541626399</v>
      </c>
      <c r="T341" s="52">
        <f t="shared" si="151"/>
        <v>0.44091934506433395</v>
      </c>
      <c r="U341" s="52">
        <f t="shared" si="151"/>
        <v>0.44625179132459619</v>
      </c>
      <c r="V341" s="52">
        <f t="shared" si="151"/>
        <v>0.45142892361611275</v>
      </c>
    </row>
    <row r="343" spans="1:22" ht="24" thickBot="1">
      <c r="B343" s="14" t="s">
        <v>1038</v>
      </c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</row>
    <row r="344" spans="1:22">
      <c r="B344" s="2" t="s">
        <v>29</v>
      </c>
      <c r="F344" s="6">
        <f>Output_FSL!$F$39</f>
        <v>1</v>
      </c>
    </row>
    <row r="345" spans="1:22">
      <c r="B345" s="407" t="s">
        <v>623</v>
      </c>
      <c r="I345" s="48">
        <f>SUM(J345:V345)</f>
        <v>10.805739236146836</v>
      </c>
      <c r="J345" s="23">
        <f>'Output_Standalone (IDR)'!J369/USD_IDR*Thousands</f>
        <v>2.7456525925351136</v>
      </c>
      <c r="K345" s="23">
        <f>'Output_Standalone (IDR)'!K369/USD_IDR*Thousands</f>
        <v>1.1497286630857055</v>
      </c>
      <c r="L345" s="23">
        <f>'Output_Standalone (IDR)'!L369/USD_IDR*Thousands</f>
        <v>0.42077854851475582</v>
      </c>
      <c r="M345" s="23">
        <f>'Output_Standalone (IDR)'!M369/USD_IDR*Thousands</f>
        <v>0.45507200021870853</v>
      </c>
      <c r="N345" s="23">
        <f>'Output_Standalone (IDR)'!N369/USD_IDR*Thousands</f>
        <v>0.49216036823653336</v>
      </c>
      <c r="O345" s="23">
        <f>'Output_Standalone (IDR)'!O369/USD_IDR*Thousands</f>
        <v>0.53227143824781087</v>
      </c>
      <c r="P345" s="23">
        <f>'Output_Standalone (IDR)'!P369/USD_IDR*Thousands</f>
        <v>0.57565156046500721</v>
      </c>
      <c r="Q345" s="23">
        <f>'Output_Standalone (IDR)'!Q369/USD_IDR*Thousands</f>
        <v>0.62256716264290557</v>
      </c>
      <c r="R345" s="23">
        <f>'Output_Standalone (IDR)'!R369/USD_IDR*Thousands</f>
        <v>0.6733063863983022</v>
      </c>
      <c r="S345" s="23">
        <f>'Output_Standalone (IDR)'!S369/USD_IDR*Thousands</f>
        <v>0.72818085688976386</v>
      </c>
      <c r="T345" s="23">
        <f>'Output_Standalone (IDR)'!T369/USD_IDR*Thousands</f>
        <v>0.76458989973425218</v>
      </c>
      <c r="U345" s="23">
        <f>'Output_Standalone (IDR)'!U369/USD_IDR*Thousands</f>
        <v>0.80281939472096475</v>
      </c>
      <c r="V345" s="23">
        <f>'Output_Standalone (IDR)'!V369/USD_IDR*Thousands</f>
        <v>0.84296036445701295</v>
      </c>
    </row>
    <row r="346" spans="1:22">
      <c r="B346" s="407" t="s">
        <v>473</v>
      </c>
      <c r="I346" s="48">
        <f>SUM(J346:V346)</f>
        <v>-8.3171218143434551</v>
      </c>
      <c r="J346" s="23">
        <f>'Output_Standalone (IDR)'!J370/USD_IDR*Thousands</f>
        <v>-2.5010701754223565</v>
      </c>
      <c r="K346" s="23">
        <f>'Output_Standalone (IDR)'!K370/USD_IDR*Thousands</f>
        <v>-1.0043143670350598</v>
      </c>
      <c r="L346" s="53">
        <f>'Output_Standalone (IDR)'!L370/USD_IDR*Thousands</f>
        <v>-0.32793625670365856</v>
      </c>
      <c r="M346" s="23">
        <f>'Output_Standalone (IDR)'!M370/USD_IDR*Thousands</f>
        <v>-0.34652764117198204</v>
      </c>
      <c r="N346" s="23">
        <f>'Output_Standalone (IDR)'!N370/USD_IDR*Thousands</f>
        <v>-0.36635044847358716</v>
      </c>
      <c r="O346" s="23">
        <f>'Output_Standalone (IDR)'!O370/USD_IDR*Thousands</f>
        <v>-0.38749511709150475</v>
      </c>
      <c r="P346" s="23">
        <f>'Output_Standalone (IDR)'!P370/USD_IDR*Thousands</f>
        <v>-0.41005910905487902</v>
      </c>
      <c r="Q346" s="23">
        <f>'Output_Standalone (IDR)'!Q370/USD_IDR*Thousands</f>
        <v>-0.43414747020728001</v>
      </c>
      <c r="R346" s="23">
        <f>'Output_Standalone (IDR)'!R370/USD_IDR*Thousands</f>
        <v>-0.45987343571162209</v>
      </c>
      <c r="S346" s="23">
        <f>'Output_Standalone (IDR)'!S370/USD_IDR*Thousands</f>
        <v>-0.48735908446358173</v>
      </c>
      <c r="T346" s="23">
        <f>'Output_Standalone (IDR)'!T370/USD_IDR*Thousands</f>
        <v>-0.50838085105685926</v>
      </c>
      <c r="U346" s="23">
        <f>'Output_Standalone (IDR)'!U370/USD_IDR*Thousands</f>
        <v>-0.53033716804493469</v>
      </c>
      <c r="V346" s="23">
        <f>'Output_Standalone (IDR)'!V370/USD_IDR*Thousands</f>
        <v>-0.55327068990614969</v>
      </c>
    </row>
    <row r="347" spans="1:22">
      <c r="B347" s="28" t="s">
        <v>1017</v>
      </c>
      <c r="C347" s="28"/>
      <c r="D347" s="28"/>
      <c r="E347" s="28"/>
      <c r="F347" s="28"/>
      <c r="G347" s="28"/>
      <c r="H347" s="28"/>
      <c r="I347" s="49">
        <f>SUM(J347:V347)</f>
        <v>2.4886174218033812</v>
      </c>
      <c r="J347" s="47">
        <f t="shared" ref="J347:V347" si="152">SUM(J345:J346)</f>
        <v>0.24458241711275708</v>
      </c>
      <c r="K347" s="47">
        <f t="shared" si="152"/>
        <v>0.14541429605064571</v>
      </c>
      <c r="L347" s="47">
        <f t="shared" si="152"/>
        <v>9.2842291811097266E-2</v>
      </c>
      <c r="M347" s="47">
        <f t="shared" si="152"/>
        <v>0.10854435904672649</v>
      </c>
      <c r="N347" s="47">
        <f t="shared" si="152"/>
        <v>0.1258099197629462</v>
      </c>
      <c r="O347" s="47">
        <f t="shared" si="152"/>
        <v>0.14477632115630612</v>
      </c>
      <c r="P347" s="47">
        <f t="shared" si="152"/>
        <v>0.16559245141012818</v>
      </c>
      <c r="Q347" s="47">
        <f t="shared" si="152"/>
        <v>0.18841969243562556</v>
      </c>
      <c r="R347" s="47">
        <f t="shared" si="152"/>
        <v>0.21343295068668011</v>
      </c>
      <c r="S347" s="47">
        <f t="shared" si="152"/>
        <v>0.24082177242618213</v>
      </c>
      <c r="T347" s="47">
        <f t="shared" si="152"/>
        <v>0.25620904867739291</v>
      </c>
      <c r="U347" s="47">
        <f t="shared" si="152"/>
        <v>0.27248222667603006</v>
      </c>
      <c r="V347" s="47">
        <f t="shared" si="152"/>
        <v>0.28968967455086325</v>
      </c>
    </row>
    <row r="348" spans="1:22">
      <c r="L348" s="1"/>
    </row>
    <row r="349" spans="1:22">
      <c r="B349" t="s">
        <v>852</v>
      </c>
      <c r="I349" s="48">
        <f>SUM(J349:V349)</f>
        <v>-1.3906656489470215</v>
      </c>
      <c r="J349" s="53">
        <f>'Output_Standalone (IDR)'!J373/USD_IDR*Thousands</f>
        <v>-0.10070480218759298</v>
      </c>
      <c r="K349" s="53">
        <f>'Output_Standalone (IDR)'!K373/USD_IDR*Thousands</f>
        <v>-0.10171185020946892</v>
      </c>
      <c r="L349" s="53">
        <f>'Output_Standalone (IDR)'!L373/USD_IDR*Thousands</f>
        <v>-0.10272896871156359</v>
      </c>
      <c r="M349" s="53">
        <f>'Output_Standalone (IDR)'!M373/USD_IDR*Thousands</f>
        <v>-0.10375625839867923</v>
      </c>
      <c r="N349" s="53">
        <f>'Output_Standalone (IDR)'!N373/USD_IDR*Thousands</f>
        <v>-0.10479382098266603</v>
      </c>
      <c r="O349" s="53">
        <f>'Output_Standalone (IDR)'!O373/USD_IDR*Thousands</f>
        <v>-0.10584175919249267</v>
      </c>
      <c r="P349" s="53">
        <f>'Output_Standalone (IDR)'!P373/USD_IDR*Thousands</f>
        <v>-0.10690017678441761</v>
      </c>
      <c r="Q349" s="53">
        <f>'Output_Standalone (IDR)'!Q373/USD_IDR*Thousands</f>
        <v>-0.10796917855226179</v>
      </c>
      <c r="R349" s="53">
        <f>'Output_Standalone (IDR)'!R373/USD_IDR*Thousands</f>
        <v>-0.10904887033778442</v>
      </c>
      <c r="S349" s="53">
        <f>'Output_Standalone (IDR)'!S373/USD_IDR*Thousands</f>
        <v>-0.11013935904116225</v>
      </c>
      <c r="T349" s="53">
        <f>'Output_Standalone (IDR)'!T373/USD_IDR*Thousands</f>
        <v>-0.11124075263157389</v>
      </c>
      <c r="U349" s="53">
        <f>'Output_Standalone (IDR)'!U373/USD_IDR*Thousands</f>
        <v>-0.11235316015788964</v>
      </c>
      <c r="V349" s="53">
        <f>'Output_Standalone (IDR)'!V373/USD_IDR*Thousands</f>
        <v>-0.11347669175946852</v>
      </c>
    </row>
    <row r="350" spans="1:22">
      <c r="B350" s="28" t="s">
        <v>139</v>
      </c>
      <c r="C350" s="28"/>
      <c r="D350" s="28"/>
      <c r="E350" s="28"/>
      <c r="F350" s="28"/>
      <c r="G350" s="28"/>
      <c r="H350" s="28"/>
      <c r="I350" s="49">
        <f>SUM(J350:V350)</f>
        <v>1.0979517728563595</v>
      </c>
      <c r="J350" s="47">
        <f t="shared" ref="J350:V350" si="153">SUM(J347,J349)</f>
        <v>0.1438776149251641</v>
      </c>
      <c r="K350" s="47">
        <f t="shared" si="153"/>
        <v>4.3702445841176787E-2</v>
      </c>
      <c r="L350" s="47">
        <f t="shared" si="153"/>
        <v>-9.8866769004663235E-3</v>
      </c>
      <c r="M350" s="47">
        <f t="shared" si="153"/>
        <v>4.7881006480472582E-3</v>
      </c>
      <c r="N350" s="47">
        <f t="shared" si="153"/>
        <v>2.1016098780280171E-2</v>
      </c>
      <c r="O350" s="47">
        <f t="shared" si="153"/>
        <v>3.8934561963813452E-2</v>
      </c>
      <c r="P350" s="47">
        <f t="shared" si="153"/>
        <v>5.8692274625710569E-2</v>
      </c>
      <c r="Q350" s="47">
        <f t="shared" si="153"/>
        <v>8.0450513883363772E-2</v>
      </c>
      <c r="R350" s="47">
        <f t="shared" si="153"/>
        <v>0.10438408034889569</v>
      </c>
      <c r="S350" s="47">
        <f t="shared" si="153"/>
        <v>0.1306824133850199</v>
      </c>
      <c r="T350" s="47">
        <f t="shared" si="153"/>
        <v>0.14496829604581901</v>
      </c>
      <c r="U350" s="47">
        <f t="shared" si="153"/>
        <v>0.16012906651814041</v>
      </c>
      <c r="V350" s="47">
        <f t="shared" si="153"/>
        <v>0.17621298279139475</v>
      </c>
    </row>
    <row r="352" spans="1:22">
      <c r="B352" t="s">
        <v>1018</v>
      </c>
      <c r="I352" s="49">
        <f>SUM(J352:V352)</f>
        <v>-3.4721141251767604E-2</v>
      </c>
      <c r="J352" s="53">
        <f>'Output_Standalone (IDR)'!J376/USD_IDR*Thousands</f>
        <v>-2.6708570193667383E-3</v>
      </c>
      <c r="K352" s="53">
        <f>'Output_Standalone (IDR)'!K376/USD_IDR*Thousands</f>
        <v>-2.6708570193667383E-3</v>
      </c>
      <c r="L352" s="53">
        <f>'Output_Standalone (IDR)'!L376/USD_IDR*Thousands</f>
        <v>-2.6708570193667383E-3</v>
      </c>
      <c r="M352" s="53">
        <f>'Output_Standalone (IDR)'!M376/USD_IDR*Thousands</f>
        <v>-2.6708570193667383E-3</v>
      </c>
      <c r="N352" s="53">
        <f>'Output_Standalone (IDR)'!N376/USD_IDR*Thousands</f>
        <v>-2.6708570193667383E-3</v>
      </c>
      <c r="O352" s="53">
        <f>'Output_Standalone (IDR)'!O376/USD_IDR*Thousands</f>
        <v>-2.6708570193667383E-3</v>
      </c>
      <c r="P352" s="53">
        <f>'Output_Standalone (IDR)'!P376/USD_IDR*Thousands</f>
        <v>-2.6708570193667383E-3</v>
      </c>
      <c r="Q352" s="53">
        <f>'Output_Standalone (IDR)'!Q376/USD_IDR*Thousands</f>
        <v>-2.6708570193667383E-3</v>
      </c>
      <c r="R352" s="53">
        <f>'Output_Standalone (IDR)'!R376/USD_IDR*Thousands</f>
        <v>-2.6708570193667383E-3</v>
      </c>
      <c r="S352" s="53">
        <f>'Output_Standalone (IDR)'!S376/USD_IDR*Thousands</f>
        <v>-2.6708570193667383E-3</v>
      </c>
      <c r="T352" s="53">
        <f>'Output_Standalone (IDR)'!T376/USD_IDR*Thousands</f>
        <v>-2.6708570193667383E-3</v>
      </c>
      <c r="U352" s="53">
        <f>'Output_Standalone (IDR)'!U376/USD_IDR*Thousands</f>
        <v>-2.6708570193667383E-3</v>
      </c>
      <c r="V352" s="53">
        <f>'Output_Standalone (IDR)'!V376/USD_IDR*Thousands</f>
        <v>-2.6708570193667383E-3</v>
      </c>
    </row>
    <row r="353" spans="2:22">
      <c r="B353" s="28" t="s">
        <v>434</v>
      </c>
      <c r="C353" s="28"/>
      <c r="D353" s="28"/>
      <c r="E353" s="28"/>
      <c r="F353" s="28"/>
      <c r="G353" s="28"/>
      <c r="H353" s="28"/>
      <c r="I353" s="49">
        <f>SUM(J353:V353)</f>
        <v>1.0632306316045921</v>
      </c>
      <c r="J353" s="47">
        <f t="shared" ref="J353:V353" si="154">SUM(J350,J352)</f>
        <v>0.14120675790579737</v>
      </c>
      <c r="K353" s="47">
        <f t="shared" si="154"/>
        <v>4.1031588821810051E-2</v>
      </c>
      <c r="L353" s="47">
        <f t="shared" si="154"/>
        <v>-1.2557533919833061E-2</v>
      </c>
      <c r="M353" s="47">
        <f t="shared" si="154"/>
        <v>2.11724362868052E-3</v>
      </c>
      <c r="N353" s="47">
        <f t="shared" si="154"/>
        <v>1.8345241760913431E-2</v>
      </c>
      <c r="O353" s="47">
        <f t="shared" si="154"/>
        <v>3.6263704944446716E-2</v>
      </c>
      <c r="P353" s="47">
        <f t="shared" si="154"/>
        <v>5.6021417606343833E-2</v>
      </c>
      <c r="Q353" s="47">
        <f t="shared" si="154"/>
        <v>7.7779656863997029E-2</v>
      </c>
      <c r="R353" s="47">
        <f t="shared" si="154"/>
        <v>0.10171322332952895</v>
      </c>
      <c r="S353" s="47">
        <f t="shared" si="154"/>
        <v>0.12801155636565317</v>
      </c>
      <c r="T353" s="47">
        <f t="shared" si="154"/>
        <v>0.14229743902645228</v>
      </c>
      <c r="U353" s="47">
        <f t="shared" si="154"/>
        <v>0.15745820949877368</v>
      </c>
      <c r="V353" s="47">
        <f t="shared" si="154"/>
        <v>0.17354212577202802</v>
      </c>
    </row>
    <row r="354" spans="2:22"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</row>
    <row r="355" spans="2:22">
      <c r="B355" t="s">
        <v>881</v>
      </c>
      <c r="I355" s="48">
        <f>SUM(J355:V355)</f>
        <v>0</v>
      </c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</row>
    <row r="356" spans="2:22">
      <c r="B356" s="28" t="s">
        <v>1019</v>
      </c>
      <c r="C356" s="28"/>
      <c r="D356" s="28"/>
      <c r="E356" s="28"/>
      <c r="F356" s="28"/>
      <c r="G356" s="28"/>
      <c r="H356" s="28"/>
      <c r="I356" s="48">
        <f>SUM(J356:V356)</f>
        <v>1.0632306316045921</v>
      </c>
      <c r="J356" s="47">
        <f t="shared" ref="J356:V356" si="155">SUM(J353,J355)</f>
        <v>0.14120675790579737</v>
      </c>
      <c r="K356" s="47">
        <f t="shared" si="155"/>
        <v>4.1031588821810051E-2</v>
      </c>
      <c r="L356" s="47">
        <f t="shared" si="155"/>
        <v>-1.2557533919833061E-2</v>
      </c>
      <c r="M356" s="47">
        <f t="shared" si="155"/>
        <v>2.11724362868052E-3</v>
      </c>
      <c r="N356" s="47">
        <f t="shared" si="155"/>
        <v>1.8345241760913431E-2</v>
      </c>
      <c r="O356" s="47">
        <f t="shared" si="155"/>
        <v>3.6263704944446716E-2</v>
      </c>
      <c r="P356" s="47">
        <f t="shared" si="155"/>
        <v>5.6021417606343833E-2</v>
      </c>
      <c r="Q356" s="47">
        <f t="shared" si="155"/>
        <v>7.7779656863997029E-2</v>
      </c>
      <c r="R356" s="47">
        <f t="shared" si="155"/>
        <v>0.10171322332952895</v>
      </c>
      <c r="S356" s="47">
        <f t="shared" si="155"/>
        <v>0.12801155636565317</v>
      </c>
      <c r="T356" s="47">
        <f t="shared" si="155"/>
        <v>0.14229743902645228</v>
      </c>
      <c r="U356" s="47">
        <f t="shared" si="155"/>
        <v>0.15745820949877368</v>
      </c>
      <c r="V356" s="47">
        <f t="shared" si="155"/>
        <v>0.17354212577202802</v>
      </c>
    </row>
    <row r="357" spans="2:22"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</row>
    <row r="358" spans="2:22">
      <c r="B358" t="s">
        <v>759</v>
      </c>
      <c r="I358" s="48">
        <f>SUM(J358:V358)</f>
        <v>-0.23667339641537349</v>
      </c>
      <c r="J358" s="23">
        <f>-IF(J356&lt;0,0,J356*22%)</f>
        <v>-3.1065486739275422E-2</v>
      </c>
      <c r="K358" s="23">
        <f t="shared" ref="K358:V358" si="156">-IF(K356&lt;0,0,K356*22%)</f>
        <v>-9.0269495407982112E-3</v>
      </c>
      <c r="L358" s="23">
        <f t="shared" si="156"/>
        <v>0</v>
      </c>
      <c r="M358" s="23">
        <f t="shared" si="156"/>
        <v>-4.6579359830971437E-4</v>
      </c>
      <c r="N358" s="23">
        <f t="shared" si="156"/>
        <v>-4.0359531874009551E-3</v>
      </c>
      <c r="O358" s="23">
        <f t="shared" si="156"/>
        <v>-7.9780150877782775E-3</v>
      </c>
      <c r="P358" s="23">
        <f t="shared" si="156"/>
        <v>-1.2324711873395643E-2</v>
      </c>
      <c r="Q358" s="23">
        <f t="shared" si="156"/>
        <v>-1.7111524510079346E-2</v>
      </c>
      <c r="R358" s="23">
        <f t="shared" si="156"/>
        <v>-2.2376909132496368E-2</v>
      </c>
      <c r="S358" s="23">
        <f t="shared" si="156"/>
        <v>-2.8162542400443698E-2</v>
      </c>
      <c r="T358" s="23">
        <f t="shared" si="156"/>
        <v>-3.1305436585819503E-2</v>
      </c>
      <c r="U358" s="23">
        <f t="shared" si="156"/>
        <v>-3.4640806089730213E-2</v>
      </c>
      <c r="V358" s="23">
        <f t="shared" si="156"/>
        <v>-3.8179267669846161E-2</v>
      </c>
    </row>
    <row r="359" spans="2:22">
      <c r="B359" s="28" t="s">
        <v>1020</v>
      </c>
      <c r="C359" s="28"/>
      <c r="D359" s="28"/>
      <c r="E359" s="28"/>
      <c r="F359" s="28"/>
      <c r="G359" s="28"/>
      <c r="H359" s="28"/>
      <c r="I359" s="48">
        <f>SUM(J359:V359)</f>
        <v>0.82655723518921853</v>
      </c>
      <c r="J359" s="47">
        <f t="shared" ref="J359:V359" si="157">SUM(J356,J358)</f>
        <v>0.11014127116652195</v>
      </c>
      <c r="K359" s="47">
        <f t="shared" si="157"/>
        <v>3.200463928101184E-2</v>
      </c>
      <c r="L359" s="47">
        <f t="shared" si="157"/>
        <v>-1.2557533919833061E-2</v>
      </c>
      <c r="M359" s="47">
        <f t="shared" si="157"/>
        <v>1.6514500303708055E-3</v>
      </c>
      <c r="N359" s="47">
        <f t="shared" si="157"/>
        <v>1.4309288573512477E-2</v>
      </c>
      <c r="O359" s="47">
        <f t="shared" si="157"/>
        <v>2.828568985666844E-2</v>
      </c>
      <c r="P359" s="47">
        <f t="shared" si="157"/>
        <v>4.3696705732948191E-2</v>
      </c>
      <c r="Q359" s="47">
        <f t="shared" si="157"/>
        <v>6.0668132353917686E-2</v>
      </c>
      <c r="R359" s="47">
        <f t="shared" si="157"/>
        <v>7.9336314197032576E-2</v>
      </c>
      <c r="S359" s="47">
        <f t="shared" si="157"/>
        <v>9.9849013965209482E-2</v>
      </c>
      <c r="T359" s="47">
        <f t="shared" si="157"/>
        <v>0.11099200244063279</v>
      </c>
      <c r="U359" s="47">
        <f t="shared" si="157"/>
        <v>0.12281740340904346</v>
      </c>
      <c r="V359" s="47">
        <f t="shared" si="157"/>
        <v>0.13536285810218185</v>
      </c>
    </row>
    <row r="361" spans="2:22">
      <c r="B361" s="407" t="s">
        <v>32</v>
      </c>
      <c r="C361" s="407"/>
      <c r="D361" s="407"/>
      <c r="E361" s="407"/>
      <c r="F361" s="407"/>
      <c r="G361" s="407"/>
      <c r="H361" s="407"/>
      <c r="I361" s="407"/>
      <c r="J361" s="9">
        <f>J$8</f>
        <v>2024</v>
      </c>
      <c r="K361" s="9">
        <f t="shared" ref="K361:V361" si="158">K$8</f>
        <v>2025</v>
      </c>
      <c r="L361" s="9">
        <f t="shared" si="158"/>
        <v>2026</v>
      </c>
      <c r="M361" s="9">
        <f t="shared" si="158"/>
        <v>2027</v>
      </c>
      <c r="N361" s="9">
        <f t="shared" si="158"/>
        <v>2028</v>
      </c>
      <c r="O361" s="9">
        <f t="shared" si="158"/>
        <v>2029</v>
      </c>
      <c r="P361" s="9">
        <f t="shared" si="158"/>
        <v>2030</v>
      </c>
      <c r="Q361" s="9">
        <f t="shared" si="158"/>
        <v>2031</v>
      </c>
      <c r="R361" s="9">
        <f t="shared" si="158"/>
        <v>2032</v>
      </c>
      <c r="S361" s="9">
        <f t="shared" si="158"/>
        <v>2033</v>
      </c>
      <c r="T361" s="9">
        <f t="shared" si="158"/>
        <v>2034</v>
      </c>
      <c r="U361" s="9">
        <f t="shared" si="158"/>
        <v>2035</v>
      </c>
      <c r="V361" s="9">
        <f t="shared" si="158"/>
        <v>2036</v>
      </c>
    </row>
    <row r="362" spans="2:22">
      <c r="B362" s="55" t="s">
        <v>1021</v>
      </c>
      <c r="C362" s="51"/>
      <c r="D362" s="51"/>
      <c r="E362" s="51"/>
      <c r="F362" s="51"/>
      <c r="G362" s="51"/>
      <c r="H362" s="51"/>
      <c r="I362" s="51"/>
      <c r="J362" s="56">
        <f>IFERROR(J347/J345,0)</f>
        <v>8.9079884970781911E-2</v>
      </c>
      <c r="K362" s="56">
        <f t="shared" ref="K362:V362" si="159">IFERROR(K347/K345,0)</f>
        <v>0.12647705560403683</v>
      </c>
      <c r="L362" s="56">
        <f t="shared" si="159"/>
        <v>0.22064407070847025</v>
      </c>
      <c r="M362" s="56">
        <f t="shared" si="159"/>
        <v>0.23852128672948425</v>
      </c>
      <c r="N362" s="56">
        <f t="shared" si="159"/>
        <v>0.25562789668281799</v>
      </c>
      <c r="O362" s="56">
        <f t="shared" si="159"/>
        <v>0.27199716301309834</v>
      </c>
      <c r="P362" s="56">
        <f t="shared" si="159"/>
        <v>0.28766090945078615</v>
      </c>
      <c r="Q362" s="56">
        <f t="shared" si="159"/>
        <v>0.30264958343731346</v>
      </c>
      <c r="R362" s="56">
        <f t="shared" si="159"/>
        <v>0.31699231582874277</v>
      </c>
      <c r="S362" s="56">
        <f t="shared" si="159"/>
        <v>0.33071697799745797</v>
      </c>
      <c r="T362" s="56">
        <f t="shared" si="159"/>
        <v>0.33509342559513705</v>
      </c>
      <c r="U362" s="56">
        <f t="shared" si="159"/>
        <v>0.33940663176272229</v>
      </c>
      <c r="V362" s="56">
        <f t="shared" si="159"/>
        <v>0.34365752740636252</v>
      </c>
    </row>
    <row r="363" spans="2:22">
      <c r="B363" s="55" t="s">
        <v>1022</v>
      </c>
      <c r="C363" s="51"/>
      <c r="D363" s="51"/>
      <c r="E363" s="51"/>
      <c r="F363" s="51"/>
      <c r="G363" s="51"/>
      <c r="H363" s="51"/>
      <c r="I363" s="51"/>
      <c r="J363" s="56">
        <f>IFERROR(J350/J345,0)</f>
        <v>5.2401973693372163E-2</v>
      </c>
      <c r="K363" s="52">
        <f t="shared" ref="K363:T363" si="160">IFERROR(K353/K347,0)</f>
        <v>0.28217025379347394</v>
      </c>
      <c r="L363" s="52">
        <f t="shared" si="160"/>
        <v>-0.13525661285250698</v>
      </c>
      <c r="M363" s="52">
        <f t="shared" si="160"/>
        <v>1.9505791431953481E-2</v>
      </c>
      <c r="N363" s="52">
        <f t="shared" si="160"/>
        <v>0.14581713266712146</v>
      </c>
      <c r="O363" s="52">
        <f t="shared" si="160"/>
        <v>0.25048091189784422</v>
      </c>
      <c r="P363" s="52">
        <f t="shared" si="160"/>
        <v>0.33830900581086137</v>
      </c>
      <c r="Q363" s="52">
        <f t="shared" si="160"/>
        <v>0.41280004153796612</v>
      </c>
      <c r="R363" s="52">
        <f t="shared" si="160"/>
        <v>0.47655820248132219</v>
      </c>
      <c r="S363" s="52">
        <f t="shared" si="160"/>
        <v>0.53156139113165901</v>
      </c>
      <c r="T363" s="52">
        <f t="shared" si="160"/>
        <v>0.55539583695822903</v>
      </c>
      <c r="U363" s="52">
        <f>IFERROR(U353/U347,0)</f>
        <v>0.57786598201131434</v>
      </c>
      <c r="V363" s="52">
        <f>IFERROR(V353/V347,0)</f>
        <v>0.59906217244742621</v>
      </c>
    </row>
    <row r="364" spans="2:22">
      <c r="B364" s="55" t="s">
        <v>990</v>
      </c>
      <c r="C364" s="51"/>
      <c r="D364" s="51"/>
      <c r="E364" s="51"/>
      <c r="F364" s="51"/>
      <c r="G364" s="51"/>
      <c r="H364" s="51"/>
      <c r="I364" s="51"/>
      <c r="J364" s="52">
        <f>IFERROR(J359/J345,0)</f>
        <v>4.0114787816191412E-2</v>
      </c>
      <c r="K364" s="52">
        <f t="shared" ref="K364:V364" si="161">IFERROR(K359/K345,0)</f>
        <v>2.7836689045497062E-2</v>
      </c>
      <c r="L364" s="52">
        <f t="shared" si="161"/>
        <v>-2.9843569650016735E-2</v>
      </c>
      <c r="M364" s="52">
        <f t="shared" si="161"/>
        <v>3.6289862474006649E-3</v>
      </c>
      <c r="N364" s="52">
        <f t="shared" si="161"/>
        <v>2.9074443000732236E-2</v>
      </c>
      <c r="O364" s="52">
        <f t="shared" si="161"/>
        <v>5.3141475991615027E-2</v>
      </c>
      <c r="P364" s="52">
        <f t="shared" si="161"/>
        <v>7.5908255503816066E-2</v>
      </c>
      <c r="Q364" s="52">
        <f t="shared" si="161"/>
        <v>9.7448333279209501E-2</v>
      </c>
      <c r="R364" s="52">
        <f t="shared" si="161"/>
        <v>0.11783092482075502</v>
      </c>
      <c r="S364" s="52">
        <f t="shared" si="161"/>
        <v>0.13712117397824589</v>
      </c>
      <c r="T364" s="52">
        <f t="shared" si="161"/>
        <v>0.14516540498273672</v>
      </c>
      <c r="U364" s="52">
        <f t="shared" si="161"/>
        <v>0.15298260632048008</v>
      </c>
      <c r="V364" s="52">
        <f t="shared" si="161"/>
        <v>0.1605803354578538</v>
      </c>
    </row>
    <row r="366" spans="2:22" ht="24" thickBot="1">
      <c r="B366" s="14" t="s">
        <v>1039</v>
      </c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</row>
    <row r="367" spans="2:22">
      <c r="B367" s="2" t="s">
        <v>29</v>
      </c>
      <c r="F367" s="6">
        <f>Output_FSL!$F$39</f>
        <v>1</v>
      </c>
    </row>
    <row r="368" spans="2:22">
      <c r="B368" s="407" t="s">
        <v>623</v>
      </c>
      <c r="I368" s="48">
        <f>SUM(J368:V368)</f>
        <v>15.816024723452552</v>
      </c>
      <c r="J368" s="23">
        <f>'Output_Standalone (IDR)'!J392/USD_IDR*Thousands</f>
        <v>0.95813095604057819</v>
      </c>
      <c r="K368" s="23">
        <f>'Output_Standalone (IDR)'!K392/USD_IDR*Thousands</f>
        <v>1.0263498801106672</v>
      </c>
      <c r="L368" s="23">
        <f>'Output_Standalone (IDR)'!L392/USD_IDR*Thousands</f>
        <v>1.0994259915745468</v>
      </c>
      <c r="M368" s="23">
        <f>'Output_Standalone (IDR)'!M392/USD_IDR*Thousands</f>
        <v>1.1777051221746548</v>
      </c>
      <c r="N368" s="23">
        <f>'Output_Standalone (IDR)'!N392/USD_IDR*Thousands</f>
        <v>1.2615577268734901</v>
      </c>
      <c r="O368" s="23">
        <f>'Output_Standalone (IDR)'!O392/USD_IDR*Thousands</f>
        <v>1.3513806370268824</v>
      </c>
      <c r="P368" s="23">
        <f>'Output_Standalone (IDR)'!P392/USD_IDR*Thousands</f>
        <v>1.4475989383831966</v>
      </c>
      <c r="Q368" s="23">
        <f>'Output_Standalone (IDR)'!Q392/USD_IDR*Thousands</f>
        <v>1.5506679827960803</v>
      </c>
      <c r="R368" s="23">
        <f>'Output_Standalone (IDR)'!R392/USD_IDR*Thousands</f>
        <v>1.6610755431711615</v>
      </c>
      <c r="S368" s="23">
        <f>'Output_Standalone (IDR)'!S392/USD_IDR*Thousands</f>
        <v>1.7793441218449482</v>
      </c>
      <c r="T368" s="23">
        <f>'Output_Standalone (IDR)'!T392/USD_IDR*Thousands</f>
        <v>0.80176442319847097</v>
      </c>
      <c r="U368" s="23">
        <f>'Output_Standalone (IDR)'!U392/USD_IDR*Thousands</f>
        <v>0.83383500012640999</v>
      </c>
      <c r="V368" s="23">
        <f>'Output_Standalone (IDR)'!V392/USD_IDR*Thousands</f>
        <v>0.86718840013146647</v>
      </c>
    </row>
    <row r="369" spans="2:22">
      <c r="B369" s="407" t="s">
        <v>473</v>
      </c>
      <c r="I369" s="48">
        <f>SUM(J369:V369)</f>
        <v>-14.118902228008375</v>
      </c>
      <c r="J369" s="23">
        <f>'Output_Standalone (IDR)'!J393/USD_IDR*Thousands</f>
        <v>-0.85660444116424284</v>
      </c>
      <c r="K369" s="23">
        <f>'Output_Standalone (IDR)'!K393/USD_IDR*Thousands</f>
        <v>-0.91571577668125459</v>
      </c>
      <c r="L369" s="23">
        <f>'Output_Standalone (IDR)'!L393/USD_IDR*Thousands</f>
        <v>-0.97897076264084482</v>
      </c>
      <c r="M369" s="23">
        <f>'Output_Standalone (IDR)'!M393/USD_IDR*Thousands</f>
        <v>-1.0466621492719066</v>
      </c>
      <c r="N369" s="23">
        <f>'Output_Standalone (IDR)'!N393/USD_IDR*Thousands</f>
        <v>-1.1191034509007391</v>
      </c>
      <c r="O369" s="23">
        <f>'Output_Standalone (IDR)'!O393/USD_IDR*Thousands</f>
        <v>-1.1966304215646215</v>
      </c>
      <c r="P369" s="23">
        <f>'Output_Standalone (IDR)'!P393/USD_IDR*Thousands</f>
        <v>-1.2796026355914165</v>
      </c>
      <c r="Q369" s="23">
        <f>'Output_Standalone (IDR)'!Q393/USD_IDR*Thousands</f>
        <v>-1.3684051806153703</v>
      </c>
      <c r="R369" s="23">
        <f>'Output_Standalone (IDR)'!R393/USD_IDR*Thousands</f>
        <v>-1.4634504710310283</v>
      </c>
      <c r="S369" s="23">
        <f>'Output_Standalone (IDR)'!S393/USD_IDR*Thousands</f>
        <v>-1.5651801904567881</v>
      </c>
      <c r="T369" s="23">
        <f>'Output_Standalone (IDR)'!T393/USD_IDR*Thousands</f>
        <v>-0.74632371901544425</v>
      </c>
      <c r="U369" s="23">
        <f>'Output_Standalone (IDR)'!U393/USD_IDR*Thousands</f>
        <v>-0.77580341315772106</v>
      </c>
      <c r="V369" s="23">
        <f>'Output_Standalone (IDR)'!V393/USD_IDR*Thousands</f>
        <v>-0.80644961591699815</v>
      </c>
    </row>
    <row r="370" spans="2:22">
      <c r="B370" s="28" t="s">
        <v>1017</v>
      </c>
      <c r="C370" s="28"/>
      <c r="D370" s="28"/>
      <c r="E370" s="28"/>
      <c r="F370" s="28"/>
      <c r="G370" s="28"/>
      <c r="H370" s="28"/>
      <c r="I370" s="49">
        <f>SUM(J370:V370)</f>
        <v>1.697122495444177</v>
      </c>
      <c r="J370" s="47">
        <f t="shared" ref="J370:V370" si="162">SUM(J368:J369)</f>
        <v>0.10152651487633535</v>
      </c>
      <c r="K370" s="47">
        <f t="shared" si="162"/>
        <v>0.1106341034294126</v>
      </c>
      <c r="L370" s="47">
        <f t="shared" si="162"/>
        <v>0.12045522893370197</v>
      </c>
      <c r="M370" s="47">
        <f t="shared" si="162"/>
        <v>0.13104297290274824</v>
      </c>
      <c r="N370" s="47">
        <f t="shared" si="162"/>
        <v>0.14245427597275095</v>
      </c>
      <c r="O370" s="47">
        <f t="shared" si="162"/>
        <v>0.15475021546226086</v>
      </c>
      <c r="P370" s="47">
        <f t="shared" si="162"/>
        <v>0.16799630279178013</v>
      </c>
      <c r="Q370" s="47">
        <f t="shared" si="162"/>
        <v>0.18226280218071</v>
      </c>
      <c r="R370" s="47">
        <f t="shared" si="162"/>
        <v>0.19762507214013314</v>
      </c>
      <c r="S370" s="47">
        <f t="shared" si="162"/>
        <v>0.21416393138816003</v>
      </c>
      <c r="T370" s="47">
        <f t="shared" si="162"/>
        <v>5.5440704183026712E-2</v>
      </c>
      <c r="U370" s="47">
        <f t="shared" si="162"/>
        <v>5.8031586968688931E-2</v>
      </c>
      <c r="V370" s="47">
        <f t="shared" si="162"/>
        <v>6.0738784214468322E-2</v>
      </c>
    </row>
    <row r="371" spans="2:22">
      <c r="L371" s="1"/>
    </row>
    <row r="372" spans="2:22">
      <c r="B372" t="s">
        <v>852</v>
      </c>
      <c r="I372" s="48">
        <f>SUM(J372:V372)</f>
        <v>-0.12812941017123711</v>
      </c>
      <c r="J372" s="53">
        <f>'Output_Standalone (IDR)'!J396/USD_IDR*Thousands</f>
        <v>-9.2784681317737479E-3</v>
      </c>
      <c r="K372" s="53">
        <f>'Output_Standalone (IDR)'!K396/USD_IDR*Thousands</f>
        <v>-9.3712528130914848E-3</v>
      </c>
      <c r="L372" s="53">
        <f>'Output_Standalone (IDR)'!L396/USD_IDR*Thousands</f>
        <v>-9.4649653412223981E-3</v>
      </c>
      <c r="M372" s="53">
        <f>'Output_Standalone (IDR)'!M396/USD_IDR*Thousands</f>
        <v>-9.5596149946346239E-3</v>
      </c>
      <c r="N372" s="53">
        <f>'Output_Standalone (IDR)'!N396/USD_IDR*Thousands</f>
        <v>-9.6552111445809673E-3</v>
      </c>
      <c r="O372" s="53">
        <f>'Output_Standalone (IDR)'!O396/USD_IDR*Thousands</f>
        <v>-9.751763256026778E-3</v>
      </c>
      <c r="P372" s="53">
        <f>'Output_Standalone (IDR)'!P396/USD_IDR*Thousands</f>
        <v>-9.8492808885870444E-3</v>
      </c>
      <c r="Q372" s="53">
        <f>'Output_Standalone (IDR)'!Q396/USD_IDR*Thousands</f>
        <v>-9.947773697472918E-3</v>
      </c>
      <c r="R372" s="53">
        <f>'Output_Standalone (IDR)'!R396/USD_IDR*Thousands</f>
        <v>-1.004725143444765E-2</v>
      </c>
      <c r="S372" s="53">
        <f>'Output_Standalone (IDR)'!S396/USD_IDR*Thousands</f>
        <v>-1.0147723948792124E-2</v>
      </c>
      <c r="T372" s="53">
        <f>'Output_Standalone (IDR)'!T396/USD_IDR*Thousands</f>
        <v>-1.0249201188280044E-2</v>
      </c>
      <c r="U372" s="53">
        <f>'Output_Standalone (IDR)'!U396/USD_IDR*Thousands</f>
        <v>-1.0351693200162845E-2</v>
      </c>
      <c r="V372" s="53">
        <f>'Output_Standalone (IDR)'!V396/USD_IDR*Thousands</f>
        <v>-1.0455210132164473E-2</v>
      </c>
    </row>
    <row r="373" spans="2:22">
      <c r="B373" s="28" t="s">
        <v>139</v>
      </c>
      <c r="C373" s="28"/>
      <c r="D373" s="28"/>
      <c r="E373" s="28"/>
      <c r="F373" s="28"/>
      <c r="G373" s="28"/>
      <c r="H373" s="28"/>
      <c r="I373" s="49">
        <f>SUM(J373:V373)</f>
        <v>1.5689930852729403</v>
      </c>
      <c r="J373" s="47">
        <f t="shared" ref="J373:V373" si="163">SUM(J370,J372)</f>
        <v>9.2248046744561607E-2</v>
      </c>
      <c r="K373" s="47">
        <f t="shared" si="163"/>
        <v>0.10126285061632112</v>
      </c>
      <c r="L373" s="47">
        <f t="shared" si="163"/>
        <v>0.11099026359247957</v>
      </c>
      <c r="M373" s="47">
        <f t="shared" si="163"/>
        <v>0.12148335790811363</v>
      </c>
      <c r="N373" s="47">
        <f t="shared" si="163"/>
        <v>0.13279906482817</v>
      </c>
      <c r="O373" s="47">
        <f t="shared" si="163"/>
        <v>0.14499845220623409</v>
      </c>
      <c r="P373" s="47">
        <f t="shared" si="163"/>
        <v>0.15814702190319307</v>
      </c>
      <c r="Q373" s="47">
        <f t="shared" si="163"/>
        <v>0.1723150284832371</v>
      </c>
      <c r="R373" s="47">
        <f t="shared" si="163"/>
        <v>0.18757782070568549</v>
      </c>
      <c r="S373" s="47">
        <f t="shared" si="163"/>
        <v>0.20401620743936791</v>
      </c>
      <c r="T373" s="47">
        <f t="shared" si="163"/>
        <v>4.5191502994746668E-2</v>
      </c>
      <c r="U373" s="47">
        <f t="shared" si="163"/>
        <v>4.7679893768526084E-2</v>
      </c>
      <c r="V373" s="47">
        <f t="shared" si="163"/>
        <v>5.0283574082303849E-2</v>
      </c>
    </row>
    <row r="375" spans="2:22">
      <c r="B375" t="s">
        <v>1018</v>
      </c>
      <c r="I375" s="49">
        <f>SUM(J375:V375)</f>
        <v>-0.23681924740977564</v>
      </c>
      <c r="J375" s="53">
        <f>'Output_Standalone (IDR)'!J399/USD_IDR*Thousands</f>
        <v>-1.8216865185367352E-2</v>
      </c>
      <c r="K375" s="53">
        <f>'Output_Standalone (IDR)'!K399/USD_IDR*Thousands</f>
        <v>-1.8216865185367352E-2</v>
      </c>
      <c r="L375" s="53">
        <f>'Output_Standalone (IDR)'!L399/USD_IDR*Thousands</f>
        <v>-1.8216865185367352E-2</v>
      </c>
      <c r="M375" s="53">
        <f>'Output_Standalone (IDR)'!M399/USD_IDR*Thousands</f>
        <v>-1.8216865185367352E-2</v>
      </c>
      <c r="N375" s="53">
        <f>'Output_Standalone (IDR)'!N399/USD_IDR*Thousands</f>
        <v>-1.8216865185367352E-2</v>
      </c>
      <c r="O375" s="53">
        <f>'Output_Standalone (IDR)'!O399/USD_IDR*Thousands</f>
        <v>-1.8216865185367352E-2</v>
      </c>
      <c r="P375" s="53">
        <f>'Output_Standalone (IDR)'!P399/USD_IDR*Thousands</f>
        <v>-1.8216865185367352E-2</v>
      </c>
      <c r="Q375" s="53">
        <f>'Output_Standalone (IDR)'!Q399/USD_IDR*Thousands</f>
        <v>-1.8216865185367352E-2</v>
      </c>
      <c r="R375" s="53">
        <f>'Output_Standalone (IDR)'!R399/USD_IDR*Thousands</f>
        <v>-1.8216865185367352E-2</v>
      </c>
      <c r="S375" s="53">
        <f>'Output_Standalone (IDR)'!S399/USD_IDR*Thousands</f>
        <v>-1.8216865185367352E-2</v>
      </c>
      <c r="T375" s="53">
        <f>'Output_Standalone (IDR)'!T399/USD_IDR*Thousands</f>
        <v>-1.8216865185367352E-2</v>
      </c>
      <c r="U375" s="53">
        <f>'Output_Standalone (IDR)'!U399/USD_IDR*Thousands</f>
        <v>-1.8216865185367352E-2</v>
      </c>
      <c r="V375" s="53">
        <f>'Output_Standalone (IDR)'!V399/USD_IDR*Thousands</f>
        <v>-1.8216865185367352E-2</v>
      </c>
    </row>
    <row r="376" spans="2:22">
      <c r="B376" s="28" t="s">
        <v>434</v>
      </c>
      <c r="C376" s="28"/>
      <c r="D376" s="28"/>
      <c r="E376" s="28"/>
      <c r="F376" s="28"/>
      <c r="G376" s="28"/>
      <c r="H376" s="28"/>
      <c r="I376" s="49">
        <f>SUM(J376:V376)</f>
        <v>1.3321738378631645</v>
      </c>
      <c r="J376" s="47">
        <f t="shared" ref="J376:V376" si="164">SUM(J373,J375)</f>
        <v>7.4031181559194248E-2</v>
      </c>
      <c r="K376" s="47">
        <f t="shared" si="164"/>
        <v>8.3045985430953762E-2</v>
      </c>
      <c r="L376" s="47">
        <f t="shared" si="164"/>
        <v>9.2773398407112212E-2</v>
      </c>
      <c r="M376" s="47">
        <f t="shared" si="164"/>
        <v>0.10326649272274627</v>
      </c>
      <c r="N376" s="47">
        <f t="shared" si="164"/>
        <v>0.11458219964280264</v>
      </c>
      <c r="O376" s="47">
        <f t="shared" si="164"/>
        <v>0.12678158702086673</v>
      </c>
      <c r="P376" s="47">
        <f t="shared" si="164"/>
        <v>0.13993015671782572</v>
      </c>
      <c r="Q376" s="47">
        <f t="shared" si="164"/>
        <v>0.15409816329786974</v>
      </c>
      <c r="R376" s="47">
        <f t="shared" si="164"/>
        <v>0.16936095552031813</v>
      </c>
      <c r="S376" s="47">
        <f t="shared" si="164"/>
        <v>0.18579934225400055</v>
      </c>
      <c r="T376" s="47">
        <f t="shared" si="164"/>
        <v>2.6974637809379316E-2</v>
      </c>
      <c r="U376" s="47">
        <f t="shared" si="164"/>
        <v>2.9463028583158732E-2</v>
      </c>
      <c r="V376" s="47">
        <f t="shared" si="164"/>
        <v>3.2066708896936497E-2</v>
      </c>
    </row>
    <row r="377" spans="2:22"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</row>
    <row r="378" spans="2:22">
      <c r="B378" t="s">
        <v>881</v>
      </c>
      <c r="I378" s="48">
        <f>SUM(J378:V378)</f>
        <v>0</v>
      </c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</row>
    <row r="379" spans="2:22">
      <c r="B379" s="28" t="s">
        <v>1019</v>
      </c>
      <c r="C379" s="28"/>
      <c r="D379" s="28"/>
      <c r="E379" s="28"/>
      <c r="F379" s="28"/>
      <c r="G379" s="28"/>
      <c r="H379" s="28"/>
      <c r="I379" s="48">
        <f>SUM(J379:V379)</f>
        <v>1.3321738378631645</v>
      </c>
      <c r="J379" s="47">
        <f t="shared" ref="J379:V379" si="165">SUM(J376,J378)</f>
        <v>7.4031181559194248E-2</v>
      </c>
      <c r="K379" s="47">
        <f t="shared" si="165"/>
        <v>8.3045985430953762E-2</v>
      </c>
      <c r="L379" s="47">
        <f t="shared" si="165"/>
        <v>9.2773398407112212E-2</v>
      </c>
      <c r="M379" s="47">
        <f t="shared" si="165"/>
        <v>0.10326649272274627</v>
      </c>
      <c r="N379" s="47">
        <f t="shared" si="165"/>
        <v>0.11458219964280264</v>
      </c>
      <c r="O379" s="47">
        <f t="shared" si="165"/>
        <v>0.12678158702086673</v>
      </c>
      <c r="P379" s="47">
        <f t="shared" si="165"/>
        <v>0.13993015671782572</v>
      </c>
      <c r="Q379" s="47">
        <f t="shared" si="165"/>
        <v>0.15409816329786974</v>
      </c>
      <c r="R379" s="47">
        <f t="shared" si="165"/>
        <v>0.16936095552031813</v>
      </c>
      <c r="S379" s="47">
        <f t="shared" si="165"/>
        <v>0.18579934225400055</v>
      </c>
      <c r="T379" s="47">
        <f t="shared" si="165"/>
        <v>2.6974637809379316E-2</v>
      </c>
      <c r="U379" s="47">
        <f t="shared" si="165"/>
        <v>2.9463028583158732E-2</v>
      </c>
      <c r="V379" s="47">
        <f t="shared" si="165"/>
        <v>3.2066708896936497E-2</v>
      </c>
    </row>
    <row r="380" spans="2:22"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</row>
    <row r="381" spans="2:22">
      <c r="B381" t="s">
        <v>759</v>
      </c>
      <c r="I381" s="48">
        <f>SUM(J381:V381)</f>
        <v>-0.29307824432989621</v>
      </c>
      <c r="J381" s="23">
        <f>-IF(J379&lt;0,0,J379*22%)</f>
        <v>-1.6286859943022734E-2</v>
      </c>
      <c r="K381" s="23">
        <f t="shared" ref="K381:V381" si="166">-IF(K379&lt;0,0,K379*22%)</f>
        <v>-1.8270116794809829E-2</v>
      </c>
      <c r="L381" s="23">
        <f t="shared" si="166"/>
        <v>-2.0410147649564687E-2</v>
      </c>
      <c r="M381" s="23">
        <f t="shared" si="166"/>
        <v>-2.2718628399004178E-2</v>
      </c>
      <c r="N381" s="23">
        <f t="shared" si="166"/>
        <v>-2.5208083921416581E-2</v>
      </c>
      <c r="O381" s="23">
        <f t="shared" si="166"/>
        <v>-2.7891949144590679E-2</v>
      </c>
      <c r="P381" s="23">
        <f t="shared" si="166"/>
        <v>-3.0784634477921659E-2</v>
      </c>
      <c r="Q381" s="23">
        <f t="shared" si="166"/>
        <v>-3.3901595925531346E-2</v>
      </c>
      <c r="R381" s="23">
        <f t="shared" si="166"/>
        <v>-3.725941021446999E-2</v>
      </c>
      <c r="S381" s="23">
        <f t="shared" si="166"/>
        <v>-4.0875855295880122E-2</v>
      </c>
      <c r="T381" s="23">
        <f t="shared" si="166"/>
        <v>-5.9344203180634499E-3</v>
      </c>
      <c r="U381" s="23">
        <f t="shared" si="166"/>
        <v>-6.4818662882949211E-3</v>
      </c>
      <c r="V381" s="23">
        <f t="shared" si="166"/>
        <v>-7.054675957326029E-3</v>
      </c>
    </row>
    <row r="382" spans="2:22">
      <c r="B382" s="28" t="s">
        <v>1020</v>
      </c>
      <c r="C382" s="28"/>
      <c r="D382" s="28"/>
      <c r="E382" s="28"/>
      <c r="F382" s="28"/>
      <c r="G382" s="28"/>
      <c r="H382" s="28"/>
      <c r="I382" s="48">
        <f>SUM(J382:V382)</f>
        <v>1.0390955935332684</v>
      </c>
      <c r="J382" s="47">
        <f t="shared" ref="J382:V382" si="167">SUM(J379,J381)</f>
        <v>5.7744321616171518E-2</v>
      </c>
      <c r="K382" s="47">
        <f t="shared" si="167"/>
        <v>6.477586863614393E-2</v>
      </c>
      <c r="L382" s="47">
        <f t="shared" si="167"/>
        <v>7.2363250757547529E-2</v>
      </c>
      <c r="M382" s="47">
        <f t="shared" si="167"/>
        <v>8.0547864323742085E-2</v>
      </c>
      <c r="N382" s="47">
        <f t="shared" si="167"/>
        <v>8.9374115721386066E-2</v>
      </c>
      <c r="O382" s="47">
        <f t="shared" si="167"/>
        <v>9.8889637876276054E-2</v>
      </c>
      <c r="P382" s="47">
        <f t="shared" si="167"/>
        <v>0.10914552223990406</v>
      </c>
      <c r="Q382" s="47">
        <f t="shared" si="167"/>
        <v>0.12019656737233839</v>
      </c>
      <c r="R382" s="47">
        <f t="shared" si="167"/>
        <v>0.13210154530584814</v>
      </c>
      <c r="S382" s="47">
        <f t="shared" si="167"/>
        <v>0.14492348695812043</v>
      </c>
      <c r="T382" s="47">
        <f t="shared" si="167"/>
        <v>2.1040217491315866E-2</v>
      </c>
      <c r="U382" s="47">
        <f t="shared" si="167"/>
        <v>2.298116229486381E-2</v>
      </c>
      <c r="V382" s="47">
        <f t="shared" si="167"/>
        <v>2.5012032939610469E-2</v>
      </c>
    </row>
    <row r="384" spans="2:22">
      <c r="B384" s="407" t="s">
        <v>32</v>
      </c>
      <c r="C384" s="407"/>
      <c r="D384" s="407"/>
      <c r="E384" s="407"/>
      <c r="F384" s="407"/>
      <c r="G384" s="407"/>
      <c r="H384" s="407"/>
      <c r="I384" s="407"/>
      <c r="J384" s="9">
        <f>J$8</f>
        <v>2024</v>
      </c>
      <c r="K384" s="9">
        <f t="shared" ref="K384:V384" si="168">K$8</f>
        <v>2025</v>
      </c>
      <c r="L384" s="9">
        <f t="shared" si="168"/>
        <v>2026</v>
      </c>
      <c r="M384" s="9">
        <f t="shared" si="168"/>
        <v>2027</v>
      </c>
      <c r="N384" s="9">
        <f t="shared" si="168"/>
        <v>2028</v>
      </c>
      <c r="O384" s="9">
        <f t="shared" si="168"/>
        <v>2029</v>
      </c>
      <c r="P384" s="9">
        <f t="shared" si="168"/>
        <v>2030</v>
      </c>
      <c r="Q384" s="9">
        <f t="shared" si="168"/>
        <v>2031</v>
      </c>
      <c r="R384" s="9">
        <f t="shared" si="168"/>
        <v>2032</v>
      </c>
      <c r="S384" s="9">
        <f t="shared" si="168"/>
        <v>2033</v>
      </c>
      <c r="T384" s="9">
        <f t="shared" si="168"/>
        <v>2034</v>
      </c>
      <c r="U384" s="9">
        <f t="shared" si="168"/>
        <v>2035</v>
      </c>
      <c r="V384" s="9">
        <f t="shared" si="168"/>
        <v>2036</v>
      </c>
    </row>
    <row r="385" spans="2:22">
      <c r="B385" s="55" t="s">
        <v>1021</v>
      </c>
      <c r="C385" s="51"/>
      <c r="D385" s="51"/>
      <c r="E385" s="51"/>
      <c r="F385" s="51"/>
      <c r="G385" s="51"/>
      <c r="H385" s="51"/>
      <c r="I385" s="51"/>
      <c r="J385" s="56">
        <f>IFERROR(J370/J368,0)</f>
        <v>0.10596308806876245</v>
      </c>
      <c r="K385" s="56">
        <f t="shared" ref="K385:V385" si="169">IFERROR(K370/K368,0)</f>
        <v>0.10779375101352705</v>
      </c>
      <c r="L385" s="56">
        <f t="shared" si="169"/>
        <v>0.1095619258202106</v>
      </c>
      <c r="M385" s="56">
        <f t="shared" si="169"/>
        <v>0.11126976561057568</v>
      </c>
      <c r="N385" s="56">
        <f t="shared" si="169"/>
        <v>0.112919347991942</v>
      </c>
      <c r="O385" s="56">
        <f t="shared" si="169"/>
        <v>0.11451267779203979</v>
      </c>
      <c r="P385" s="56">
        <f t="shared" si="169"/>
        <v>0.11605168968928155</v>
      </c>
      <c r="Q385" s="56">
        <f t="shared" si="169"/>
        <v>0.11753825074279513</v>
      </c>
      <c r="R385" s="56">
        <f t="shared" si="169"/>
        <v>0.11897416282636181</v>
      </c>
      <c r="S385" s="56">
        <f t="shared" si="169"/>
        <v>0.12036116497021382</v>
      </c>
      <c r="T385" s="56">
        <f t="shared" si="169"/>
        <v>6.9148371490290947E-2</v>
      </c>
      <c r="U385" s="56">
        <f t="shared" si="169"/>
        <v>6.9596007555321263E-2</v>
      </c>
      <c r="V385" s="56">
        <f t="shared" si="169"/>
        <v>7.0041047833735173E-2</v>
      </c>
    </row>
    <row r="386" spans="2:22">
      <c r="B386" s="55" t="s">
        <v>1022</v>
      </c>
      <c r="C386" s="51"/>
      <c r="D386" s="51"/>
      <c r="E386" s="51"/>
      <c r="F386" s="51"/>
      <c r="G386" s="51"/>
      <c r="H386" s="51"/>
      <c r="I386" s="51"/>
      <c r="J386" s="56">
        <f>IFERROR(J373/J368,0)</f>
        <v>9.6279163263622569E-2</v>
      </c>
      <c r="K386" s="52">
        <f t="shared" ref="K386:T386" si="170">IFERROR(K376/K370,0)</f>
        <v>0.75063640285148814</v>
      </c>
      <c r="L386" s="52">
        <f t="shared" si="170"/>
        <v>0.77018988074128591</v>
      </c>
      <c r="M386" s="52">
        <f t="shared" si="170"/>
        <v>0.78803533249649405</v>
      </c>
      <c r="N386" s="52">
        <f t="shared" si="170"/>
        <v>0.80434370158688839</v>
      </c>
      <c r="O386" s="52">
        <f t="shared" si="170"/>
        <v>0.81926598061367562</v>
      </c>
      <c r="P386" s="52">
        <f t="shared" si="170"/>
        <v>0.83293593009162548</v>
      </c>
      <c r="Q386" s="52">
        <f t="shared" si="170"/>
        <v>0.84547236986450158</v>
      </c>
      <c r="R386" s="52">
        <f t="shared" si="170"/>
        <v>0.85698111927937304</v>
      </c>
      <c r="S386" s="52">
        <f t="shared" si="170"/>
        <v>0.86755664714264946</v>
      </c>
      <c r="T386" s="52">
        <f t="shared" si="170"/>
        <v>0.4865493360316599</v>
      </c>
      <c r="U386" s="52">
        <f>IFERROR(U376/U370,0)</f>
        <v>0.50770675285953448</v>
      </c>
      <c r="V386" s="52">
        <f>IFERROR(V376/V370,0)</f>
        <v>0.52794453019851562</v>
      </c>
    </row>
    <row r="387" spans="2:22">
      <c r="B387" s="55" t="s">
        <v>990</v>
      </c>
      <c r="C387" s="51"/>
      <c r="D387" s="51"/>
      <c r="E387" s="51"/>
      <c r="F387" s="51"/>
      <c r="G387" s="51"/>
      <c r="H387" s="51"/>
      <c r="I387" s="51"/>
      <c r="J387" s="52">
        <f>IFERROR(J382/J368,0)</f>
        <v>6.0267671399321709E-2</v>
      </c>
      <c r="K387" s="52">
        <f t="shared" ref="K387:V387" si="171">IFERROR(K382/K368,0)</f>
        <v>6.3112852538317055E-2</v>
      </c>
      <c r="L387" s="52">
        <f t="shared" si="171"/>
        <v>6.5819119533377823E-2</v>
      </c>
      <c r="M387" s="52">
        <f t="shared" si="171"/>
        <v>6.8393915256994828E-2</v>
      </c>
      <c r="N387" s="52">
        <f t="shared" si="171"/>
        <v>7.0844253748800962E-2</v>
      </c>
      <c r="O387" s="52">
        <f t="shared" si="171"/>
        <v>7.3176746185914826E-2</v>
      </c>
      <c r="P387" s="52">
        <f t="shared" si="171"/>
        <v>7.5397625230236215E-2</v>
      </c>
      <c r="Q387" s="52">
        <f t="shared" si="171"/>
        <v>7.751276785608642E-2</v>
      </c>
      <c r="R387" s="52">
        <f t="shared" si="171"/>
        <v>7.9527716754924288E-2</v>
      </c>
      <c r="S387" s="52">
        <f t="shared" si="171"/>
        <v>8.1447700407638768E-2</v>
      </c>
      <c r="T387" s="52">
        <f t="shared" si="171"/>
        <v>2.6242393504291861E-2</v>
      </c>
      <c r="U387" s="52">
        <f t="shared" si="171"/>
        <v>2.7560803146161831E-2</v>
      </c>
      <c r="V387" s="52">
        <f t="shared" si="171"/>
        <v>2.8842674712690603E-2</v>
      </c>
    </row>
    <row r="389" spans="2:22" ht="24" thickBot="1">
      <c r="B389" s="14" t="s">
        <v>1040</v>
      </c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</row>
    <row r="390" spans="2:22">
      <c r="B390" s="2" t="s">
        <v>29</v>
      </c>
      <c r="F390" s="6">
        <f>Output_FSL!$F$39</f>
        <v>1</v>
      </c>
    </row>
    <row r="391" spans="2:22">
      <c r="B391" s="407" t="s">
        <v>623</v>
      </c>
      <c r="I391" s="48">
        <f>SUM(J391:V391)</f>
        <v>12.035734326740634</v>
      </c>
      <c r="J391" s="23">
        <f>'Output_Standalone (IDR)'!J415/USD_IDR*Thousands</f>
        <v>0.56531566670277822</v>
      </c>
      <c r="K391" s="23">
        <f>'Output_Standalone (IDR)'!K415/USD_IDR*Thousands</f>
        <v>0.61138889353905479</v>
      </c>
      <c r="L391" s="23">
        <f>'Output_Standalone (IDR)'!L415/USD_IDR*Thousands</f>
        <v>0.66121708836248771</v>
      </c>
      <c r="M391" s="23">
        <f>'Output_Standalone (IDR)'!M415/USD_IDR*Thousands</f>
        <v>0.71510628106403062</v>
      </c>
      <c r="N391" s="23">
        <f>'Output_Standalone (IDR)'!N415/USD_IDR*Thousands</f>
        <v>0.77338744297074913</v>
      </c>
      <c r="O391" s="23">
        <f>'Output_Standalone (IDR)'!O415/USD_IDR*Thousands</f>
        <v>0.83641851957286528</v>
      </c>
      <c r="P391" s="23">
        <f>'Output_Standalone (IDR)'!P415/USD_IDR*Thousands</f>
        <v>0.90458662891805375</v>
      </c>
      <c r="Q391" s="23">
        <f>'Output_Standalone (IDR)'!Q415/USD_IDR*Thousands</f>
        <v>0.97831043917487515</v>
      </c>
      <c r="R391" s="23">
        <f>'Output_Standalone (IDR)'!R415/USD_IDR*Thousands</f>
        <v>1.0580427399676275</v>
      </c>
      <c r="S391" s="23">
        <f>'Output_Standalone (IDR)'!S415/USD_IDR*Thousands</f>
        <v>1.1442732232749893</v>
      </c>
      <c r="T391" s="23">
        <f>'Output_Standalone (IDR)'!T415/USD_IDR*Thousands</f>
        <v>1.2014868844387387</v>
      </c>
      <c r="U391" s="23">
        <f>'Output_Standalone (IDR)'!U415/USD_IDR*Thousands</f>
        <v>1.2615612286606757</v>
      </c>
      <c r="V391" s="23">
        <f>'Output_Standalone (IDR)'!V415/USD_IDR*Thousands</f>
        <v>1.3246392900937098</v>
      </c>
    </row>
    <row r="392" spans="2:22">
      <c r="B392" s="407" t="s">
        <v>473</v>
      </c>
      <c r="I392" s="48">
        <f>SUM(J392:V392)</f>
        <v>-9.3571090395632712</v>
      </c>
      <c r="J392" s="23">
        <f>'Output_Standalone (IDR)'!J416/USD_IDR*Thousands</f>
        <v>-0.44474085475480091</v>
      </c>
      <c r="K392" s="23">
        <f>'Output_Standalone (IDR)'!K416/USD_IDR*Thousands</f>
        <v>-0.47998416695001755</v>
      </c>
      <c r="L392" s="23">
        <f>'Output_Standalone (IDR)'!L416/USD_IDR*Thousands</f>
        <v>-0.51806516693362192</v>
      </c>
      <c r="M392" s="23">
        <f>'Output_Standalone (IDR)'!M416/USD_IDR*Thousands</f>
        <v>-0.5592139137849248</v>
      </c>
      <c r="N392" s="23">
        <f>'Output_Standalone (IDR)'!N416/USD_IDR*Thousands</f>
        <v>-0.60367917396155923</v>
      </c>
      <c r="O392" s="23">
        <f>'Output_Standalone (IDR)'!O416/USD_IDR*Thousands</f>
        <v>-0.65172994446553345</v>
      </c>
      <c r="P392" s="23">
        <f>'Output_Standalone (IDR)'!P416/USD_IDR*Thousands</f>
        <v>-0.70365710009532867</v>
      </c>
      <c r="Q392" s="23">
        <f>'Output_Standalone (IDR)'!Q416/USD_IDR*Thousands</f>
        <v>-0.75977517489523971</v>
      </c>
      <c r="R392" s="23">
        <f>'Output_Standalone (IDR)'!R416/USD_IDR*Thousands</f>
        <v>-0.82042428873715223</v>
      </c>
      <c r="S392" s="23">
        <f>'Output_Standalone (IDR)'!S416/USD_IDR*Thousands</f>
        <v>-0.88597223086109211</v>
      </c>
      <c r="T392" s="23">
        <f>'Output_Standalone (IDR)'!T416/USD_IDR*Thousands</f>
        <v>-0.92982753872338553</v>
      </c>
      <c r="U392" s="23">
        <f>'Output_Standalone (IDR)'!U416/USD_IDR*Thousands</f>
        <v>-0.97586038175231848</v>
      </c>
      <c r="V392" s="23">
        <f>'Output_Standalone (IDR)'!V416/USD_IDR*Thousands</f>
        <v>-1.0241791036482966</v>
      </c>
    </row>
    <row r="393" spans="2:22">
      <c r="B393" s="28" t="s">
        <v>1017</v>
      </c>
      <c r="C393" s="28"/>
      <c r="D393" s="28"/>
      <c r="E393" s="28"/>
      <c r="F393" s="28"/>
      <c r="G393" s="28"/>
      <c r="H393" s="28"/>
      <c r="I393" s="49">
        <f>SUM(J393:V393)</f>
        <v>2.6786252871773648</v>
      </c>
      <c r="J393" s="47">
        <f t="shared" ref="J393:V393" si="172">SUM(J391:J392)</f>
        <v>0.12057481194797731</v>
      </c>
      <c r="K393" s="47">
        <f t="shared" si="172"/>
        <v>0.13140472658903724</v>
      </c>
      <c r="L393" s="47">
        <f t="shared" si="172"/>
        <v>0.14315192142886579</v>
      </c>
      <c r="M393" s="47">
        <f t="shared" si="172"/>
        <v>0.15589236727910583</v>
      </c>
      <c r="N393" s="47">
        <f t="shared" si="172"/>
        <v>0.16970826900918989</v>
      </c>
      <c r="O393" s="47">
        <f t="shared" si="172"/>
        <v>0.18468857510733183</v>
      </c>
      <c r="P393" s="47">
        <f t="shared" si="172"/>
        <v>0.20092952882272508</v>
      </c>
      <c r="Q393" s="47">
        <f t="shared" si="172"/>
        <v>0.21853526427963543</v>
      </c>
      <c r="R393" s="47">
        <f t="shared" si="172"/>
        <v>0.23761845123047531</v>
      </c>
      <c r="S393" s="47">
        <f t="shared" si="172"/>
        <v>0.25830099241389715</v>
      </c>
      <c r="T393" s="47">
        <f t="shared" si="172"/>
        <v>0.27165934571535322</v>
      </c>
      <c r="U393" s="47">
        <f t="shared" si="172"/>
        <v>0.28570084690835718</v>
      </c>
      <c r="V393" s="47">
        <f t="shared" si="172"/>
        <v>0.30046018644541328</v>
      </c>
    </row>
    <row r="394" spans="2:22">
      <c r="L394" s="1"/>
    </row>
    <row r="395" spans="2:22">
      <c r="B395" t="s">
        <v>852</v>
      </c>
      <c r="I395" s="48">
        <f>SUM(J395:V395)</f>
        <v>-7.0259936130182263E-2</v>
      </c>
      <c r="J395" s="53">
        <f>'Output_Standalone (IDR)'!J419/USD_IDR*Thousands</f>
        <v>-5.0878606047832778E-3</v>
      </c>
      <c r="K395" s="53">
        <f>'Output_Standalone (IDR)'!K419/USD_IDR*Thousands</f>
        <v>-5.1387392108311093E-3</v>
      </c>
      <c r="L395" s="53">
        <f>'Output_Standalone (IDR)'!L419/USD_IDR*Thousands</f>
        <v>-5.1901266029394195E-3</v>
      </c>
      <c r="M395" s="53">
        <f>'Output_Standalone (IDR)'!M419/USD_IDR*Thousands</f>
        <v>-5.2420278689688151E-3</v>
      </c>
      <c r="N395" s="53">
        <f>'Output_Standalone (IDR)'!N419/USD_IDR*Thousands</f>
        <v>-5.294448147658502E-3</v>
      </c>
      <c r="O395" s="53">
        <f>'Output_Standalone (IDR)'!O419/USD_IDR*Thousands</f>
        <v>-5.3473926291350881E-3</v>
      </c>
      <c r="P395" s="53">
        <f>'Output_Standalone (IDR)'!P419/USD_IDR*Thousands</f>
        <v>-5.400866555426439E-3</v>
      </c>
      <c r="Q395" s="53">
        <f>'Output_Standalone (IDR)'!Q419/USD_IDR*Thousands</f>
        <v>-5.4548752209807039E-3</v>
      </c>
      <c r="R395" s="53">
        <f>'Output_Standalone (IDR)'!R419/USD_IDR*Thousands</f>
        <v>-5.5094239731905102E-3</v>
      </c>
      <c r="S395" s="53">
        <f>'Output_Standalone (IDR)'!S419/USD_IDR*Thousands</f>
        <v>-5.5645182129224159E-3</v>
      </c>
      <c r="T395" s="53">
        <f>'Output_Standalone (IDR)'!T419/USD_IDR*Thousands</f>
        <v>-5.6201633950516408E-3</v>
      </c>
      <c r="U395" s="53">
        <f>'Output_Standalone (IDR)'!U419/USD_IDR*Thousands</f>
        <v>-5.6763650290021558E-3</v>
      </c>
      <c r="V395" s="53">
        <f>'Output_Standalone (IDR)'!V419/USD_IDR*Thousands</f>
        <v>-5.7331286792921786E-3</v>
      </c>
    </row>
    <row r="396" spans="2:22">
      <c r="B396" s="28" t="s">
        <v>139</v>
      </c>
      <c r="C396" s="28"/>
      <c r="D396" s="28"/>
      <c r="E396" s="28"/>
      <c r="F396" s="28"/>
      <c r="G396" s="28"/>
      <c r="H396" s="28"/>
      <c r="I396" s="49">
        <f>SUM(J396:V396)</f>
        <v>2.6083653510471825</v>
      </c>
      <c r="J396" s="47">
        <f t="shared" ref="J396:V396" si="173">SUM(J393,J395)</f>
        <v>0.11548695134319403</v>
      </c>
      <c r="K396" s="47">
        <f t="shared" si="173"/>
        <v>0.12626598737820613</v>
      </c>
      <c r="L396" s="47">
        <f t="shared" si="173"/>
        <v>0.13796179482592638</v>
      </c>
      <c r="M396" s="47">
        <f t="shared" si="173"/>
        <v>0.150650339410137</v>
      </c>
      <c r="N396" s="47">
        <f t="shared" si="173"/>
        <v>0.16441382086153139</v>
      </c>
      <c r="O396" s="47">
        <f t="shared" si="173"/>
        <v>0.17934118247819675</v>
      </c>
      <c r="P396" s="47">
        <f t="shared" si="173"/>
        <v>0.19552866226729865</v>
      </c>
      <c r="Q396" s="47">
        <f t="shared" si="173"/>
        <v>0.21308038905865473</v>
      </c>
      <c r="R396" s="47">
        <f t="shared" si="173"/>
        <v>0.2321090272572848</v>
      </c>
      <c r="S396" s="47">
        <f t="shared" si="173"/>
        <v>0.25273647420097473</v>
      </c>
      <c r="T396" s="47">
        <f t="shared" si="173"/>
        <v>0.2660391823203016</v>
      </c>
      <c r="U396" s="47">
        <f t="shared" si="173"/>
        <v>0.28002448187935502</v>
      </c>
      <c r="V396" s="47">
        <f t="shared" si="173"/>
        <v>0.29472705776612113</v>
      </c>
    </row>
    <row r="397" spans="2:22">
      <c r="J397">
        <f>'Output_Standalone (IDR)'!J421/USD_IDR*Thousands</f>
        <v>0</v>
      </c>
      <c r="K397">
        <f>'Output_Standalone (IDR)'!K421/USD_IDR*Thousands</f>
        <v>0</v>
      </c>
      <c r="L397">
        <f>'Output_Standalone (IDR)'!L421/USD_IDR*Thousands</f>
        <v>0</v>
      </c>
      <c r="M397">
        <f>'Output_Standalone (IDR)'!M421/USD_IDR*Thousands</f>
        <v>0</v>
      </c>
      <c r="N397">
        <f>'Output_Standalone (IDR)'!N421/USD_IDR*Thousands</f>
        <v>0</v>
      </c>
      <c r="O397">
        <f>'Output_Standalone (IDR)'!O421/USD_IDR*Thousands</f>
        <v>0</v>
      </c>
      <c r="P397">
        <f>'Output_Standalone (IDR)'!P421/USD_IDR*Thousands</f>
        <v>0</v>
      </c>
      <c r="Q397">
        <f>'Output_Standalone (IDR)'!Q421/USD_IDR*Thousands</f>
        <v>0</v>
      </c>
      <c r="R397">
        <f>'Output_Standalone (IDR)'!R421/USD_IDR*Thousands</f>
        <v>0</v>
      </c>
      <c r="S397">
        <f>'Output_Standalone (IDR)'!S421/USD_IDR*Thousands</f>
        <v>0</v>
      </c>
      <c r="T397">
        <f>'Output_Standalone (IDR)'!T421/USD_IDR*Thousands</f>
        <v>0</v>
      </c>
      <c r="U397">
        <f>'Output_Standalone (IDR)'!U421/USD_IDR*Thousands</f>
        <v>0</v>
      </c>
      <c r="V397">
        <f>'Output_Standalone (IDR)'!V421/USD_IDR*Thousands</f>
        <v>0</v>
      </c>
    </row>
    <row r="398" spans="2:22">
      <c r="B398" t="s">
        <v>1018</v>
      </c>
      <c r="I398" s="49">
        <f>SUM(J398:V398)</f>
        <v>-6.6595817913310776E-2</v>
      </c>
      <c r="J398" s="53">
        <f>'Output_Standalone (IDR)'!J422/USD_IDR*Thousands</f>
        <v>-5.1227552241008296E-3</v>
      </c>
      <c r="K398" s="53">
        <f>'Output_Standalone (IDR)'!K422/USD_IDR*Thousands</f>
        <v>-5.1227552241008296E-3</v>
      </c>
      <c r="L398" s="53">
        <f>'Output_Standalone (IDR)'!L422/USD_IDR*Thousands</f>
        <v>-5.1227552241008296E-3</v>
      </c>
      <c r="M398" s="53">
        <f>'Output_Standalone (IDR)'!M422/USD_IDR*Thousands</f>
        <v>-5.1227552241008296E-3</v>
      </c>
      <c r="N398" s="53">
        <f>'Output_Standalone (IDR)'!N422/USD_IDR*Thousands</f>
        <v>-5.1227552241008296E-3</v>
      </c>
      <c r="O398" s="53">
        <f>'Output_Standalone (IDR)'!O422/USD_IDR*Thousands</f>
        <v>-5.1227552241008296E-3</v>
      </c>
      <c r="P398" s="53">
        <f>'Output_Standalone (IDR)'!P422/USD_IDR*Thousands</f>
        <v>-5.1227552241008296E-3</v>
      </c>
      <c r="Q398" s="53">
        <f>'Output_Standalone (IDR)'!Q422/USD_IDR*Thousands</f>
        <v>-5.1227552241008296E-3</v>
      </c>
      <c r="R398" s="53">
        <f>'Output_Standalone (IDR)'!R422/USD_IDR*Thousands</f>
        <v>-5.1227552241008296E-3</v>
      </c>
      <c r="S398" s="53">
        <f>'Output_Standalone (IDR)'!S422/USD_IDR*Thousands</f>
        <v>-5.1227552241008296E-3</v>
      </c>
      <c r="T398" s="53">
        <f>'Output_Standalone (IDR)'!T422/USD_IDR*Thousands</f>
        <v>-5.1227552241008296E-3</v>
      </c>
      <c r="U398" s="53">
        <f>'Output_Standalone (IDR)'!U422/USD_IDR*Thousands</f>
        <v>-5.1227552241008296E-3</v>
      </c>
      <c r="V398" s="53">
        <f>'Output_Standalone (IDR)'!V422/USD_IDR*Thousands</f>
        <v>-5.1227552241008296E-3</v>
      </c>
    </row>
    <row r="399" spans="2:22">
      <c r="B399" s="28" t="s">
        <v>434</v>
      </c>
      <c r="C399" s="28"/>
      <c r="D399" s="28"/>
      <c r="E399" s="28"/>
      <c r="F399" s="28"/>
      <c r="G399" s="28"/>
      <c r="H399" s="28"/>
      <c r="I399" s="49">
        <f>SUM(J399:V399)</f>
        <v>2.5417695331338717</v>
      </c>
      <c r="J399" s="47">
        <f t="shared" ref="J399:V399" si="174">SUM(J396,J398)</f>
        <v>0.11036419611909321</v>
      </c>
      <c r="K399" s="47">
        <f t="shared" si="174"/>
        <v>0.1211432321541053</v>
      </c>
      <c r="L399" s="47">
        <f t="shared" si="174"/>
        <v>0.13283903960182555</v>
      </c>
      <c r="M399" s="47">
        <f t="shared" si="174"/>
        <v>0.14552758418603617</v>
      </c>
      <c r="N399" s="47">
        <f t="shared" si="174"/>
        <v>0.15929106563743056</v>
      </c>
      <c r="O399" s="47">
        <f t="shared" si="174"/>
        <v>0.17421842725409592</v>
      </c>
      <c r="P399" s="47">
        <f t="shared" si="174"/>
        <v>0.19040590704319782</v>
      </c>
      <c r="Q399" s="47">
        <f t="shared" si="174"/>
        <v>0.2079576338345539</v>
      </c>
      <c r="R399" s="47">
        <f t="shared" si="174"/>
        <v>0.22698627203318397</v>
      </c>
      <c r="S399" s="47">
        <f t="shared" si="174"/>
        <v>0.2476137189768739</v>
      </c>
      <c r="T399" s="47">
        <f t="shared" si="174"/>
        <v>0.26091642709620078</v>
      </c>
      <c r="U399" s="47">
        <f t="shared" si="174"/>
        <v>0.2749017266552542</v>
      </c>
      <c r="V399" s="47">
        <f t="shared" si="174"/>
        <v>0.2896043025420203</v>
      </c>
    </row>
    <row r="400" spans="2:22"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</row>
    <row r="401" spans="2:22">
      <c r="B401" t="s">
        <v>881</v>
      </c>
      <c r="I401" s="48">
        <f>SUM(J401:V401)</f>
        <v>0</v>
      </c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</row>
    <row r="402" spans="2:22">
      <c r="B402" s="28" t="s">
        <v>1019</v>
      </c>
      <c r="C402" s="28"/>
      <c r="D402" s="28"/>
      <c r="E402" s="28"/>
      <c r="F402" s="28"/>
      <c r="G402" s="28"/>
      <c r="H402" s="28"/>
      <c r="I402" s="48">
        <f>SUM(J402:V402)</f>
        <v>2.5417695331338717</v>
      </c>
      <c r="J402" s="47">
        <f t="shared" ref="J402:V402" si="175">SUM(J399,J401)</f>
        <v>0.11036419611909321</v>
      </c>
      <c r="K402" s="47">
        <f t="shared" si="175"/>
        <v>0.1211432321541053</v>
      </c>
      <c r="L402" s="47">
        <f t="shared" si="175"/>
        <v>0.13283903960182555</v>
      </c>
      <c r="M402" s="47">
        <f t="shared" si="175"/>
        <v>0.14552758418603617</v>
      </c>
      <c r="N402" s="47">
        <f t="shared" si="175"/>
        <v>0.15929106563743056</v>
      </c>
      <c r="O402" s="47">
        <f t="shared" si="175"/>
        <v>0.17421842725409592</v>
      </c>
      <c r="P402" s="47">
        <f t="shared" si="175"/>
        <v>0.19040590704319782</v>
      </c>
      <c r="Q402" s="47">
        <f t="shared" si="175"/>
        <v>0.2079576338345539</v>
      </c>
      <c r="R402" s="47">
        <f t="shared" si="175"/>
        <v>0.22698627203318397</v>
      </c>
      <c r="S402" s="47">
        <f t="shared" si="175"/>
        <v>0.2476137189768739</v>
      </c>
      <c r="T402" s="47">
        <f t="shared" si="175"/>
        <v>0.26091642709620078</v>
      </c>
      <c r="U402" s="47">
        <f t="shared" si="175"/>
        <v>0.2749017266552542</v>
      </c>
      <c r="V402" s="47">
        <f t="shared" si="175"/>
        <v>0.2896043025420203</v>
      </c>
    </row>
    <row r="403" spans="2:22"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</row>
    <row r="404" spans="2:22">
      <c r="B404" t="s">
        <v>759</v>
      </c>
      <c r="I404" s="48">
        <f>SUM(J404:V404)</f>
        <v>-0.55918929728945177</v>
      </c>
      <c r="J404" s="23">
        <f>-IF(J402&lt;0,0,J402*22%)</f>
        <v>-2.4280123146200504E-2</v>
      </c>
      <c r="K404" s="23">
        <f t="shared" ref="K404:V404" si="176">-IF(K402&lt;0,0,K402*22%)</f>
        <v>-2.6651511073903168E-2</v>
      </c>
      <c r="L404" s="23">
        <f t="shared" si="176"/>
        <v>-2.9224588712401623E-2</v>
      </c>
      <c r="M404" s="23">
        <f t="shared" si="176"/>
        <v>-3.2016068520927955E-2</v>
      </c>
      <c r="N404" s="23">
        <f t="shared" si="176"/>
        <v>-3.5044034440234725E-2</v>
      </c>
      <c r="O404" s="23">
        <f t="shared" si="176"/>
        <v>-3.8328053995901105E-2</v>
      </c>
      <c r="P404" s="23">
        <f t="shared" si="176"/>
        <v>-4.1889299549503524E-2</v>
      </c>
      <c r="Q404" s="23">
        <f t="shared" si="176"/>
        <v>-4.5750679443601859E-2</v>
      </c>
      <c r="R404" s="23">
        <f t="shared" si="176"/>
        <v>-4.9936979847300472E-2</v>
      </c>
      <c r="S404" s="23">
        <f t="shared" si="176"/>
        <v>-5.4475018174912258E-2</v>
      </c>
      <c r="T404" s="23">
        <f t="shared" si="176"/>
        <v>-5.7401613961164173E-2</v>
      </c>
      <c r="U404" s="23">
        <f t="shared" si="176"/>
        <v>-6.0478379864155926E-2</v>
      </c>
      <c r="V404" s="23">
        <f t="shared" si="176"/>
        <v>-6.3712946559244463E-2</v>
      </c>
    </row>
    <row r="405" spans="2:22">
      <c r="B405" s="28" t="s">
        <v>1020</v>
      </c>
      <c r="C405" s="28"/>
      <c r="D405" s="28"/>
      <c r="E405" s="28"/>
      <c r="F405" s="28"/>
      <c r="G405" s="28"/>
      <c r="H405" s="28"/>
      <c r="I405" s="48">
        <f>SUM(J405:V405)</f>
        <v>1.9825802358444198</v>
      </c>
      <c r="J405" s="47">
        <f t="shared" ref="J405:V405" si="177">SUM(J402,J404)</f>
        <v>8.6084072972892695E-2</v>
      </c>
      <c r="K405" s="47">
        <f t="shared" si="177"/>
        <v>9.4491721080202137E-2</v>
      </c>
      <c r="L405" s="47">
        <f t="shared" si="177"/>
        <v>0.10361445088942393</v>
      </c>
      <c r="M405" s="47">
        <f t="shared" si="177"/>
        <v>0.11351151566510823</v>
      </c>
      <c r="N405" s="47">
        <f t="shared" si="177"/>
        <v>0.12424703119719584</v>
      </c>
      <c r="O405" s="47">
        <f t="shared" si="177"/>
        <v>0.13589037325819481</v>
      </c>
      <c r="P405" s="47">
        <f t="shared" si="177"/>
        <v>0.1485166074936943</v>
      </c>
      <c r="Q405" s="47">
        <f t="shared" si="177"/>
        <v>0.16220695439095204</v>
      </c>
      <c r="R405" s="47">
        <f t="shared" si="177"/>
        <v>0.1770492921858835</v>
      </c>
      <c r="S405" s="47">
        <f t="shared" si="177"/>
        <v>0.19313870080196163</v>
      </c>
      <c r="T405" s="47">
        <f t="shared" si="177"/>
        <v>0.20351481313503661</v>
      </c>
      <c r="U405" s="47">
        <f t="shared" si="177"/>
        <v>0.21442334679109826</v>
      </c>
      <c r="V405" s="47">
        <f t="shared" si="177"/>
        <v>0.22589135598277582</v>
      </c>
    </row>
    <row r="407" spans="2:22">
      <c r="B407" s="407" t="s">
        <v>32</v>
      </c>
      <c r="C407" s="407"/>
      <c r="D407" s="407"/>
      <c r="E407" s="407"/>
      <c r="F407" s="407"/>
      <c r="G407" s="407"/>
      <c r="H407" s="407"/>
      <c r="I407" s="407"/>
      <c r="J407" s="9">
        <f>J$8</f>
        <v>2024</v>
      </c>
      <c r="K407" s="9">
        <f t="shared" ref="K407:V407" si="178">K$8</f>
        <v>2025</v>
      </c>
      <c r="L407" s="9">
        <f t="shared" si="178"/>
        <v>2026</v>
      </c>
      <c r="M407" s="9">
        <f t="shared" si="178"/>
        <v>2027</v>
      </c>
      <c r="N407" s="9">
        <f t="shared" si="178"/>
        <v>2028</v>
      </c>
      <c r="O407" s="9">
        <f t="shared" si="178"/>
        <v>2029</v>
      </c>
      <c r="P407" s="9">
        <f t="shared" si="178"/>
        <v>2030</v>
      </c>
      <c r="Q407" s="9">
        <f t="shared" si="178"/>
        <v>2031</v>
      </c>
      <c r="R407" s="9">
        <f t="shared" si="178"/>
        <v>2032</v>
      </c>
      <c r="S407" s="9">
        <f t="shared" si="178"/>
        <v>2033</v>
      </c>
      <c r="T407" s="9">
        <f t="shared" si="178"/>
        <v>2034</v>
      </c>
      <c r="U407" s="9">
        <f t="shared" si="178"/>
        <v>2035</v>
      </c>
      <c r="V407" s="9">
        <f t="shared" si="178"/>
        <v>2036</v>
      </c>
    </row>
    <row r="408" spans="2:22">
      <c r="B408" s="55" t="s">
        <v>1021</v>
      </c>
      <c r="C408" s="51"/>
      <c r="D408" s="51"/>
      <c r="E408" s="51"/>
      <c r="F408" s="51"/>
      <c r="G408" s="51"/>
      <c r="H408" s="51"/>
      <c r="I408" s="51"/>
      <c r="J408" s="56">
        <f>IFERROR(J393/J391,0)</f>
        <v>0.2132875825841406</v>
      </c>
      <c r="K408" s="56">
        <f t="shared" ref="K408:V408" si="179">IFERROR(K393/K391,0)</f>
        <v>0.21492821995570527</v>
      </c>
      <c r="L408" s="56">
        <f t="shared" si="179"/>
        <v>0.21649761318689342</v>
      </c>
      <c r="M408" s="56">
        <f t="shared" si="179"/>
        <v>0.21799887849837976</v>
      </c>
      <c r="N408" s="56">
        <f t="shared" si="179"/>
        <v>0.2194349941308894</v>
      </c>
      <c r="O408" s="56">
        <f t="shared" si="179"/>
        <v>0.22080880657884874</v>
      </c>
      <c r="P408" s="56">
        <f t="shared" si="179"/>
        <v>0.22212303653332824</v>
      </c>
      <c r="Q408" s="56">
        <f t="shared" si="179"/>
        <v>0.22338028454848347</v>
      </c>
      <c r="R408" s="56">
        <f t="shared" si="179"/>
        <v>0.22458303644496028</v>
      </c>
      <c r="S408" s="56">
        <f t="shared" si="179"/>
        <v>0.22573366846304574</v>
      </c>
      <c r="T408" s="56">
        <f t="shared" si="179"/>
        <v>0.2261026310264351</v>
      </c>
      <c r="U408" s="56">
        <f t="shared" si="179"/>
        <v>0.2264660964665732</v>
      </c>
      <c r="V408" s="56">
        <f t="shared" si="179"/>
        <v>0.22682415408662507</v>
      </c>
    </row>
    <row r="409" spans="2:22">
      <c r="B409" s="55" t="s">
        <v>1022</v>
      </c>
      <c r="C409" s="51"/>
      <c r="D409" s="51"/>
      <c r="E409" s="51"/>
      <c r="F409" s="51"/>
      <c r="G409" s="51"/>
      <c r="H409" s="51"/>
      <c r="I409" s="51"/>
      <c r="J409" s="56">
        <f>IFERROR(J396/J391,0)</f>
        <v>0.20428754790535947</v>
      </c>
      <c r="K409" s="52">
        <f t="shared" ref="K409:T409" si="180">IFERROR(K399/K393,0)</f>
        <v>0.92190924404854679</v>
      </c>
      <c r="L409" s="52">
        <f t="shared" si="180"/>
        <v>0.92795848128266412</v>
      </c>
      <c r="M409" s="52">
        <f t="shared" si="180"/>
        <v>0.93351320995393694</v>
      </c>
      <c r="N409" s="52">
        <f t="shared" si="180"/>
        <v>0.9386169959037457</v>
      </c>
      <c r="O409" s="52">
        <f t="shared" si="180"/>
        <v>0.94330917412107829</v>
      </c>
      <c r="P409" s="52">
        <f t="shared" si="180"/>
        <v>0.94762531002194317</v>
      </c>
      <c r="Q409" s="52">
        <f t="shared" si="180"/>
        <v>0.9515976038011581</v>
      </c>
      <c r="R409" s="52">
        <f t="shared" si="180"/>
        <v>0.95525524578485377</v>
      </c>
      <c r="S409" s="52">
        <f t="shared" si="180"/>
        <v>0.95862472947878519</v>
      </c>
      <c r="T409" s="52">
        <f t="shared" si="180"/>
        <v>0.96045444860045803</v>
      </c>
      <c r="U409" s="52">
        <f>IFERROR(U399/U393,0)</f>
        <v>0.96220130122131919</v>
      </c>
      <c r="V409" s="52">
        <f>IFERROR(V399/V393,0)</f>
        <v>0.9638691434235489</v>
      </c>
    </row>
    <row r="410" spans="2:22">
      <c r="B410" s="55" t="s">
        <v>990</v>
      </c>
      <c r="C410" s="51"/>
      <c r="D410" s="51"/>
      <c r="E410" s="51"/>
      <c r="F410" s="51"/>
      <c r="G410" s="51"/>
      <c r="H410" s="51"/>
      <c r="I410" s="51"/>
      <c r="J410" s="52">
        <f>IFERROR(J405/J391,0)</f>
        <v>0.15227611411334274</v>
      </c>
      <c r="K410" s="52">
        <f t="shared" ref="K410:V410" si="181">IFERROR(K405/K391,0)</f>
        <v>0.15455256397156997</v>
      </c>
      <c r="L410" s="52">
        <f t="shared" si="181"/>
        <v>0.15670262114070041</v>
      </c>
      <c r="M410" s="52">
        <f t="shared" si="181"/>
        <v>0.15873376961003705</v>
      </c>
      <c r="N410" s="52">
        <f t="shared" si="181"/>
        <v>0.16065302369008735</v>
      </c>
      <c r="O410" s="52">
        <f t="shared" si="181"/>
        <v>0.16246695891859267</v>
      </c>
      <c r="P410" s="52">
        <f t="shared" si="181"/>
        <v>0.16418174085917026</v>
      </c>
      <c r="Q410" s="52">
        <f t="shared" si="181"/>
        <v>0.16580315193995102</v>
      </c>
      <c r="R410" s="52">
        <f t="shared" si="181"/>
        <v>0.16733661646910464</v>
      </c>
      <c r="S410" s="52">
        <f t="shared" si="181"/>
        <v>0.16878722395441997</v>
      </c>
      <c r="T410" s="52">
        <f t="shared" si="181"/>
        <v>0.1693857966914939</v>
      </c>
      <c r="U410" s="52">
        <f t="shared" si="181"/>
        <v>0.16996665870806663</v>
      </c>
      <c r="V410" s="52">
        <f t="shared" si="181"/>
        <v>0.17053046642365216</v>
      </c>
    </row>
    <row r="412" spans="2:22" ht="24" thickBot="1">
      <c r="B412" s="14" t="s">
        <v>1041</v>
      </c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</row>
    <row r="413" spans="2:22">
      <c r="B413" s="2" t="s">
        <v>29</v>
      </c>
      <c r="F413" s="6">
        <f>Output_FSL!$F$39</f>
        <v>1</v>
      </c>
    </row>
    <row r="414" spans="2:22">
      <c r="B414" s="407" t="s">
        <v>623</v>
      </c>
      <c r="I414" s="48">
        <f>SUM(J414:V414)</f>
        <v>29.135104152123176</v>
      </c>
      <c r="J414" s="23">
        <f>'Output_Standalone (IDR)'!J438/USD_IDR*Thousands</f>
        <v>1.1381354825852772</v>
      </c>
      <c r="K414" s="23">
        <f>'Output_Standalone (IDR)'!K438/USD_IDR*Thousands</f>
        <v>1.2308935244159778</v>
      </c>
      <c r="L414" s="23">
        <f>'Output_Standalone (IDR)'!L438/USD_IDR*Thousands</f>
        <v>1.6298128520606647</v>
      </c>
      <c r="M414" s="23">
        <f>'Output_Standalone (IDR)'!M438/USD_IDR*Thousands</f>
        <v>1.7626425995036092</v>
      </c>
      <c r="N414" s="23">
        <f>'Output_Standalone (IDR)'!N438/USD_IDR*Thousands</f>
        <v>1.9062979713631532</v>
      </c>
      <c r="O414" s="23">
        <f>'Output_Standalone (IDR)'!O438/USD_IDR*Thousands</f>
        <v>2.0616612560292507</v>
      </c>
      <c r="P414" s="23">
        <f>'Output_Standalone (IDR)'!P438/USD_IDR*Thousands</f>
        <v>2.229686648395635</v>
      </c>
      <c r="Q414" s="23">
        <f>'Output_Standalone (IDR)'!Q438/USD_IDR*Thousands</f>
        <v>2.4114061102398785</v>
      </c>
      <c r="R414" s="23">
        <f>'Output_Standalone (IDR)'!R438/USD_IDR*Thousands</f>
        <v>2.6079357082244292</v>
      </c>
      <c r="S414" s="23">
        <f>'Output_Standalone (IDR)'!S438/USD_IDR*Thousands</f>
        <v>2.8204824684447201</v>
      </c>
      <c r="T414" s="23">
        <f>'Output_Standalone (IDR)'!T438/USD_IDR*Thousands</f>
        <v>2.9615065918669563</v>
      </c>
      <c r="U414" s="23">
        <f>'Output_Standalone (IDR)'!U438/USD_IDR*Thousands</f>
        <v>3.1095819214603044</v>
      </c>
      <c r="V414" s="23">
        <f>'Output_Standalone (IDR)'!V438/USD_IDR*Thousands</f>
        <v>3.2650610175333195</v>
      </c>
    </row>
    <row r="415" spans="2:22">
      <c r="B415" s="407" t="s">
        <v>473</v>
      </c>
      <c r="I415" s="48">
        <f>SUM(J415:V415)</f>
        <v>-14.505859324771137</v>
      </c>
      <c r="J415" s="23">
        <f>'Output_Standalone (IDR)'!J439/USD_IDR*Thousands</f>
        <v>-0.57270942974666028</v>
      </c>
      <c r="K415" s="23">
        <f>'Output_Standalone (IDR)'!K439/USD_IDR*Thousands</f>
        <v>-0.61862585062682363</v>
      </c>
      <c r="L415" s="23">
        <f>'Output_Standalone (IDR)'!L439/USD_IDR*Thousands</f>
        <v>-0.81422942802594989</v>
      </c>
      <c r="M415" s="23">
        <f>'Output_Standalone (IDR)'!M439/USD_IDR*Thousands</f>
        <v>-0.87977564066866809</v>
      </c>
      <c r="N415" s="23">
        <f>'Output_Standalone (IDR)'!N439/USD_IDR*Thousands</f>
        <v>-0.9506353976408185</v>
      </c>
      <c r="O415" s="23">
        <f>'Output_Standalone (IDR)'!O439/USD_IDR*Thousands</f>
        <v>-1.0272407562852177</v>
      </c>
      <c r="P415" s="23">
        <f>'Output_Standalone (IDR)'!P439/USD_IDR*Thousands</f>
        <v>-1.1100589517399189</v>
      </c>
      <c r="Q415" s="23">
        <f>'Output_Standalone (IDR)'!Q439/USD_IDR*Thousands</f>
        <v>-1.1995952627077884</v>
      </c>
      <c r="R415" s="23">
        <f>'Output_Standalone (IDR)'!R439/USD_IDR*Thousands</f>
        <v>-1.2963961107435773</v>
      </c>
      <c r="S415" s="23">
        <f>'Output_Standalone (IDR)'!S439/USD_IDR*Thousands</f>
        <v>-1.4010524120886614</v>
      </c>
      <c r="T415" s="23">
        <f>'Output_Standalone (IDR)'!T439/USD_IDR*Thousands</f>
        <v>-1.4707711678416959</v>
      </c>
      <c r="U415" s="23">
        <f>'Output_Standalone (IDR)'!U439/USD_IDR*Thousands</f>
        <v>-1.5439641761125831</v>
      </c>
      <c r="V415" s="23">
        <f>'Output_Standalone (IDR)'!V439/USD_IDR*Thousands</f>
        <v>-1.620804740542773</v>
      </c>
    </row>
    <row r="416" spans="2:22">
      <c r="B416" s="28" t="s">
        <v>1017</v>
      </c>
      <c r="C416" s="28"/>
      <c r="D416" s="28"/>
      <c r="E416" s="28"/>
      <c r="F416" s="28"/>
      <c r="G416" s="28"/>
      <c r="H416" s="28"/>
      <c r="I416" s="49">
        <f>SUM(J416:V416)</f>
        <v>14.629244827352041</v>
      </c>
      <c r="J416" s="47">
        <f t="shared" ref="J416:V416" si="182">SUM(J414:J415)</f>
        <v>0.56542605283861691</v>
      </c>
      <c r="K416" s="47">
        <f t="shared" si="182"/>
        <v>0.61226767378915414</v>
      </c>
      <c r="L416" s="47">
        <f t="shared" si="182"/>
        <v>0.81558342403471484</v>
      </c>
      <c r="M416" s="47">
        <f t="shared" si="182"/>
        <v>0.88286695883494115</v>
      </c>
      <c r="N416" s="47">
        <f t="shared" si="182"/>
        <v>0.95566257372233465</v>
      </c>
      <c r="O416" s="47">
        <f t="shared" si="182"/>
        <v>1.0344204997440329</v>
      </c>
      <c r="P416" s="47">
        <f t="shared" si="182"/>
        <v>1.1196276966557162</v>
      </c>
      <c r="Q416" s="47">
        <f t="shared" si="182"/>
        <v>1.2118108475320901</v>
      </c>
      <c r="R416" s="47">
        <f t="shared" si="182"/>
        <v>1.3115395974808519</v>
      </c>
      <c r="S416" s="47">
        <f t="shared" si="182"/>
        <v>1.4194300563560587</v>
      </c>
      <c r="T416" s="47">
        <f t="shared" si="182"/>
        <v>1.4907354240252604</v>
      </c>
      <c r="U416" s="47">
        <f t="shared" si="182"/>
        <v>1.5656177453477214</v>
      </c>
      <c r="V416" s="47">
        <f t="shared" si="182"/>
        <v>1.6442562769905464</v>
      </c>
    </row>
    <row r="417" spans="2:22">
      <c r="L417" s="1"/>
    </row>
    <row r="418" spans="2:22">
      <c r="B418" t="s">
        <v>852</v>
      </c>
      <c r="I418" s="48">
        <f>SUM(J418:V418)</f>
        <v>-0.35671823087961535</v>
      </c>
      <c r="J418" s="53">
        <f>'Output_Standalone (IDR)'!J442/USD_IDR*Thousands</f>
        <v>-2.5831686361592374E-2</v>
      </c>
      <c r="K418" s="53">
        <f>'Output_Standalone (IDR)'!K442/USD_IDR*Thousands</f>
        <v>-2.60900032252083E-2</v>
      </c>
      <c r="L418" s="53">
        <f>'Output_Standalone (IDR)'!L442/USD_IDR*Thousands</f>
        <v>-2.6350903257460378E-2</v>
      </c>
      <c r="M418" s="53">
        <f>'Output_Standalone (IDR)'!M442/USD_IDR*Thousands</f>
        <v>-2.6614412290034986E-2</v>
      </c>
      <c r="N418" s="53">
        <f>'Output_Standalone (IDR)'!N442/USD_IDR*Thousands</f>
        <v>-2.6880556412935332E-2</v>
      </c>
      <c r="O418" s="53">
        <f>'Output_Standalone (IDR)'!O442/USD_IDR*Thousands</f>
        <v>-2.7149361977064686E-2</v>
      </c>
      <c r="P418" s="53">
        <f>'Output_Standalone (IDR)'!P442/USD_IDR*Thousands</f>
        <v>-2.7420855596835332E-2</v>
      </c>
      <c r="Q418" s="53">
        <f>'Output_Standalone (IDR)'!Q442/USD_IDR*Thousands</f>
        <v>-2.7695064152803692E-2</v>
      </c>
      <c r="R418" s="53">
        <f>'Output_Standalone (IDR)'!R442/USD_IDR*Thousands</f>
        <v>-2.7972014794331725E-2</v>
      </c>
      <c r="S418" s="53">
        <f>'Output_Standalone (IDR)'!S442/USD_IDR*Thousands</f>
        <v>-2.825173494227505E-2</v>
      </c>
      <c r="T418" s="53">
        <f>'Output_Standalone (IDR)'!T442/USD_IDR*Thousands</f>
        <v>-2.853425229169779E-2</v>
      </c>
      <c r="U418" s="53">
        <f>'Output_Standalone (IDR)'!U442/USD_IDR*Thousands</f>
        <v>-2.8819594814614775E-2</v>
      </c>
      <c r="V418" s="53">
        <f>'Output_Standalone (IDR)'!V442/USD_IDR*Thousands</f>
        <v>-2.9107790762760922E-2</v>
      </c>
    </row>
    <row r="419" spans="2:22">
      <c r="B419" s="28" t="s">
        <v>139</v>
      </c>
      <c r="C419" s="28"/>
      <c r="D419" s="28"/>
      <c r="E419" s="28"/>
      <c r="F419" s="28"/>
      <c r="G419" s="28"/>
      <c r="H419" s="28"/>
      <c r="I419" s="49">
        <f>SUM(J419:V419)</f>
        <v>14.272526596472424</v>
      </c>
      <c r="J419" s="47">
        <f t="shared" ref="J419:V419" si="183">SUM(J416,J418)</f>
        <v>0.53959436647702452</v>
      </c>
      <c r="K419" s="47">
        <f t="shared" si="183"/>
        <v>0.58617767056394587</v>
      </c>
      <c r="L419" s="47">
        <f t="shared" si="183"/>
        <v>0.78923252077725448</v>
      </c>
      <c r="M419" s="47">
        <f t="shared" si="183"/>
        <v>0.85625254654490612</v>
      </c>
      <c r="N419" s="47">
        <f t="shared" si="183"/>
        <v>0.92878201730939935</v>
      </c>
      <c r="O419" s="47">
        <f t="shared" si="183"/>
        <v>1.0072711377669683</v>
      </c>
      <c r="P419" s="47">
        <f t="shared" si="183"/>
        <v>1.0922068410588808</v>
      </c>
      <c r="Q419" s="47">
        <f t="shared" si="183"/>
        <v>1.1841157833792864</v>
      </c>
      <c r="R419" s="47">
        <f t="shared" si="183"/>
        <v>1.2835675826865203</v>
      </c>
      <c r="S419" s="47">
        <f t="shared" si="183"/>
        <v>1.3911783214137836</v>
      </c>
      <c r="T419" s="47">
        <f t="shared" si="183"/>
        <v>1.4622011717335626</v>
      </c>
      <c r="U419" s="47">
        <f t="shared" si="183"/>
        <v>1.5367981505331065</v>
      </c>
      <c r="V419" s="47">
        <f t="shared" si="183"/>
        <v>1.6151484862277856</v>
      </c>
    </row>
    <row r="421" spans="2:22">
      <c r="B421" t="s">
        <v>1018</v>
      </c>
      <c r="I421" s="49">
        <f>SUM(J421:V421)</f>
        <v>-1.3123885620043036E-2</v>
      </c>
      <c r="J421" s="53">
        <f>'Output_Standalone (IDR)'!J445/USD_IDR*Thousands</f>
        <v>-1.0095296630802336E-3</v>
      </c>
      <c r="K421" s="53">
        <f>'Output_Standalone (IDR)'!K445/USD_IDR*Thousands</f>
        <v>-1.0095296630802336E-3</v>
      </c>
      <c r="L421" s="53">
        <f>'Output_Standalone (IDR)'!L445/USD_IDR*Thousands</f>
        <v>-1.0095296630802336E-3</v>
      </c>
      <c r="M421" s="53">
        <f>'Output_Standalone (IDR)'!M445/USD_IDR*Thousands</f>
        <v>-1.0095296630802336E-3</v>
      </c>
      <c r="N421" s="53">
        <f>'Output_Standalone (IDR)'!N445/USD_IDR*Thousands</f>
        <v>-1.0095296630802336E-3</v>
      </c>
      <c r="O421" s="53">
        <f>'Output_Standalone (IDR)'!O445/USD_IDR*Thousands</f>
        <v>-1.0095296630802336E-3</v>
      </c>
      <c r="P421" s="53">
        <f>'Output_Standalone (IDR)'!P445/USD_IDR*Thousands</f>
        <v>-1.0095296630802336E-3</v>
      </c>
      <c r="Q421" s="53">
        <f>'Output_Standalone (IDR)'!Q445/USD_IDR*Thousands</f>
        <v>-1.0095296630802336E-3</v>
      </c>
      <c r="R421" s="53">
        <f>'Output_Standalone (IDR)'!R445/USD_IDR*Thousands</f>
        <v>-1.0095296630802336E-3</v>
      </c>
      <c r="S421" s="53">
        <f>'Output_Standalone (IDR)'!S445/USD_IDR*Thousands</f>
        <v>-1.0095296630802336E-3</v>
      </c>
      <c r="T421" s="53">
        <f>'Output_Standalone (IDR)'!T445/USD_IDR*Thousands</f>
        <v>-1.0095296630802336E-3</v>
      </c>
      <c r="U421" s="53">
        <f>'Output_Standalone (IDR)'!U445/USD_IDR*Thousands</f>
        <v>-1.0095296630802336E-3</v>
      </c>
      <c r="V421" s="53">
        <f>'Output_Standalone (IDR)'!V445/USD_IDR*Thousands</f>
        <v>-1.0095296630802336E-3</v>
      </c>
    </row>
    <row r="422" spans="2:22">
      <c r="B422" s="28" t="s">
        <v>434</v>
      </c>
      <c r="C422" s="28"/>
      <c r="D422" s="28"/>
      <c r="E422" s="28"/>
      <c r="F422" s="28"/>
      <c r="G422" s="28"/>
      <c r="H422" s="28"/>
      <c r="I422" s="49">
        <f>SUM(J422:V422)</f>
        <v>14.259402710852379</v>
      </c>
      <c r="J422" s="47">
        <f t="shared" ref="J422:V422" si="184">SUM(J419,J421)</f>
        <v>0.53858483681394431</v>
      </c>
      <c r="K422" s="47">
        <f t="shared" si="184"/>
        <v>0.58516814090086566</v>
      </c>
      <c r="L422" s="47">
        <f t="shared" si="184"/>
        <v>0.78822299111417427</v>
      </c>
      <c r="M422" s="47">
        <f t="shared" si="184"/>
        <v>0.85524301688182591</v>
      </c>
      <c r="N422" s="47">
        <f t="shared" si="184"/>
        <v>0.92777248764631914</v>
      </c>
      <c r="O422" s="47">
        <f t="shared" si="184"/>
        <v>1.006261608103888</v>
      </c>
      <c r="P422" s="47">
        <f t="shared" si="184"/>
        <v>1.0911973113958005</v>
      </c>
      <c r="Q422" s="47">
        <f t="shared" si="184"/>
        <v>1.183106253716206</v>
      </c>
      <c r="R422" s="47">
        <f t="shared" si="184"/>
        <v>1.2825580530234399</v>
      </c>
      <c r="S422" s="47">
        <f t="shared" si="184"/>
        <v>1.3901687917507033</v>
      </c>
      <c r="T422" s="47">
        <f t="shared" si="184"/>
        <v>1.4611916420704822</v>
      </c>
      <c r="U422" s="47">
        <f t="shared" si="184"/>
        <v>1.5357886208700262</v>
      </c>
      <c r="V422" s="47">
        <f t="shared" si="184"/>
        <v>1.6141389565647053</v>
      </c>
    </row>
    <row r="423" spans="2:22"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</row>
    <row r="424" spans="2:22">
      <c r="B424" t="s">
        <v>881</v>
      </c>
      <c r="I424" s="48">
        <f>SUM(J424:V424)</f>
        <v>0</v>
      </c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</row>
    <row r="425" spans="2:22">
      <c r="B425" s="28" t="s">
        <v>1019</v>
      </c>
      <c r="C425" s="28"/>
      <c r="D425" s="28"/>
      <c r="E425" s="28"/>
      <c r="F425" s="28"/>
      <c r="G425" s="28"/>
      <c r="H425" s="28"/>
      <c r="I425" s="48">
        <f>SUM(J425:V425)</f>
        <v>14.259402710852379</v>
      </c>
      <c r="J425" s="47">
        <f t="shared" ref="J425:V425" si="185">SUM(J422,J424)</f>
        <v>0.53858483681394431</v>
      </c>
      <c r="K425" s="47">
        <f t="shared" si="185"/>
        <v>0.58516814090086566</v>
      </c>
      <c r="L425" s="47">
        <f t="shared" si="185"/>
        <v>0.78822299111417427</v>
      </c>
      <c r="M425" s="47">
        <f t="shared" si="185"/>
        <v>0.85524301688182591</v>
      </c>
      <c r="N425" s="47">
        <f t="shared" si="185"/>
        <v>0.92777248764631914</v>
      </c>
      <c r="O425" s="47">
        <f t="shared" si="185"/>
        <v>1.006261608103888</v>
      </c>
      <c r="P425" s="47">
        <f t="shared" si="185"/>
        <v>1.0911973113958005</v>
      </c>
      <c r="Q425" s="47">
        <f t="shared" si="185"/>
        <v>1.183106253716206</v>
      </c>
      <c r="R425" s="47">
        <f t="shared" si="185"/>
        <v>1.2825580530234399</v>
      </c>
      <c r="S425" s="47">
        <f t="shared" si="185"/>
        <v>1.3901687917507033</v>
      </c>
      <c r="T425" s="47">
        <f t="shared" si="185"/>
        <v>1.4611916420704822</v>
      </c>
      <c r="U425" s="47">
        <f t="shared" si="185"/>
        <v>1.5357886208700262</v>
      </c>
      <c r="V425" s="47">
        <f t="shared" si="185"/>
        <v>1.6141389565647053</v>
      </c>
    </row>
    <row r="426" spans="2:22"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</row>
    <row r="427" spans="2:22">
      <c r="B427" t="s">
        <v>759</v>
      </c>
      <c r="I427" s="48">
        <f>SUM(J427:V427)</f>
        <v>-3.1370685963875244</v>
      </c>
      <c r="J427" s="23">
        <f>-IF(J425&lt;0,0,J425*22%)</f>
        <v>-0.11848866409906775</v>
      </c>
      <c r="K427" s="23">
        <f t="shared" ref="K427:V427" si="186">-IF(K425&lt;0,0,K425*22%)</f>
        <v>-0.12873699099819044</v>
      </c>
      <c r="L427" s="23">
        <f t="shared" si="186"/>
        <v>-0.17340905804511833</v>
      </c>
      <c r="M427" s="23">
        <f t="shared" si="186"/>
        <v>-0.18815346371400171</v>
      </c>
      <c r="N427" s="23">
        <f t="shared" si="186"/>
        <v>-0.2041099472821902</v>
      </c>
      <c r="O427" s="23">
        <f t="shared" si="186"/>
        <v>-0.22137755378285537</v>
      </c>
      <c r="P427" s="23">
        <f t="shared" si="186"/>
        <v>-0.24006340850707611</v>
      </c>
      <c r="Q427" s="23">
        <f t="shared" si="186"/>
        <v>-0.26028337581756533</v>
      </c>
      <c r="R427" s="23">
        <f t="shared" si="186"/>
        <v>-0.2821627716651568</v>
      </c>
      <c r="S427" s="23">
        <f t="shared" si="186"/>
        <v>-0.30583713418515474</v>
      </c>
      <c r="T427" s="23">
        <f t="shared" si="186"/>
        <v>-0.32146216125550608</v>
      </c>
      <c r="U427" s="23">
        <f t="shared" si="186"/>
        <v>-0.33787349659140575</v>
      </c>
      <c r="V427" s="23">
        <f t="shared" si="186"/>
        <v>-0.35511057044423516</v>
      </c>
    </row>
    <row r="428" spans="2:22">
      <c r="B428" s="28" t="s">
        <v>1020</v>
      </c>
      <c r="C428" s="28"/>
      <c r="D428" s="28"/>
      <c r="E428" s="28"/>
      <c r="F428" s="28"/>
      <c r="G428" s="28"/>
      <c r="H428" s="28"/>
      <c r="I428" s="48">
        <f>SUM(J428:V428)</f>
        <v>11.122334114464856</v>
      </c>
      <c r="J428" s="47">
        <f t="shared" ref="J428:V428" si="187">SUM(J425,J427)</f>
        <v>0.42009617271487654</v>
      </c>
      <c r="K428" s="47">
        <f t="shared" si="187"/>
        <v>0.45643114990267519</v>
      </c>
      <c r="L428" s="47">
        <f t="shared" si="187"/>
        <v>0.61481393306905596</v>
      </c>
      <c r="M428" s="47">
        <f t="shared" si="187"/>
        <v>0.66708955316782426</v>
      </c>
      <c r="N428" s="47">
        <f t="shared" si="187"/>
        <v>0.72366254036412891</v>
      </c>
      <c r="O428" s="47">
        <f t="shared" si="187"/>
        <v>0.78488405432103259</v>
      </c>
      <c r="P428" s="47">
        <f t="shared" si="187"/>
        <v>0.85113390288872437</v>
      </c>
      <c r="Q428" s="47">
        <f t="shared" si="187"/>
        <v>0.9228228778986407</v>
      </c>
      <c r="R428" s="47">
        <f t="shared" si="187"/>
        <v>1.000395281358283</v>
      </c>
      <c r="S428" s="47">
        <f t="shared" si="187"/>
        <v>1.0843316575655486</v>
      </c>
      <c r="T428" s="47">
        <f t="shared" si="187"/>
        <v>1.1397294808149763</v>
      </c>
      <c r="U428" s="47">
        <f t="shared" si="187"/>
        <v>1.1979151242786203</v>
      </c>
      <c r="V428" s="47">
        <f t="shared" si="187"/>
        <v>1.2590283861204701</v>
      </c>
    </row>
    <row r="430" spans="2:22">
      <c r="B430" s="407" t="s">
        <v>32</v>
      </c>
      <c r="C430" s="407"/>
      <c r="D430" s="407"/>
      <c r="E430" s="407"/>
      <c r="F430" s="407"/>
      <c r="G430" s="407"/>
      <c r="H430" s="407"/>
      <c r="I430" s="407"/>
      <c r="J430" s="9">
        <f>J$8</f>
        <v>2024</v>
      </c>
      <c r="K430" s="9">
        <f t="shared" ref="K430:V430" si="188">K$8</f>
        <v>2025</v>
      </c>
      <c r="L430" s="9">
        <f t="shared" si="188"/>
        <v>2026</v>
      </c>
      <c r="M430" s="9">
        <f t="shared" si="188"/>
        <v>2027</v>
      </c>
      <c r="N430" s="9">
        <f t="shared" si="188"/>
        <v>2028</v>
      </c>
      <c r="O430" s="9">
        <f t="shared" si="188"/>
        <v>2029</v>
      </c>
      <c r="P430" s="9">
        <f t="shared" si="188"/>
        <v>2030</v>
      </c>
      <c r="Q430" s="9">
        <f t="shared" si="188"/>
        <v>2031</v>
      </c>
      <c r="R430" s="9">
        <f t="shared" si="188"/>
        <v>2032</v>
      </c>
      <c r="S430" s="9">
        <f t="shared" si="188"/>
        <v>2033</v>
      </c>
      <c r="T430" s="9">
        <f t="shared" si="188"/>
        <v>2034</v>
      </c>
      <c r="U430" s="9">
        <f t="shared" si="188"/>
        <v>2035</v>
      </c>
      <c r="V430" s="9">
        <f t="shared" si="188"/>
        <v>2036</v>
      </c>
    </row>
    <row r="431" spans="2:22">
      <c r="B431" s="55" t="s">
        <v>1021</v>
      </c>
      <c r="C431" s="51"/>
      <c r="D431" s="51"/>
      <c r="E431" s="51"/>
      <c r="F431" s="51"/>
      <c r="G431" s="51"/>
      <c r="H431" s="51"/>
      <c r="I431" s="51"/>
      <c r="J431" s="56">
        <f>IFERROR(J416/J414,0)</f>
        <v>0.49680030320665375</v>
      </c>
      <c r="K431" s="56">
        <f t="shared" ref="K431:V431" si="189">IFERROR(K416/K414,0)</f>
        <v>0.49741725148782212</v>
      </c>
      <c r="L431" s="56">
        <f t="shared" si="189"/>
        <v>0.50041538389117901</v>
      </c>
      <c r="M431" s="56">
        <f t="shared" si="189"/>
        <v>0.50087689874485719</v>
      </c>
      <c r="N431" s="56">
        <f t="shared" si="189"/>
        <v>0.50131857038013872</v>
      </c>
      <c r="O431" s="56">
        <f t="shared" si="189"/>
        <v>0.50174125197284913</v>
      </c>
      <c r="P431" s="56">
        <f t="shared" si="189"/>
        <v>0.50214576001580369</v>
      </c>
      <c r="Q431" s="56">
        <f t="shared" si="189"/>
        <v>0.50253287589602369</v>
      </c>
      <c r="R431" s="56">
        <f t="shared" si="189"/>
        <v>0.50290334740414</v>
      </c>
      <c r="S431" s="56">
        <f t="shared" si="189"/>
        <v>0.50325789017889755</v>
      </c>
      <c r="T431" s="56">
        <f t="shared" si="189"/>
        <v>0.50337062497824436</v>
      </c>
      <c r="U431" s="56">
        <f t="shared" si="189"/>
        <v>0.50348174928045786</v>
      </c>
      <c r="V431" s="56">
        <f t="shared" si="189"/>
        <v>0.50359128609263948</v>
      </c>
    </row>
    <row r="432" spans="2:22">
      <c r="B432" s="55" t="s">
        <v>1022</v>
      </c>
      <c r="C432" s="51"/>
      <c r="D432" s="51"/>
      <c r="E432" s="51"/>
      <c r="F432" s="51"/>
      <c r="G432" s="51"/>
      <c r="H432" s="51"/>
      <c r="I432" s="51"/>
      <c r="J432" s="56">
        <f>IFERROR(J419/J414,0)</f>
        <v>0.47410380814359182</v>
      </c>
      <c r="K432" s="52">
        <f t="shared" ref="K432:T432" si="190">IFERROR(K422/K416,0)</f>
        <v>0.95573907614527975</v>
      </c>
      <c r="L432" s="52">
        <f t="shared" si="190"/>
        <v>0.96645293158952672</v>
      </c>
      <c r="M432" s="52">
        <f t="shared" si="190"/>
        <v>0.96871109324380122</v>
      </c>
      <c r="N432" s="52">
        <f t="shared" si="190"/>
        <v>0.97081596910572443</v>
      </c>
      <c r="O432" s="52">
        <f t="shared" si="190"/>
        <v>0.97277809976976204</v>
      </c>
      <c r="P432" s="52">
        <f t="shared" si="190"/>
        <v>0.97460728656066997</v>
      </c>
      <c r="Q432" s="52">
        <f t="shared" si="190"/>
        <v>0.97631264493601266</v>
      </c>
      <c r="R432" s="52">
        <f t="shared" si="190"/>
        <v>0.97790265386338437</v>
      </c>
      <c r="S432" s="52">
        <f t="shared" si="190"/>
        <v>0.97938520149384856</v>
      </c>
      <c r="T432" s="52">
        <f t="shared" si="190"/>
        <v>0.98018174018096083</v>
      </c>
      <c r="U432" s="52">
        <f>IFERROR(U422/U416,0)</f>
        <v>0.98094737711913826</v>
      </c>
      <c r="V432" s="52">
        <f>IFERROR(V422/V416,0)</f>
        <v>0.98168331734699876</v>
      </c>
    </row>
    <row r="433" spans="2:22">
      <c r="B433" s="55" t="s">
        <v>990</v>
      </c>
      <c r="C433" s="51"/>
      <c r="D433" s="51"/>
      <c r="E433" s="51"/>
      <c r="F433" s="51"/>
      <c r="G433" s="51"/>
      <c r="H433" s="51"/>
      <c r="I433" s="51"/>
      <c r="J433" s="52">
        <f>IFERROR(J428/J414,0)</f>
        <v>0.36910910796017637</v>
      </c>
      <c r="K433" s="52">
        <f t="shared" ref="K433:V433" si="191">IFERROR(K428/K414,0)</f>
        <v>0.37081286142864239</v>
      </c>
      <c r="L433" s="52">
        <f t="shared" si="191"/>
        <v>0.37722977352382014</v>
      </c>
      <c r="M433" s="52">
        <f t="shared" si="191"/>
        <v>0.3784599063676824</v>
      </c>
      <c r="N433" s="52">
        <f t="shared" si="191"/>
        <v>0.37961669751274679</v>
      </c>
      <c r="O433" s="52">
        <f t="shared" si="191"/>
        <v>0.38070466330279468</v>
      </c>
      <c r="P433" s="52">
        <f t="shared" si="191"/>
        <v>0.3817280349690193</v>
      </c>
      <c r="Q433" s="52">
        <f t="shared" si="191"/>
        <v>0.38269077696201137</v>
      </c>
      <c r="R433" s="52">
        <f t="shared" si="191"/>
        <v>0.38359660408936458</v>
      </c>
      <c r="S433" s="52">
        <f t="shared" si="191"/>
        <v>0.38444899753745837</v>
      </c>
      <c r="T433" s="52">
        <f t="shared" si="191"/>
        <v>0.38484786221477973</v>
      </c>
      <c r="U433" s="52">
        <f t="shared" si="191"/>
        <v>0.38523349907953613</v>
      </c>
      <c r="V433" s="52">
        <f t="shared" si="191"/>
        <v>0.38560638816840176</v>
      </c>
    </row>
    <row r="435" spans="2:22" ht="24" thickBot="1">
      <c r="B435" s="14" t="s">
        <v>1042</v>
      </c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</row>
    <row r="437" spans="2:22">
      <c r="B437" s="407" t="s">
        <v>623</v>
      </c>
      <c r="I437" s="48">
        <f>SUM(J437:V437)</f>
        <v>67.792602438463206</v>
      </c>
      <c r="J437" s="458">
        <f>SUM(J345,J368,J391,J414)</f>
        <v>5.407234697863748</v>
      </c>
      <c r="K437" s="23">
        <f t="shared" ref="K437:V438" si="192">SUM(K345,K368,K391,K414)</f>
        <v>4.0183609611514051</v>
      </c>
      <c r="L437" s="23">
        <f t="shared" si="192"/>
        <v>3.8112344805124554</v>
      </c>
      <c r="M437" s="23">
        <f t="shared" si="192"/>
        <v>4.1105260029610031</v>
      </c>
      <c r="N437" s="23">
        <f t="shared" si="192"/>
        <v>4.4334035094439255</v>
      </c>
      <c r="O437" s="23">
        <f t="shared" si="192"/>
        <v>4.7817318508768096</v>
      </c>
      <c r="P437" s="23">
        <f t="shared" si="192"/>
        <v>5.1575237761618924</v>
      </c>
      <c r="Q437" s="23">
        <f t="shared" si="192"/>
        <v>5.562951694853739</v>
      </c>
      <c r="R437" s="23">
        <f t="shared" si="192"/>
        <v>6.0003603777615204</v>
      </c>
      <c r="S437" s="23">
        <f t="shared" si="192"/>
        <v>6.4722806704544213</v>
      </c>
      <c r="T437" s="23">
        <f t="shared" si="192"/>
        <v>5.7293477992384183</v>
      </c>
      <c r="U437" s="23">
        <f t="shared" si="192"/>
        <v>6.0077975449683549</v>
      </c>
      <c r="V437" s="23">
        <f t="shared" si="192"/>
        <v>6.2998490722155083</v>
      </c>
    </row>
    <row r="438" spans="2:22">
      <c r="B438" s="407" t="s">
        <v>473</v>
      </c>
      <c r="I438" s="48">
        <f>SUM(J438:V438)</f>
        <v>-46.298992406686239</v>
      </c>
      <c r="J438" s="23">
        <f>SUM(J346,J369,J392,J415)</f>
        <v>-4.3751249010880606</v>
      </c>
      <c r="K438" s="23">
        <f t="shared" si="192"/>
        <v>-3.0186401612931562</v>
      </c>
      <c r="L438" s="23">
        <f t="shared" si="192"/>
        <v>-2.6392016143040751</v>
      </c>
      <c r="M438" s="23">
        <f t="shared" si="192"/>
        <v>-2.8321793448974812</v>
      </c>
      <c r="N438" s="23">
        <f t="shared" si="192"/>
        <v>-3.0397684709767039</v>
      </c>
      <c r="O438" s="23">
        <f t="shared" si="192"/>
        <v>-3.2630962394068774</v>
      </c>
      <c r="P438" s="23">
        <f t="shared" si="192"/>
        <v>-3.5033777964815429</v>
      </c>
      <c r="Q438" s="23">
        <f t="shared" si="192"/>
        <v>-3.7619230884256787</v>
      </c>
      <c r="R438" s="23">
        <f t="shared" si="192"/>
        <v>-4.0401443062233797</v>
      </c>
      <c r="S438" s="23">
        <f t="shared" si="192"/>
        <v>-4.3395639178701231</v>
      </c>
      <c r="T438" s="23">
        <f t="shared" si="192"/>
        <v>-3.655303276637385</v>
      </c>
      <c r="U438" s="23">
        <f t="shared" si="192"/>
        <v>-3.8259651390675575</v>
      </c>
      <c r="V438" s="23">
        <f t="shared" si="192"/>
        <v>-4.0047041500142182</v>
      </c>
    </row>
    <row r="439" spans="2:22">
      <c r="B439" s="28" t="s">
        <v>1017</v>
      </c>
      <c r="C439" s="28"/>
      <c r="D439" s="28"/>
      <c r="E439" s="28"/>
      <c r="F439" s="28"/>
      <c r="G439" s="28"/>
      <c r="H439" s="28"/>
      <c r="I439" s="49">
        <f>SUM(J439:V439)</f>
        <v>21.49361003177696</v>
      </c>
      <c r="J439" s="47">
        <f t="shared" ref="J439:V439" si="193">SUM(J437:J438)</f>
        <v>1.0321097967756874</v>
      </c>
      <c r="K439" s="47">
        <f t="shared" si="193"/>
        <v>0.99972079985824891</v>
      </c>
      <c r="L439" s="47">
        <f t="shared" si="193"/>
        <v>1.1720328662083803</v>
      </c>
      <c r="M439" s="47">
        <f t="shared" si="193"/>
        <v>1.2783466580635219</v>
      </c>
      <c r="N439" s="47">
        <f t="shared" si="193"/>
        <v>1.3936350384672216</v>
      </c>
      <c r="O439" s="47">
        <f t="shared" si="193"/>
        <v>1.5186356114699322</v>
      </c>
      <c r="P439" s="47">
        <f t="shared" si="193"/>
        <v>1.6541459796803495</v>
      </c>
      <c r="Q439" s="47">
        <f t="shared" si="193"/>
        <v>1.8010286064280603</v>
      </c>
      <c r="R439" s="47">
        <f t="shared" si="193"/>
        <v>1.9602160715381407</v>
      </c>
      <c r="S439" s="47">
        <f t="shared" si="193"/>
        <v>2.1327167525842983</v>
      </c>
      <c r="T439" s="47">
        <f t="shared" si="193"/>
        <v>2.0740445226010333</v>
      </c>
      <c r="U439" s="47">
        <f t="shared" si="193"/>
        <v>2.1818324059007974</v>
      </c>
      <c r="V439" s="47">
        <f t="shared" si="193"/>
        <v>2.2951449222012901</v>
      </c>
    </row>
    <row r="440" spans="2:22">
      <c r="L440" s="1"/>
    </row>
    <row r="441" spans="2:22">
      <c r="B441" t="s">
        <v>852</v>
      </c>
      <c r="I441" s="48">
        <f>SUM(J441:V441)</f>
        <v>-1.9457732261280563</v>
      </c>
      <c r="J441" s="53">
        <f>SUM(J349,J372,J395,J418)</f>
        <v>-0.14090281728574239</v>
      </c>
      <c r="K441" s="53">
        <f t="shared" ref="K441:V441" si="194">SUM(K349,K372,K395,K418)</f>
        <v>-0.14231184545859982</v>
      </c>
      <c r="L441" s="53">
        <f t="shared" si="194"/>
        <v>-0.1437349639131858</v>
      </c>
      <c r="M441" s="53">
        <f t="shared" si="194"/>
        <v>-0.14517231355231763</v>
      </c>
      <c r="N441" s="53">
        <f t="shared" si="194"/>
        <v>-0.14662403668784083</v>
      </c>
      <c r="O441" s="53">
        <f t="shared" si="194"/>
        <v>-0.14809027705471922</v>
      </c>
      <c r="P441" s="53">
        <f t="shared" si="194"/>
        <v>-0.14957117982526644</v>
      </c>
      <c r="Q441" s="53">
        <f t="shared" si="194"/>
        <v>-0.15106689162351911</v>
      </c>
      <c r="R441" s="53">
        <f t="shared" si="194"/>
        <v>-0.1525775605397543</v>
      </c>
      <c r="S441" s="53">
        <f t="shared" si="194"/>
        <v>-0.15410333614515181</v>
      </c>
      <c r="T441" s="53">
        <f t="shared" si="194"/>
        <v>-0.15564436950660335</v>
      </c>
      <c r="U441" s="53">
        <f t="shared" si="194"/>
        <v>-0.1572008132016694</v>
      </c>
      <c r="V441" s="53">
        <f t="shared" si="194"/>
        <v>-0.15877282133368611</v>
      </c>
    </row>
    <row r="442" spans="2:22">
      <c r="B442" s="28" t="s">
        <v>139</v>
      </c>
      <c r="C442" s="28"/>
      <c r="D442" s="28"/>
      <c r="E442" s="28"/>
      <c r="F442" s="28"/>
      <c r="G442" s="28"/>
      <c r="H442" s="28"/>
      <c r="I442" s="49">
        <f>SUM(J442:V442)</f>
        <v>19.547836805648906</v>
      </c>
      <c r="J442" s="47">
        <f t="shared" ref="J442:V442" si="195">SUM(J439,J441)</f>
        <v>0.89120697948994498</v>
      </c>
      <c r="K442" s="47">
        <f t="shared" si="195"/>
        <v>0.85740895439964904</v>
      </c>
      <c r="L442" s="47">
        <f t="shared" si="195"/>
        <v>1.0282979022951946</v>
      </c>
      <c r="M442" s="47">
        <f t="shared" si="195"/>
        <v>1.1331743445112044</v>
      </c>
      <c r="N442" s="47">
        <f t="shared" si="195"/>
        <v>1.2470110017793807</v>
      </c>
      <c r="O442" s="47">
        <f t="shared" si="195"/>
        <v>1.370545334415213</v>
      </c>
      <c r="P442" s="47">
        <f t="shared" si="195"/>
        <v>1.5045747998550831</v>
      </c>
      <c r="Q442" s="47">
        <f t="shared" si="195"/>
        <v>1.6499617148045411</v>
      </c>
      <c r="R442" s="47">
        <f t="shared" si="195"/>
        <v>1.8076385109983863</v>
      </c>
      <c r="S442" s="47">
        <f t="shared" si="195"/>
        <v>1.9786134164391465</v>
      </c>
      <c r="T442" s="47">
        <f t="shared" si="195"/>
        <v>1.9184001530944299</v>
      </c>
      <c r="U442" s="47">
        <f t="shared" si="195"/>
        <v>2.0246315926991278</v>
      </c>
      <c r="V442" s="47">
        <f t="shared" si="195"/>
        <v>2.1363721008676038</v>
      </c>
    </row>
    <row r="444" spans="2:22">
      <c r="B444" t="s">
        <v>1018</v>
      </c>
      <c r="I444" s="49">
        <f>SUM(J444:V444)</f>
        <v>-0.35126009219489707</v>
      </c>
      <c r="J444" s="53">
        <f>SUM(J352,J375,J398,J421)</f>
        <v>-2.7020007091915158E-2</v>
      </c>
      <c r="K444" s="53">
        <f t="shared" ref="K444:V444" si="196">SUM(K352,K375,K398,K421)</f>
        <v>-2.7020007091915158E-2</v>
      </c>
      <c r="L444" s="53">
        <f t="shared" si="196"/>
        <v>-2.7020007091915158E-2</v>
      </c>
      <c r="M444" s="53">
        <f t="shared" si="196"/>
        <v>-2.7020007091915158E-2</v>
      </c>
      <c r="N444" s="53">
        <f t="shared" si="196"/>
        <v>-2.7020007091915158E-2</v>
      </c>
      <c r="O444" s="53">
        <f t="shared" si="196"/>
        <v>-2.7020007091915158E-2</v>
      </c>
      <c r="P444" s="53">
        <f t="shared" si="196"/>
        <v>-2.7020007091915158E-2</v>
      </c>
      <c r="Q444" s="53">
        <f t="shared" si="196"/>
        <v>-2.7020007091915158E-2</v>
      </c>
      <c r="R444" s="53">
        <f t="shared" si="196"/>
        <v>-2.7020007091915158E-2</v>
      </c>
      <c r="S444" s="53">
        <f t="shared" si="196"/>
        <v>-2.7020007091915158E-2</v>
      </c>
      <c r="T444" s="53">
        <f t="shared" si="196"/>
        <v>-2.7020007091915158E-2</v>
      </c>
      <c r="U444" s="53">
        <f t="shared" si="196"/>
        <v>-2.7020007091915158E-2</v>
      </c>
      <c r="V444" s="53">
        <f t="shared" si="196"/>
        <v>-2.7020007091915158E-2</v>
      </c>
    </row>
    <row r="445" spans="2:22">
      <c r="B445" s="28" t="s">
        <v>434</v>
      </c>
      <c r="C445" s="28"/>
      <c r="D445" s="28"/>
      <c r="E445" s="28"/>
      <c r="F445" s="28"/>
      <c r="G445" s="28"/>
      <c r="H445" s="28"/>
      <c r="I445" s="49">
        <f>SUM(J445:V445)</f>
        <v>19.196576713454004</v>
      </c>
      <c r="J445" s="47">
        <f t="shared" ref="J445:V445" si="197">SUM(J442,J444)</f>
        <v>0.86418697239802977</v>
      </c>
      <c r="K445" s="47">
        <f t="shared" si="197"/>
        <v>0.83038894730773383</v>
      </c>
      <c r="L445" s="47">
        <f t="shared" si="197"/>
        <v>1.0012778952032795</v>
      </c>
      <c r="M445" s="47">
        <f t="shared" si="197"/>
        <v>1.1061543374192893</v>
      </c>
      <c r="N445" s="47">
        <f t="shared" si="197"/>
        <v>1.2199909946874656</v>
      </c>
      <c r="O445" s="47">
        <f t="shared" si="197"/>
        <v>1.3435253273232979</v>
      </c>
      <c r="P445" s="47">
        <f t="shared" si="197"/>
        <v>1.477554792763168</v>
      </c>
      <c r="Q445" s="47">
        <f t="shared" si="197"/>
        <v>1.622941707712626</v>
      </c>
      <c r="R445" s="47">
        <f t="shared" si="197"/>
        <v>1.7806185039064713</v>
      </c>
      <c r="S445" s="47">
        <f t="shared" si="197"/>
        <v>1.9515934093472314</v>
      </c>
      <c r="T445" s="47">
        <f t="shared" si="197"/>
        <v>1.8913801460025148</v>
      </c>
      <c r="U445" s="47">
        <f t="shared" si="197"/>
        <v>1.9976115856072127</v>
      </c>
      <c r="V445" s="47">
        <f t="shared" si="197"/>
        <v>2.1093520937756884</v>
      </c>
    </row>
    <row r="446" spans="2:22"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</row>
    <row r="447" spans="2:22">
      <c r="B447" t="s">
        <v>881</v>
      </c>
      <c r="I447" s="48">
        <f>SUM(J447:V447)</f>
        <v>0</v>
      </c>
      <c r="J447" s="43">
        <f>SUM(J355,J378,J401,J424)</f>
        <v>0</v>
      </c>
      <c r="K447" s="43">
        <f t="shared" ref="K447:V447" si="198">SUM(K355,K378,K401,K424)</f>
        <v>0</v>
      </c>
      <c r="L447" s="43">
        <f t="shared" si="198"/>
        <v>0</v>
      </c>
      <c r="M447" s="43">
        <f t="shared" si="198"/>
        <v>0</v>
      </c>
      <c r="N447" s="43">
        <f t="shared" si="198"/>
        <v>0</v>
      </c>
      <c r="O447" s="43">
        <f t="shared" si="198"/>
        <v>0</v>
      </c>
      <c r="P447" s="43">
        <f t="shared" si="198"/>
        <v>0</v>
      </c>
      <c r="Q447" s="43">
        <f t="shared" si="198"/>
        <v>0</v>
      </c>
      <c r="R447" s="43">
        <f t="shared" si="198"/>
        <v>0</v>
      </c>
      <c r="S447" s="43">
        <f t="shared" si="198"/>
        <v>0</v>
      </c>
      <c r="T447" s="43">
        <f t="shared" si="198"/>
        <v>0</v>
      </c>
      <c r="U447" s="43">
        <f t="shared" si="198"/>
        <v>0</v>
      </c>
      <c r="V447" s="43">
        <f t="shared" si="198"/>
        <v>0</v>
      </c>
    </row>
    <row r="448" spans="2:22">
      <c r="B448" s="28" t="s">
        <v>1019</v>
      </c>
      <c r="C448" s="28"/>
      <c r="D448" s="28"/>
      <c r="E448" s="28"/>
      <c r="F448" s="28"/>
      <c r="G448" s="28"/>
      <c r="H448" s="28"/>
      <c r="I448" s="48">
        <f>SUM(J448:V448)</f>
        <v>19.196576713454004</v>
      </c>
      <c r="J448" s="47">
        <f t="shared" ref="J448:V448" si="199">SUM(J445,J447)</f>
        <v>0.86418697239802977</v>
      </c>
      <c r="K448" s="47">
        <f t="shared" si="199"/>
        <v>0.83038894730773383</v>
      </c>
      <c r="L448" s="47">
        <f t="shared" si="199"/>
        <v>1.0012778952032795</v>
      </c>
      <c r="M448" s="47">
        <f t="shared" si="199"/>
        <v>1.1061543374192893</v>
      </c>
      <c r="N448" s="47">
        <f t="shared" si="199"/>
        <v>1.2199909946874656</v>
      </c>
      <c r="O448" s="47">
        <f t="shared" si="199"/>
        <v>1.3435253273232979</v>
      </c>
      <c r="P448" s="47">
        <f t="shared" si="199"/>
        <v>1.477554792763168</v>
      </c>
      <c r="Q448" s="47">
        <f t="shared" si="199"/>
        <v>1.622941707712626</v>
      </c>
      <c r="R448" s="47">
        <f t="shared" si="199"/>
        <v>1.7806185039064713</v>
      </c>
      <c r="S448" s="47">
        <f t="shared" si="199"/>
        <v>1.9515934093472314</v>
      </c>
      <c r="T448" s="47">
        <f t="shared" si="199"/>
        <v>1.8913801460025148</v>
      </c>
      <c r="U448" s="47">
        <f t="shared" si="199"/>
        <v>1.9976115856072127</v>
      </c>
      <c r="V448" s="47">
        <f t="shared" si="199"/>
        <v>2.1093520937756884</v>
      </c>
    </row>
    <row r="449" spans="2:22"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</row>
    <row r="450" spans="2:22">
      <c r="B450" t="s">
        <v>759</v>
      </c>
      <c r="I450" s="48">
        <f>SUM(J450:V450)</f>
        <v>-4.2232468769598821</v>
      </c>
      <c r="J450" s="23">
        <f>-IF(J448&lt;0,0,J448*22%)</f>
        <v>-0.19012113392756655</v>
      </c>
      <c r="K450" s="23">
        <f t="shared" ref="K450:V450" si="200">-IF(K448&lt;0,0,K448*22%)</f>
        <v>-0.18268556840770145</v>
      </c>
      <c r="L450" s="23">
        <f t="shared" si="200"/>
        <v>-0.22028113694472148</v>
      </c>
      <c r="M450" s="23">
        <f t="shared" si="200"/>
        <v>-0.24335395423224362</v>
      </c>
      <c r="N450" s="23">
        <f t="shared" si="200"/>
        <v>-0.26839801883124242</v>
      </c>
      <c r="O450" s="23">
        <f t="shared" si="200"/>
        <v>-0.29557557201112555</v>
      </c>
      <c r="P450" s="23">
        <f t="shared" si="200"/>
        <v>-0.32506205440789698</v>
      </c>
      <c r="Q450" s="23">
        <f t="shared" si="200"/>
        <v>-0.35704717569677774</v>
      </c>
      <c r="R450" s="23">
        <f t="shared" si="200"/>
        <v>-0.39173607085942369</v>
      </c>
      <c r="S450" s="23">
        <f t="shared" si="200"/>
        <v>-0.42935055005639089</v>
      </c>
      <c r="T450" s="23">
        <f t="shared" si="200"/>
        <v>-0.41610363212055324</v>
      </c>
      <c r="U450" s="23">
        <f t="shared" si="200"/>
        <v>-0.43947454883358683</v>
      </c>
      <c r="V450" s="23">
        <f t="shared" si="200"/>
        <v>-0.46405746063065145</v>
      </c>
    </row>
    <row r="451" spans="2:22">
      <c r="B451" s="28" t="s">
        <v>1020</v>
      </c>
      <c r="C451" s="28"/>
      <c r="D451" s="28"/>
      <c r="E451" s="28"/>
      <c r="F451" s="28"/>
      <c r="G451" s="28"/>
      <c r="H451" s="28"/>
      <c r="I451" s="48">
        <f>SUM(J451:V451)</f>
        <v>14.973329836494125</v>
      </c>
      <c r="J451" s="47">
        <f t="shared" ref="J451:V451" si="201">SUM(J448,J450)</f>
        <v>0.6740658384704632</v>
      </c>
      <c r="K451" s="47">
        <f t="shared" si="201"/>
        <v>0.64770337890003238</v>
      </c>
      <c r="L451" s="47">
        <f t="shared" si="201"/>
        <v>0.78099675825855797</v>
      </c>
      <c r="M451" s="47">
        <f t="shared" si="201"/>
        <v>0.86280038318704566</v>
      </c>
      <c r="N451" s="47">
        <f t="shared" si="201"/>
        <v>0.95159297585622316</v>
      </c>
      <c r="O451" s="47">
        <f t="shared" si="201"/>
        <v>1.0479497553121724</v>
      </c>
      <c r="P451" s="47">
        <f t="shared" si="201"/>
        <v>1.152492738355271</v>
      </c>
      <c r="Q451" s="47">
        <f t="shared" si="201"/>
        <v>1.2658945320158483</v>
      </c>
      <c r="R451" s="47">
        <f t="shared" si="201"/>
        <v>1.3888824330470475</v>
      </c>
      <c r="S451" s="47">
        <f t="shared" si="201"/>
        <v>1.5222428592908406</v>
      </c>
      <c r="T451" s="47">
        <f t="shared" si="201"/>
        <v>1.4752765138819615</v>
      </c>
      <c r="U451" s="47">
        <f t="shared" si="201"/>
        <v>1.5581370367736258</v>
      </c>
      <c r="V451" s="47">
        <f t="shared" si="201"/>
        <v>1.6452946331450371</v>
      </c>
    </row>
    <row r="453" spans="2:22">
      <c r="B453" s="407" t="s">
        <v>32</v>
      </c>
      <c r="C453" s="407"/>
      <c r="D453" s="407"/>
      <c r="E453" s="407"/>
      <c r="F453" s="407"/>
      <c r="G453" s="407"/>
      <c r="H453" s="407"/>
      <c r="I453" s="407"/>
      <c r="J453" s="9">
        <f>J$8</f>
        <v>2024</v>
      </c>
      <c r="K453" s="9">
        <f t="shared" ref="K453:V453" si="202">K$8</f>
        <v>2025</v>
      </c>
      <c r="L453" s="9">
        <f t="shared" si="202"/>
        <v>2026</v>
      </c>
      <c r="M453" s="9">
        <f t="shared" si="202"/>
        <v>2027</v>
      </c>
      <c r="N453" s="9">
        <f t="shared" si="202"/>
        <v>2028</v>
      </c>
      <c r="O453" s="9">
        <f t="shared" si="202"/>
        <v>2029</v>
      </c>
      <c r="P453" s="9">
        <f t="shared" si="202"/>
        <v>2030</v>
      </c>
      <c r="Q453" s="9">
        <f t="shared" si="202"/>
        <v>2031</v>
      </c>
      <c r="R453" s="9">
        <f t="shared" si="202"/>
        <v>2032</v>
      </c>
      <c r="S453" s="9">
        <f t="shared" si="202"/>
        <v>2033</v>
      </c>
      <c r="T453" s="9">
        <f t="shared" si="202"/>
        <v>2034</v>
      </c>
      <c r="U453" s="9">
        <f t="shared" si="202"/>
        <v>2035</v>
      </c>
      <c r="V453" s="9">
        <f t="shared" si="202"/>
        <v>2036</v>
      </c>
    </row>
    <row r="454" spans="2:22">
      <c r="B454" s="55" t="s">
        <v>1021</v>
      </c>
      <c r="C454" s="51"/>
      <c r="D454" s="51"/>
      <c r="E454" s="51"/>
      <c r="F454" s="51"/>
      <c r="G454" s="51"/>
      <c r="H454" s="51"/>
      <c r="I454" s="51"/>
      <c r="J454" s="56">
        <f>IFERROR(J439/J437,0)</f>
        <v>0.19087571641442641</v>
      </c>
      <c r="K454" s="56">
        <f t="shared" ref="K454:V454" si="203">IFERROR(K439/K437,0)</f>
        <v>0.24878820233506174</v>
      </c>
      <c r="L454" s="56">
        <f t="shared" si="203"/>
        <v>0.30752053493459941</v>
      </c>
      <c r="M454" s="56">
        <f t="shared" si="203"/>
        <v>0.31099344880501167</v>
      </c>
      <c r="N454" s="56">
        <f t="shared" si="203"/>
        <v>0.31434879218607892</v>
      </c>
      <c r="O454" s="56">
        <f t="shared" si="203"/>
        <v>0.31759112782358662</v>
      </c>
      <c r="P454" s="56">
        <f t="shared" si="203"/>
        <v>0.32072483840517085</v>
      </c>
      <c r="Q454" s="56">
        <f t="shared" si="203"/>
        <v>0.32375413363631822</v>
      </c>
      <c r="R454" s="56">
        <f t="shared" si="203"/>
        <v>0.32668305703821976</v>
      </c>
      <c r="S454" s="56">
        <f t="shared" si="203"/>
        <v>0.32951549247856698</v>
      </c>
      <c r="T454" s="56">
        <f t="shared" si="203"/>
        <v>0.36200359888724659</v>
      </c>
      <c r="U454" s="56">
        <f t="shared" si="203"/>
        <v>0.36316676611849608</v>
      </c>
      <c r="V454" s="56">
        <f t="shared" si="203"/>
        <v>0.36431744568670149</v>
      </c>
    </row>
    <row r="455" spans="2:22">
      <c r="B455" s="55" t="s">
        <v>1022</v>
      </c>
      <c r="C455" s="51"/>
      <c r="D455" s="51"/>
      <c r="E455" s="51"/>
      <c r="F455" s="51"/>
      <c r="G455" s="51"/>
      <c r="H455" s="51"/>
      <c r="I455" s="51"/>
      <c r="J455" s="56">
        <f>IFERROR(J442/J437,0)</f>
        <v>0.16481751381016191</v>
      </c>
      <c r="K455" s="52">
        <f t="shared" ref="K455:T455" si="204">IFERROR(K445/K439,0)</f>
        <v>0.83062085676868502</v>
      </c>
      <c r="L455" s="52">
        <f t="shared" si="204"/>
        <v>0.85430871784550988</v>
      </c>
      <c r="M455" s="52">
        <f t="shared" si="204"/>
        <v>0.86530076207569961</v>
      </c>
      <c r="N455" s="52">
        <f t="shared" si="204"/>
        <v>0.87540206798277909</v>
      </c>
      <c r="O455" s="52">
        <f t="shared" si="204"/>
        <v>0.88469236278665964</v>
      </c>
      <c r="P455" s="52">
        <f t="shared" si="204"/>
        <v>0.89324328742055381</v>
      </c>
      <c r="Q455" s="52">
        <f t="shared" si="204"/>
        <v>0.90111933920437282</v>
      </c>
      <c r="R455" s="52">
        <f t="shared" si="204"/>
        <v>0.90837868832962732</v>
      </c>
      <c r="S455" s="52">
        <f t="shared" si="204"/>
        <v>0.91507388732348427</v>
      </c>
      <c r="T455" s="52">
        <f t="shared" si="204"/>
        <v>0.91192842072192293</v>
      </c>
      <c r="U455" s="52">
        <f>IFERROR(U445/U439,0)</f>
        <v>0.91556600782197717</v>
      </c>
      <c r="V455" s="52">
        <f>IFERROR(V445/V439,0)</f>
        <v>0.91904963097170944</v>
      </c>
    </row>
    <row r="456" spans="2:22">
      <c r="B456" s="55" t="s">
        <v>990</v>
      </c>
      <c r="C456" s="51"/>
      <c r="D456" s="51"/>
      <c r="E456" s="51"/>
      <c r="F456" s="51"/>
      <c r="G456" s="51"/>
      <c r="H456" s="51"/>
      <c r="I456" s="51"/>
      <c r="J456" s="52">
        <f>IFERROR(J451/J437,0)</f>
        <v>0.12465999279387084</v>
      </c>
      <c r="K456" s="52">
        <f t="shared" ref="K456:V456" si="205">IFERROR(K451/K437,0)</f>
        <v>0.16118596242644215</v>
      </c>
      <c r="L456" s="52">
        <f t="shared" si="205"/>
        <v>0.20491962965069149</v>
      </c>
      <c r="M456" s="52">
        <f t="shared" si="205"/>
        <v>0.20990023723619081</v>
      </c>
      <c r="N456" s="52">
        <f t="shared" si="205"/>
        <v>0.21464163454311425</v>
      </c>
      <c r="O456" s="52">
        <f t="shared" si="205"/>
        <v>0.21915694731397653</v>
      </c>
      <c r="P456" s="52">
        <f t="shared" si="205"/>
        <v>0.22345854103127935</v>
      </c>
      <c r="Q456" s="52">
        <f t="shared" si="205"/>
        <v>0.22755806655429375</v>
      </c>
      <c r="R456" s="52">
        <f t="shared" si="205"/>
        <v>0.23146650294447491</v>
      </c>
      <c r="S456" s="52">
        <f t="shared" si="205"/>
        <v>0.23519419765582622</v>
      </c>
      <c r="T456" s="52">
        <f t="shared" si="205"/>
        <v>0.25749466877854138</v>
      </c>
      <c r="U456" s="52">
        <f t="shared" si="205"/>
        <v>0.25935245405840868</v>
      </c>
      <c r="V456" s="52">
        <f t="shared" si="205"/>
        <v>0.26116413493163665</v>
      </c>
    </row>
    <row r="458" spans="2:22" ht="24" thickBot="1">
      <c r="B458" s="14" t="s">
        <v>1043</v>
      </c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</row>
    <row r="459" spans="2:22">
      <c r="B459" s="2" t="s">
        <v>29</v>
      </c>
      <c r="F459" s="6">
        <f>Output_FSL!$F$40</f>
        <v>0</v>
      </c>
    </row>
    <row r="460" spans="2:22">
      <c r="B460" s="407" t="s">
        <v>623</v>
      </c>
      <c r="I460" s="48">
        <f>SUM(J460:V460)</f>
        <v>0</v>
      </c>
      <c r="J460" s="23">
        <f>'Output_Standalone (IDR)'!J484/USD_IDR*Thousands</f>
        <v>0</v>
      </c>
      <c r="K460" s="23">
        <f>'Output_Standalone (IDR)'!K484/USD_IDR*Thousands</f>
        <v>0</v>
      </c>
      <c r="L460" s="23">
        <f>'Output_Standalone (IDR)'!L484/USD_IDR*Thousands</f>
        <v>0</v>
      </c>
      <c r="M460" s="23">
        <f>'Output_Standalone (IDR)'!M484/USD_IDR*Thousands</f>
        <v>0</v>
      </c>
      <c r="N460" s="23">
        <f>'Output_Standalone (IDR)'!N484/USD_IDR*Thousands</f>
        <v>0</v>
      </c>
      <c r="O460" s="23">
        <f>'Output_Standalone (IDR)'!O484/USD_IDR*Thousands</f>
        <v>0</v>
      </c>
      <c r="P460" s="23">
        <f>'Output_Standalone (IDR)'!P484/USD_IDR*Thousands</f>
        <v>0</v>
      </c>
      <c r="Q460" s="23">
        <f>'Output_Standalone (IDR)'!Q484/USD_IDR*Thousands</f>
        <v>0</v>
      </c>
      <c r="R460" s="23">
        <f>'Output_Standalone (IDR)'!R484/USD_IDR*Thousands</f>
        <v>0</v>
      </c>
      <c r="S460" s="23">
        <f>'Output_Standalone (IDR)'!S484/USD_IDR*Thousands</f>
        <v>0</v>
      </c>
      <c r="T460" s="23">
        <f>'Output_Standalone (IDR)'!T484/USD_IDR*Thousands</f>
        <v>0</v>
      </c>
      <c r="U460" s="23">
        <f>'Output_Standalone (IDR)'!U484/USD_IDR*Thousands</f>
        <v>0</v>
      </c>
      <c r="V460" s="23">
        <f>'Output_Standalone (IDR)'!V484/USD_IDR*Thousands</f>
        <v>0</v>
      </c>
    </row>
    <row r="461" spans="2:22">
      <c r="B461" s="407" t="s">
        <v>473</v>
      </c>
      <c r="I461" s="48">
        <f>SUM(J461:V461)</f>
        <v>0</v>
      </c>
      <c r="J461" s="23">
        <f>'Output_Standalone (IDR)'!J485/USD_IDR*Thousands</f>
        <v>0</v>
      </c>
      <c r="K461" s="23">
        <f>'Output_Standalone (IDR)'!K485/USD_IDR*Thousands</f>
        <v>0</v>
      </c>
      <c r="L461" s="23">
        <f>'Output_Standalone (IDR)'!L485/USD_IDR*Thousands</f>
        <v>0</v>
      </c>
      <c r="M461" s="23">
        <f>'Output_Standalone (IDR)'!M485/USD_IDR*Thousands</f>
        <v>0</v>
      </c>
      <c r="N461" s="23">
        <f>'Output_Standalone (IDR)'!N485/USD_IDR*Thousands</f>
        <v>0</v>
      </c>
      <c r="O461" s="23">
        <f>'Output_Standalone (IDR)'!O485/USD_IDR*Thousands</f>
        <v>0</v>
      </c>
      <c r="P461" s="23">
        <f>'Output_Standalone (IDR)'!P485/USD_IDR*Thousands</f>
        <v>0</v>
      </c>
      <c r="Q461" s="23">
        <f>'Output_Standalone (IDR)'!Q485/USD_IDR*Thousands</f>
        <v>0</v>
      </c>
      <c r="R461" s="23">
        <f>'Output_Standalone (IDR)'!R485/USD_IDR*Thousands</f>
        <v>0</v>
      </c>
      <c r="S461" s="23">
        <f>'Output_Standalone (IDR)'!S485/USD_IDR*Thousands</f>
        <v>0</v>
      </c>
      <c r="T461" s="23">
        <f>'Output_Standalone (IDR)'!T485/USD_IDR*Thousands</f>
        <v>0</v>
      </c>
      <c r="U461" s="23">
        <f>'Output_Standalone (IDR)'!U485/USD_IDR*Thousands</f>
        <v>0</v>
      </c>
      <c r="V461" s="23">
        <f>'Output_Standalone (IDR)'!V485/USD_IDR*Thousands</f>
        <v>0</v>
      </c>
    </row>
    <row r="462" spans="2:22">
      <c r="B462" s="28" t="s">
        <v>1017</v>
      </c>
      <c r="C462" s="28"/>
      <c r="D462" s="28"/>
      <c r="E462" s="28"/>
      <c r="F462" s="28"/>
      <c r="G462" s="28"/>
      <c r="H462" s="28"/>
      <c r="I462" s="49">
        <f>SUM(J462:V462)</f>
        <v>0</v>
      </c>
      <c r="J462" s="47">
        <f t="shared" ref="J462:V462" si="206">SUM(J460:J461)</f>
        <v>0</v>
      </c>
      <c r="K462" s="47">
        <f t="shared" si="206"/>
        <v>0</v>
      </c>
      <c r="L462" s="47">
        <f t="shared" si="206"/>
        <v>0</v>
      </c>
      <c r="M462" s="47">
        <f t="shared" si="206"/>
        <v>0</v>
      </c>
      <c r="N462" s="47">
        <f t="shared" si="206"/>
        <v>0</v>
      </c>
      <c r="O462" s="47">
        <f t="shared" si="206"/>
        <v>0</v>
      </c>
      <c r="P462" s="47">
        <f t="shared" si="206"/>
        <v>0</v>
      </c>
      <c r="Q462" s="47">
        <f t="shared" si="206"/>
        <v>0</v>
      </c>
      <c r="R462" s="47">
        <f t="shared" si="206"/>
        <v>0</v>
      </c>
      <c r="S462" s="47">
        <f t="shared" si="206"/>
        <v>0</v>
      </c>
      <c r="T462" s="47">
        <f t="shared" si="206"/>
        <v>0</v>
      </c>
      <c r="U462" s="47">
        <f t="shared" si="206"/>
        <v>0</v>
      </c>
      <c r="V462" s="47">
        <f t="shared" si="206"/>
        <v>0</v>
      </c>
    </row>
    <row r="463" spans="2:22">
      <c r="L463" s="1"/>
    </row>
    <row r="464" spans="2:22">
      <c r="B464" t="s">
        <v>852</v>
      </c>
      <c r="I464" s="48">
        <f>SUM(J464:V464)</f>
        <v>0</v>
      </c>
      <c r="J464" s="53">
        <f>'Output_Standalone (IDR)'!J488/USD_IDR*Thousands</f>
        <v>0</v>
      </c>
      <c r="K464" s="53">
        <f>'Output_Standalone (IDR)'!K488/USD_IDR*Thousands</f>
        <v>0</v>
      </c>
      <c r="L464" s="53">
        <f>'Output_Standalone (IDR)'!L488/USD_IDR*Thousands</f>
        <v>0</v>
      </c>
      <c r="M464" s="53">
        <f>'Output_Standalone (IDR)'!M488/USD_IDR*Thousands</f>
        <v>0</v>
      </c>
      <c r="N464" s="53">
        <f>'Output_Standalone (IDR)'!N488/USD_IDR*Thousands</f>
        <v>0</v>
      </c>
      <c r="O464" s="53">
        <f>'Output_Standalone (IDR)'!O488/USD_IDR*Thousands</f>
        <v>0</v>
      </c>
      <c r="P464" s="53">
        <f>'Output_Standalone (IDR)'!P488/USD_IDR*Thousands</f>
        <v>0</v>
      </c>
      <c r="Q464" s="53">
        <f>'Output_Standalone (IDR)'!Q488/USD_IDR*Thousands</f>
        <v>0</v>
      </c>
      <c r="R464" s="53">
        <f>'Output_Standalone (IDR)'!R488/USD_IDR*Thousands</f>
        <v>0</v>
      </c>
      <c r="S464" s="53">
        <f>'Output_Standalone (IDR)'!S488/USD_IDR*Thousands</f>
        <v>0</v>
      </c>
      <c r="T464" s="53">
        <f>'Output_Standalone (IDR)'!T488/USD_IDR*Thousands</f>
        <v>0</v>
      </c>
      <c r="U464" s="53">
        <f>'Output_Standalone (IDR)'!U488/USD_IDR*Thousands</f>
        <v>0</v>
      </c>
      <c r="V464" s="53">
        <f>'Output_Standalone (IDR)'!V488/USD_IDR*Thousands</f>
        <v>0</v>
      </c>
    </row>
    <row r="465" spans="2:22">
      <c r="B465" s="28" t="s">
        <v>139</v>
      </c>
      <c r="C465" s="28"/>
      <c r="D465" s="28"/>
      <c r="E465" s="28"/>
      <c r="F465" s="28"/>
      <c r="G465" s="28"/>
      <c r="H465" s="28"/>
      <c r="I465" s="49">
        <f>SUM(J465:V465)</f>
        <v>0</v>
      </c>
      <c r="J465" s="47">
        <f t="shared" ref="J465:V465" si="207">SUM(J462,J464)</f>
        <v>0</v>
      </c>
      <c r="K465" s="47">
        <f t="shared" si="207"/>
        <v>0</v>
      </c>
      <c r="L465" s="47">
        <f t="shared" si="207"/>
        <v>0</v>
      </c>
      <c r="M465" s="47">
        <f t="shared" si="207"/>
        <v>0</v>
      </c>
      <c r="N465" s="47">
        <f t="shared" si="207"/>
        <v>0</v>
      </c>
      <c r="O465" s="47">
        <f t="shared" si="207"/>
        <v>0</v>
      </c>
      <c r="P465" s="47">
        <f t="shared" si="207"/>
        <v>0</v>
      </c>
      <c r="Q465" s="47">
        <f t="shared" si="207"/>
        <v>0</v>
      </c>
      <c r="R465" s="47">
        <f t="shared" si="207"/>
        <v>0</v>
      </c>
      <c r="S465" s="47">
        <f t="shared" si="207"/>
        <v>0</v>
      </c>
      <c r="T465" s="47">
        <f t="shared" si="207"/>
        <v>0</v>
      </c>
      <c r="U465" s="47">
        <f t="shared" si="207"/>
        <v>0</v>
      </c>
      <c r="V465" s="47">
        <f t="shared" si="207"/>
        <v>0</v>
      </c>
    </row>
    <row r="467" spans="2:22">
      <c r="B467" t="s">
        <v>1018</v>
      </c>
      <c r="I467" s="49">
        <f>SUM(J467:V467)</f>
        <v>0</v>
      </c>
      <c r="J467" s="53">
        <f>'Output_Standalone (IDR)'!J491/USD_IDR*Thousands</f>
        <v>0</v>
      </c>
      <c r="K467" s="53">
        <f>'Output_Standalone (IDR)'!K491/USD_IDR*Thousands</f>
        <v>0</v>
      </c>
      <c r="L467" s="53">
        <f>'Output_Standalone (IDR)'!L491/USD_IDR*Thousands</f>
        <v>0</v>
      </c>
      <c r="M467" s="53">
        <f>'Output_Standalone (IDR)'!M491/USD_IDR*Thousands</f>
        <v>0</v>
      </c>
      <c r="N467" s="53">
        <f>'Output_Standalone (IDR)'!N491/USD_IDR*Thousands</f>
        <v>0</v>
      </c>
      <c r="O467" s="53">
        <f>'Output_Standalone (IDR)'!O491/USD_IDR*Thousands</f>
        <v>0</v>
      </c>
      <c r="P467" s="53">
        <f>'Output_Standalone (IDR)'!P491/USD_IDR*Thousands</f>
        <v>0</v>
      </c>
      <c r="Q467" s="53">
        <f>'Output_Standalone (IDR)'!Q491/USD_IDR*Thousands</f>
        <v>0</v>
      </c>
      <c r="R467" s="53">
        <f>'Output_Standalone (IDR)'!R491/USD_IDR*Thousands</f>
        <v>0</v>
      </c>
      <c r="S467" s="53">
        <f>'Output_Standalone (IDR)'!S491/USD_IDR*Thousands</f>
        <v>0</v>
      </c>
      <c r="T467" s="53">
        <f>'Output_Standalone (IDR)'!T491/USD_IDR*Thousands</f>
        <v>0</v>
      </c>
      <c r="U467" s="53">
        <f>'Output_Standalone (IDR)'!U491/USD_IDR*Thousands</f>
        <v>0</v>
      </c>
      <c r="V467" s="53">
        <f>'Output_Standalone (IDR)'!V491/USD_IDR*Thousands</f>
        <v>0</v>
      </c>
    </row>
    <row r="468" spans="2:22">
      <c r="B468" s="28" t="s">
        <v>434</v>
      </c>
      <c r="C468" s="28"/>
      <c r="D468" s="28"/>
      <c r="E468" s="28"/>
      <c r="F468" s="28"/>
      <c r="G468" s="28"/>
      <c r="H468" s="28"/>
      <c r="I468" s="49">
        <f>SUM(J468:V468)</f>
        <v>0</v>
      </c>
      <c r="J468" s="47">
        <f t="shared" ref="J468:V468" si="208">SUM(J465,J467)</f>
        <v>0</v>
      </c>
      <c r="K468" s="47">
        <f t="shared" si="208"/>
        <v>0</v>
      </c>
      <c r="L468" s="47">
        <f t="shared" si="208"/>
        <v>0</v>
      </c>
      <c r="M468" s="47">
        <f t="shared" si="208"/>
        <v>0</v>
      </c>
      <c r="N468" s="47">
        <f t="shared" si="208"/>
        <v>0</v>
      </c>
      <c r="O468" s="47">
        <f t="shared" si="208"/>
        <v>0</v>
      </c>
      <c r="P468" s="47">
        <f t="shared" si="208"/>
        <v>0</v>
      </c>
      <c r="Q468" s="47">
        <f t="shared" si="208"/>
        <v>0</v>
      </c>
      <c r="R468" s="47">
        <f t="shared" si="208"/>
        <v>0</v>
      </c>
      <c r="S468" s="47">
        <f t="shared" si="208"/>
        <v>0</v>
      </c>
      <c r="T468" s="47">
        <f t="shared" si="208"/>
        <v>0</v>
      </c>
      <c r="U468" s="47">
        <f t="shared" si="208"/>
        <v>0</v>
      </c>
      <c r="V468" s="47">
        <f t="shared" si="208"/>
        <v>0</v>
      </c>
    </row>
    <row r="469" spans="2:22"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</row>
    <row r="470" spans="2:22">
      <c r="B470" t="s">
        <v>881</v>
      </c>
      <c r="I470" s="48">
        <f>SUM(J470:V470)</f>
        <v>0</v>
      </c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</row>
    <row r="471" spans="2:22">
      <c r="B471" s="28" t="s">
        <v>1019</v>
      </c>
      <c r="C471" s="28"/>
      <c r="D471" s="28"/>
      <c r="E471" s="28"/>
      <c r="F471" s="28"/>
      <c r="G471" s="28"/>
      <c r="H471" s="28"/>
      <c r="I471" s="48">
        <f>SUM(J471:V471)</f>
        <v>0</v>
      </c>
      <c r="J471" s="47">
        <f t="shared" ref="J471:V471" si="209">SUM(J468,J470)</f>
        <v>0</v>
      </c>
      <c r="K471" s="47">
        <f t="shared" si="209"/>
        <v>0</v>
      </c>
      <c r="L471" s="47">
        <f t="shared" si="209"/>
        <v>0</v>
      </c>
      <c r="M471" s="47">
        <f t="shared" si="209"/>
        <v>0</v>
      </c>
      <c r="N471" s="47">
        <f t="shared" si="209"/>
        <v>0</v>
      </c>
      <c r="O471" s="47">
        <f t="shared" si="209"/>
        <v>0</v>
      </c>
      <c r="P471" s="47">
        <f t="shared" si="209"/>
        <v>0</v>
      </c>
      <c r="Q471" s="47">
        <f t="shared" si="209"/>
        <v>0</v>
      </c>
      <c r="R471" s="47">
        <f t="shared" si="209"/>
        <v>0</v>
      </c>
      <c r="S471" s="47">
        <f t="shared" si="209"/>
        <v>0</v>
      </c>
      <c r="T471" s="47">
        <f t="shared" si="209"/>
        <v>0</v>
      </c>
      <c r="U471" s="47">
        <f t="shared" si="209"/>
        <v>0</v>
      </c>
      <c r="V471" s="47">
        <f t="shared" si="209"/>
        <v>0</v>
      </c>
    </row>
    <row r="472" spans="2:22"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</row>
    <row r="473" spans="2:22">
      <c r="B473" t="s">
        <v>759</v>
      </c>
      <c r="I473" s="48">
        <f>SUM(J473:V473)</f>
        <v>0</v>
      </c>
      <c r="J473" s="23">
        <f>-IF(J471&lt;0,0,J471*22%)</f>
        <v>0</v>
      </c>
      <c r="K473" s="23">
        <f t="shared" ref="K473:V473" si="210">-IF(K471&lt;0,0,K471*22%)</f>
        <v>0</v>
      </c>
      <c r="L473" s="23">
        <f t="shared" si="210"/>
        <v>0</v>
      </c>
      <c r="M473" s="23">
        <f t="shared" si="210"/>
        <v>0</v>
      </c>
      <c r="N473" s="23">
        <f t="shared" si="210"/>
        <v>0</v>
      </c>
      <c r="O473" s="23">
        <f t="shared" si="210"/>
        <v>0</v>
      </c>
      <c r="P473" s="23">
        <f t="shared" si="210"/>
        <v>0</v>
      </c>
      <c r="Q473" s="23">
        <f t="shared" si="210"/>
        <v>0</v>
      </c>
      <c r="R473" s="23">
        <f t="shared" si="210"/>
        <v>0</v>
      </c>
      <c r="S473" s="23">
        <f t="shared" si="210"/>
        <v>0</v>
      </c>
      <c r="T473" s="23">
        <f t="shared" si="210"/>
        <v>0</v>
      </c>
      <c r="U473" s="23">
        <f t="shared" si="210"/>
        <v>0</v>
      </c>
      <c r="V473" s="23">
        <f t="shared" si="210"/>
        <v>0</v>
      </c>
    </row>
    <row r="474" spans="2:22">
      <c r="B474" s="28" t="s">
        <v>1020</v>
      </c>
      <c r="C474" s="28"/>
      <c r="D474" s="28"/>
      <c r="E474" s="28"/>
      <c r="F474" s="28"/>
      <c r="G474" s="28"/>
      <c r="H474" s="28"/>
      <c r="I474" s="48">
        <f>SUM(J474:V474)</f>
        <v>0</v>
      </c>
      <c r="J474" s="47">
        <f t="shared" ref="J474:V474" si="211">SUM(J471,J473)</f>
        <v>0</v>
      </c>
      <c r="K474" s="47">
        <f t="shared" si="211"/>
        <v>0</v>
      </c>
      <c r="L474" s="47">
        <f t="shared" si="211"/>
        <v>0</v>
      </c>
      <c r="M474" s="47">
        <f t="shared" si="211"/>
        <v>0</v>
      </c>
      <c r="N474" s="47">
        <f t="shared" si="211"/>
        <v>0</v>
      </c>
      <c r="O474" s="47">
        <f t="shared" si="211"/>
        <v>0</v>
      </c>
      <c r="P474" s="47">
        <f t="shared" si="211"/>
        <v>0</v>
      </c>
      <c r="Q474" s="47">
        <f t="shared" si="211"/>
        <v>0</v>
      </c>
      <c r="R474" s="47">
        <f t="shared" si="211"/>
        <v>0</v>
      </c>
      <c r="S474" s="47">
        <f t="shared" si="211"/>
        <v>0</v>
      </c>
      <c r="T474" s="47">
        <f t="shared" si="211"/>
        <v>0</v>
      </c>
      <c r="U474" s="47">
        <f t="shared" si="211"/>
        <v>0</v>
      </c>
      <c r="V474" s="47">
        <f t="shared" si="211"/>
        <v>0</v>
      </c>
    </row>
    <row r="476" spans="2:22">
      <c r="B476" s="407" t="s">
        <v>32</v>
      </c>
      <c r="C476" s="407"/>
      <c r="D476" s="407"/>
      <c r="E476" s="407"/>
      <c r="F476" s="407"/>
      <c r="G476" s="407"/>
      <c r="H476" s="407"/>
      <c r="I476" s="407"/>
      <c r="J476" s="9">
        <f>J$8</f>
        <v>2024</v>
      </c>
      <c r="K476" s="9">
        <f t="shared" ref="K476:V476" si="212">K$8</f>
        <v>2025</v>
      </c>
      <c r="L476" s="9">
        <f t="shared" si="212"/>
        <v>2026</v>
      </c>
      <c r="M476" s="9">
        <f t="shared" si="212"/>
        <v>2027</v>
      </c>
      <c r="N476" s="9">
        <f t="shared" si="212"/>
        <v>2028</v>
      </c>
      <c r="O476" s="9">
        <f t="shared" si="212"/>
        <v>2029</v>
      </c>
      <c r="P476" s="9">
        <f t="shared" si="212"/>
        <v>2030</v>
      </c>
      <c r="Q476" s="9">
        <f t="shared" si="212"/>
        <v>2031</v>
      </c>
      <c r="R476" s="9">
        <f t="shared" si="212"/>
        <v>2032</v>
      </c>
      <c r="S476" s="9">
        <f t="shared" si="212"/>
        <v>2033</v>
      </c>
      <c r="T476" s="9">
        <f t="shared" si="212"/>
        <v>2034</v>
      </c>
      <c r="U476" s="9">
        <f t="shared" si="212"/>
        <v>2035</v>
      </c>
      <c r="V476" s="9">
        <f t="shared" si="212"/>
        <v>2036</v>
      </c>
    </row>
    <row r="477" spans="2:22">
      <c r="B477" s="55" t="s">
        <v>1021</v>
      </c>
      <c r="C477" s="51"/>
      <c r="D477" s="51"/>
      <c r="E477" s="51"/>
      <c r="F477" s="51"/>
      <c r="G477" s="51"/>
      <c r="H477" s="51"/>
      <c r="I477" s="51"/>
      <c r="J477" s="56">
        <f>IFERROR(J462/J460,0)</f>
        <v>0</v>
      </c>
      <c r="K477" s="56">
        <f t="shared" ref="K477:V477" si="213">IFERROR(K462/K460,0)</f>
        <v>0</v>
      </c>
      <c r="L477" s="56">
        <f t="shared" si="213"/>
        <v>0</v>
      </c>
      <c r="M477" s="56">
        <f t="shared" si="213"/>
        <v>0</v>
      </c>
      <c r="N477" s="56">
        <f t="shared" si="213"/>
        <v>0</v>
      </c>
      <c r="O477" s="56">
        <f t="shared" si="213"/>
        <v>0</v>
      </c>
      <c r="P477" s="56">
        <f t="shared" si="213"/>
        <v>0</v>
      </c>
      <c r="Q477" s="56">
        <f t="shared" si="213"/>
        <v>0</v>
      </c>
      <c r="R477" s="56">
        <f t="shared" si="213"/>
        <v>0</v>
      </c>
      <c r="S477" s="56">
        <f t="shared" si="213"/>
        <v>0</v>
      </c>
      <c r="T477" s="56">
        <f t="shared" si="213"/>
        <v>0</v>
      </c>
      <c r="U477" s="56">
        <f t="shared" si="213"/>
        <v>0</v>
      </c>
      <c r="V477" s="56">
        <f t="shared" si="213"/>
        <v>0</v>
      </c>
    </row>
    <row r="478" spans="2:22">
      <c r="B478" s="55" t="s">
        <v>1022</v>
      </c>
      <c r="C478" s="51"/>
      <c r="D478" s="51"/>
      <c r="E478" s="51"/>
      <c r="F478" s="51"/>
      <c r="G478" s="51"/>
      <c r="H478" s="51"/>
      <c r="I478" s="51"/>
      <c r="J478" s="56">
        <f>IFERROR(J465/J460,0)</f>
        <v>0</v>
      </c>
      <c r="K478" s="52">
        <f t="shared" ref="K478:T478" si="214">IFERROR(K468/K462,0)</f>
        <v>0</v>
      </c>
      <c r="L478" s="52">
        <f t="shared" si="214"/>
        <v>0</v>
      </c>
      <c r="M478" s="52">
        <f t="shared" si="214"/>
        <v>0</v>
      </c>
      <c r="N478" s="52">
        <f t="shared" si="214"/>
        <v>0</v>
      </c>
      <c r="O478" s="52">
        <f t="shared" si="214"/>
        <v>0</v>
      </c>
      <c r="P478" s="52">
        <f t="shared" si="214"/>
        <v>0</v>
      </c>
      <c r="Q478" s="52">
        <f t="shared" si="214"/>
        <v>0</v>
      </c>
      <c r="R478" s="52">
        <f t="shared" si="214"/>
        <v>0</v>
      </c>
      <c r="S478" s="52">
        <f t="shared" si="214"/>
        <v>0</v>
      </c>
      <c r="T478" s="52">
        <f t="shared" si="214"/>
        <v>0</v>
      </c>
      <c r="U478" s="52">
        <f>IFERROR(U468/U462,0)</f>
        <v>0</v>
      </c>
      <c r="V478" s="52">
        <f>IFERROR(V468/V462,0)</f>
        <v>0</v>
      </c>
    </row>
    <row r="479" spans="2:22">
      <c r="B479" s="55" t="s">
        <v>990</v>
      </c>
      <c r="C479" s="51"/>
      <c r="D479" s="51"/>
      <c r="E479" s="51"/>
      <c r="F479" s="51"/>
      <c r="G479" s="51"/>
      <c r="H479" s="51"/>
      <c r="I479" s="51"/>
      <c r="J479" s="52">
        <f>IFERROR(J474/J460,0)</f>
        <v>0</v>
      </c>
      <c r="K479" s="52">
        <f t="shared" ref="K479:V479" si="215">IFERROR(K474/K460,0)</f>
        <v>0</v>
      </c>
      <c r="L479" s="52">
        <f t="shared" si="215"/>
        <v>0</v>
      </c>
      <c r="M479" s="52">
        <f t="shared" si="215"/>
        <v>0</v>
      </c>
      <c r="N479" s="52">
        <f t="shared" si="215"/>
        <v>0</v>
      </c>
      <c r="O479" s="52">
        <f t="shared" si="215"/>
        <v>0</v>
      </c>
      <c r="P479" s="52">
        <f t="shared" si="215"/>
        <v>0</v>
      </c>
      <c r="Q479" s="52">
        <f t="shared" si="215"/>
        <v>0</v>
      </c>
      <c r="R479" s="52">
        <f t="shared" si="215"/>
        <v>0</v>
      </c>
      <c r="S479" s="52">
        <f t="shared" si="215"/>
        <v>0</v>
      </c>
      <c r="T479" s="52">
        <f t="shared" si="215"/>
        <v>0</v>
      </c>
      <c r="U479" s="52">
        <f t="shared" si="215"/>
        <v>0</v>
      </c>
      <c r="V479" s="52">
        <f t="shared" si="215"/>
        <v>0</v>
      </c>
    </row>
    <row r="481" spans="2:22" ht="24" thickBot="1">
      <c r="B481" s="14" t="s">
        <v>1044</v>
      </c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</row>
    <row r="482" spans="2:22">
      <c r="B482" s="2" t="s">
        <v>29</v>
      </c>
      <c r="F482" s="6">
        <f>Output_FSL!F36</f>
        <v>1</v>
      </c>
    </row>
    <row r="483" spans="2:22">
      <c r="B483" s="407" t="s">
        <v>623</v>
      </c>
      <c r="I483" s="48">
        <f>SUM(J483:V483)</f>
        <v>2.3046238839403257</v>
      </c>
      <c r="J483" s="23">
        <f>SUM(J68,J207,J276,J322,)</f>
        <v>0</v>
      </c>
      <c r="K483" s="23">
        <f t="shared" ref="K483:V484" si="216">SUM(K68,K207,K276,K322,)</f>
        <v>0</v>
      </c>
      <c r="L483" s="23">
        <f t="shared" si="216"/>
        <v>0</v>
      </c>
      <c r="M483" s="23">
        <f t="shared" si="216"/>
        <v>0.16922230021109935</v>
      </c>
      <c r="N483" s="23">
        <f t="shared" si="216"/>
        <v>0.20293714935884025</v>
      </c>
      <c r="O483" s="23">
        <f t="shared" si="216"/>
        <v>0.21113285683069058</v>
      </c>
      <c r="P483" s="23">
        <f t="shared" si="216"/>
        <v>0.21977412811815056</v>
      </c>
      <c r="Q483" s="23">
        <f t="shared" si="216"/>
        <v>0.22889429939483372</v>
      </c>
      <c r="R483" s="23">
        <f t="shared" si="216"/>
        <v>0.23701089904990344</v>
      </c>
      <c r="S483" s="23">
        <f t="shared" si="216"/>
        <v>0.24543934291042607</v>
      </c>
      <c r="T483" s="23">
        <f t="shared" si="216"/>
        <v>0.25419308707551319</v>
      </c>
      <c r="U483" s="23">
        <f t="shared" si="216"/>
        <v>0.26328623737362677</v>
      </c>
      <c r="V483" s="23">
        <f t="shared" si="216"/>
        <v>0.27273358361724187</v>
      </c>
    </row>
    <row r="484" spans="2:22">
      <c r="B484" s="407" t="s">
        <v>473</v>
      </c>
      <c r="I484" s="48">
        <f>SUM(J484:V484)</f>
        <v>0</v>
      </c>
      <c r="J484" s="23">
        <f>SUM(J69,J208,J277,J323,)</f>
        <v>0</v>
      </c>
      <c r="K484" s="23">
        <f t="shared" si="216"/>
        <v>0</v>
      </c>
      <c r="L484" s="23">
        <f t="shared" si="216"/>
        <v>0</v>
      </c>
      <c r="M484" s="23">
        <f t="shared" si="216"/>
        <v>0</v>
      </c>
      <c r="N484" s="23">
        <f t="shared" si="216"/>
        <v>0</v>
      </c>
      <c r="O484" s="23">
        <f t="shared" si="216"/>
        <v>0</v>
      </c>
      <c r="P484" s="23">
        <f t="shared" si="216"/>
        <v>0</v>
      </c>
      <c r="Q484" s="23">
        <f t="shared" si="216"/>
        <v>0</v>
      </c>
      <c r="R484" s="23">
        <f t="shared" si="216"/>
        <v>0</v>
      </c>
      <c r="S484" s="23">
        <f t="shared" si="216"/>
        <v>0</v>
      </c>
      <c r="T484" s="23">
        <f t="shared" si="216"/>
        <v>0</v>
      </c>
      <c r="U484" s="23">
        <f t="shared" si="216"/>
        <v>0</v>
      </c>
      <c r="V484" s="23">
        <f t="shared" si="216"/>
        <v>0</v>
      </c>
    </row>
    <row r="485" spans="2:22">
      <c r="B485" s="28" t="s">
        <v>1017</v>
      </c>
      <c r="C485" s="28"/>
      <c r="D485" s="28"/>
      <c r="E485" s="28"/>
      <c r="F485" s="28"/>
      <c r="G485" s="28"/>
      <c r="H485" s="28"/>
      <c r="I485" s="49">
        <f>SUM(J485:V485)</f>
        <v>2.3046238839403257</v>
      </c>
      <c r="J485" s="47">
        <f t="shared" ref="J485:V485" si="217">SUM(J483:J484)</f>
        <v>0</v>
      </c>
      <c r="K485" s="47">
        <f t="shared" si="217"/>
        <v>0</v>
      </c>
      <c r="L485" s="47">
        <f t="shared" si="217"/>
        <v>0</v>
      </c>
      <c r="M485" s="47">
        <f t="shared" si="217"/>
        <v>0.16922230021109935</v>
      </c>
      <c r="N485" s="47">
        <f t="shared" si="217"/>
        <v>0.20293714935884025</v>
      </c>
      <c r="O485" s="47">
        <f t="shared" si="217"/>
        <v>0.21113285683069058</v>
      </c>
      <c r="P485" s="47">
        <f t="shared" si="217"/>
        <v>0.21977412811815056</v>
      </c>
      <c r="Q485" s="47">
        <f t="shared" si="217"/>
        <v>0.22889429939483372</v>
      </c>
      <c r="R485" s="47">
        <f t="shared" si="217"/>
        <v>0.23701089904990344</v>
      </c>
      <c r="S485" s="47">
        <f t="shared" si="217"/>
        <v>0.24543934291042607</v>
      </c>
      <c r="T485" s="47">
        <f t="shared" si="217"/>
        <v>0.25419308707551319</v>
      </c>
      <c r="U485" s="47">
        <f t="shared" si="217"/>
        <v>0.26328623737362677</v>
      </c>
      <c r="V485" s="47">
        <f t="shared" si="217"/>
        <v>0.27273358361724187</v>
      </c>
    </row>
    <row r="486" spans="2:22">
      <c r="L486" s="1"/>
    </row>
    <row r="487" spans="2:22">
      <c r="B487" t="s">
        <v>852</v>
      </c>
      <c r="I487" s="48">
        <f>SUM(J487:V487)</f>
        <v>-0.46092477678806515</v>
      </c>
      <c r="J487" s="1">
        <f>SUM(J72,J211,J280,J326,)</f>
        <v>0</v>
      </c>
      <c r="K487" s="1">
        <f t="shared" ref="K487:V487" si="218">SUM(K72,K211,K280,K326,)</f>
        <v>0</v>
      </c>
      <c r="L487" s="1">
        <f t="shared" si="218"/>
        <v>0</v>
      </c>
      <c r="M487" s="1">
        <f t="shared" si="218"/>
        <v>-3.3844460042219859E-2</v>
      </c>
      <c r="N487" s="1">
        <f t="shared" si="218"/>
        <v>-4.0587429871768048E-2</v>
      </c>
      <c r="O487" s="1">
        <f t="shared" si="218"/>
        <v>-4.2226571366138117E-2</v>
      </c>
      <c r="P487" s="1">
        <f t="shared" si="218"/>
        <v>-4.3954825623630109E-2</v>
      </c>
      <c r="Q487" s="1">
        <f t="shared" si="218"/>
        <v>-4.5778859878966745E-2</v>
      </c>
      <c r="R487" s="1">
        <f t="shared" si="218"/>
        <v>-4.7402179809980696E-2</v>
      </c>
      <c r="S487" s="1">
        <f t="shared" si="218"/>
        <v>-4.9087868582085213E-2</v>
      </c>
      <c r="T487" s="1">
        <f t="shared" si="218"/>
        <v>-5.0838617415102642E-2</v>
      </c>
      <c r="U487" s="1">
        <f t="shared" si="218"/>
        <v>-5.2657247474725354E-2</v>
      </c>
      <c r="V487" s="1">
        <f t="shared" si="218"/>
        <v>-5.4546716723448387E-2</v>
      </c>
    </row>
    <row r="488" spans="2:22">
      <c r="B488" s="28" t="s">
        <v>139</v>
      </c>
      <c r="C488" s="28"/>
      <c r="D488" s="28"/>
      <c r="E488" s="28"/>
      <c r="F488" s="28"/>
      <c r="G488" s="28"/>
      <c r="H488" s="28"/>
      <c r="I488" s="49">
        <f>SUM(J488:V488)</f>
        <v>1.8436991071522604</v>
      </c>
      <c r="J488" s="47">
        <f t="shared" ref="J488:V488" si="219">SUM(J485,J487)</f>
        <v>0</v>
      </c>
      <c r="K488" s="47">
        <f t="shared" si="219"/>
        <v>0</v>
      </c>
      <c r="L488" s="47">
        <f t="shared" si="219"/>
        <v>0</v>
      </c>
      <c r="M488" s="47">
        <f t="shared" si="219"/>
        <v>0.13537784016887949</v>
      </c>
      <c r="N488" s="47">
        <f t="shared" si="219"/>
        <v>0.16234971948707219</v>
      </c>
      <c r="O488" s="47">
        <f t="shared" si="219"/>
        <v>0.16890628546455247</v>
      </c>
      <c r="P488" s="47">
        <f t="shared" si="219"/>
        <v>0.17581930249452044</v>
      </c>
      <c r="Q488" s="47">
        <f t="shared" si="219"/>
        <v>0.18311543951586698</v>
      </c>
      <c r="R488" s="47">
        <f t="shared" si="219"/>
        <v>0.18960871923992273</v>
      </c>
      <c r="S488" s="47">
        <f t="shared" si="219"/>
        <v>0.19635147432834085</v>
      </c>
      <c r="T488" s="47">
        <f t="shared" si="219"/>
        <v>0.20335446966041054</v>
      </c>
      <c r="U488" s="47">
        <f t="shared" si="219"/>
        <v>0.21062898989890141</v>
      </c>
      <c r="V488" s="47">
        <f t="shared" si="219"/>
        <v>0.21818686689379349</v>
      </c>
    </row>
    <row r="490" spans="2:22">
      <c r="B490" t="s">
        <v>1018</v>
      </c>
      <c r="I490" s="49">
        <f>SUM(J490:V490)</f>
        <v>-0.29400000000000004</v>
      </c>
      <c r="J490" s="53">
        <f>SUM(J75,J214,J283,J329,)</f>
        <v>0</v>
      </c>
      <c r="K490" s="53">
        <f t="shared" ref="K490:V490" si="220">SUM(K75,K214,K283,K329,)</f>
        <v>0</v>
      </c>
      <c r="L490" s="53">
        <f t="shared" si="220"/>
        <v>0</v>
      </c>
      <c r="M490" s="53">
        <f t="shared" si="220"/>
        <v>-2.4000000000000007E-2</v>
      </c>
      <c r="N490" s="53">
        <f t="shared" si="220"/>
        <v>-3.0000000000000006E-2</v>
      </c>
      <c r="O490" s="53">
        <f t="shared" si="220"/>
        <v>-3.0000000000000006E-2</v>
      </c>
      <c r="P490" s="53">
        <f t="shared" si="220"/>
        <v>-3.0000000000000006E-2</v>
      </c>
      <c r="Q490" s="53">
        <f t="shared" si="220"/>
        <v>-3.0000000000000006E-2</v>
      </c>
      <c r="R490" s="53">
        <f t="shared" si="220"/>
        <v>-3.0000000000000006E-2</v>
      </c>
      <c r="S490" s="53">
        <f t="shared" si="220"/>
        <v>-3.0000000000000006E-2</v>
      </c>
      <c r="T490" s="53">
        <f t="shared" si="220"/>
        <v>-3.0000000000000006E-2</v>
      </c>
      <c r="U490" s="53">
        <f t="shared" si="220"/>
        <v>-3.0000000000000006E-2</v>
      </c>
      <c r="V490" s="53">
        <f t="shared" si="220"/>
        <v>-3.0000000000000006E-2</v>
      </c>
    </row>
    <row r="491" spans="2:22">
      <c r="B491" s="28" t="s">
        <v>434</v>
      </c>
      <c r="C491" s="28"/>
      <c r="D491" s="28"/>
      <c r="E491" s="28"/>
      <c r="F491" s="28"/>
      <c r="G491" s="28"/>
      <c r="H491" s="28"/>
      <c r="I491" s="49">
        <f>SUM(J491:V491)</f>
        <v>1.5496991071522608</v>
      </c>
      <c r="J491" s="47">
        <f t="shared" ref="J491:V491" si="221">SUM(J488,J490)</f>
        <v>0</v>
      </c>
      <c r="K491" s="47">
        <f t="shared" si="221"/>
        <v>0</v>
      </c>
      <c r="L491" s="47">
        <f t="shared" si="221"/>
        <v>0</v>
      </c>
      <c r="M491" s="47">
        <f t="shared" si="221"/>
        <v>0.11137784016887949</v>
      </c>
      <c r="N491" s="47">
        <f t="shared" si="221"/>
        <v>0.13234971948707219</v>
      </c>
      <c r="O491" s="47">
        <f t="shared" si="221"/>
        <v>0.13890628546455247</v>
      </c>
      <c r="P491" s="47">
        <f t="shared" si="221"/>
        <v>0.14581930249452044</v>
      </c>
      <c r="Q491" s="47">
        <f t="shared" si="221"/>
        <v>0.15311543951586698</v>
      </c>
      <c r="R491" s="47">
        <f t="shared" si="221"/>
        <v>0.15960871923992273</v>
      </c>
      <c r="S491" s="47">
        <f t="shared" si="221"/>
        <v>0.16635147432834085</v>
      </c>
      <c r="T491" s="47">
        <f t="shared" si="221"/>
        <v>0.17335446966041054</v>
      </c>
      <c r="U491" s="47">
        <f t="shared" si="221"/>
        <v>0.18062898989890142</v>
      </c>
      <c r="V491" s="47">
        <f t="shared" si="221"/>
        <v>0.18818686689379349</v>
      </c>
    </row>
    <row r="492" spans="2:22"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</row>
    <row r="493" spans="2:22">
      <c r="B493" t="s">
        <v>881</v>
      </c>
      <c r="I493" s="48">
        <f>SUM(J493:V493)</f>
        <v>0</v>
      </c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</row>
    <row r="494" spans="2:22">
      <c r="B494" s="28" t="s">
        <v>1019</v>
      </c>
      <c r="C494" s="28"/>
      <c r="D494" s="28"/>
      <c r="E494" s="28"/>
      <c r="F494" s="28"/>
      <c r="G494" s="28"/>
      <c r="H494" s="28"/>
      <c r="I494" s="48">
        <f>SUM(J494:V494)</f>
        <v>1.5496991071522608</v>
      </c>
      <c r="J494" s="47">
        <f t="shared" ref="J494:V494" si="222">SUM(J491,J493)</f>
        <v>0</v>
      </c>
      <c r="K494" s="47">
        <f t="shared" si="222"/>
        <v>0</v>
      </c>
      <c r="L494" s="47">
        <f t="shared" si="222"/>
        <v>0</v>
      </c>
      <c r="M494" s="47">
        <f t="shared" si="222"/>
        <v>0.11137784016887949</v>
      </c>
      <c r="N494" s="47">
        <f t="shared" si="222"/>
        <v>0.13234971948707219</v>
      </c>
      <c r="O494" s="47">
        <f t="shared" si="222"/>
        <v>0.13890628546455247</v>
      </c>
      <c r="P494" s="47">
        <f t="shared" si="222"/>
        <v>0.14581930249452044</v>
      </c>
      <c r="Q494" s="47">
        <f t="shared" si="222"/>
        <v>0.15311543951586698</v>
      </c>
      <c r="R494" s="47">
        <f t="shared" si="222"/>
        <v>0.15960871923992273</v>
      </c>
      <c r="S494" s="47">
        <f t="shared" si="222"/>
        <v>0.16635147432834085</v>
      </c>
      <c r="T494" s="47">
        <f t="shared" si="222"/>
        <v>0.17335446966041054</v>
      </c>
      <c r="U494" s="47">
        <f t="shared" si="222"/>
        <v>0.18062898989890142</v>
      </c>
      <c r="V494" s="47">
        <f t="shared" si="222"/>
        <v>0.18818686689379349</v>
      </c>
    </row>
    <row r="495" spans="2:22"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</row>
    <row r="496" spans="2:22">
      <c r="B496" t="s">
        <v>759</v>
      </c>
      <c r="I496" s="48">
        <f>SUM(J496:V496)</f>
        <v>-0.34093380357349734</v>
      </c>
      <c r="J496" s="23">
        <f>SUM(J81,J220,J289,J335,)</f>
        <v>0</v>
      </c>
      <c r="K496" s="23">
        <f t="shared" ref="K496:V496" si="223">SUM(K81,K220,K289,K335,)</f>
        <v>0</v>
      </c>
      <c r="L496" s="23">
        <f t="shared" si="223"/>
        <v>0</v>
      </c>
      <c r="M496" s="23">
        <f t="shared" si="223"/>
        <v>-2.4503124837153476E-2</v>
      </c>
      <c r="N496" s="23">
        <f t="shared" si="223"/>
        <v>-2.9116938287155884E-2</v>
      </c>
      <c r="O496" s="23">
        <f t="shared" si="223"/>
        <v>-3.0559382802201537E-2</v>
      </c>
      <c r="P496" s="23">
        <f t="shared" si="223"/>
        <v>-3.2080246548794489E-2</v>
      </c>
      <c r="Q496" s="23">
        <f t="shared" si="223"/>
        <v>-3.368539669349073E-2</v>
      </c>
      <c r="R496" s="23">
        <f t="shared" si="223"/>
        <v>-3.5113918232783009E-2</v>
      </c>
      <c r="S496" s="23">
        <f t="shared" si="223"/>
        <v>-3.6597324352234985E-2</v>
      </c>
      <c r="T496" s="23">
        <f t="shared" si="223"/>
        <v>-3.8137983325290316E-2</v>
      </c>
      <c r="U496" s="23">
        <f t="shared" si="223"/>
        <v>-3.9738377777758307E-2</v>
      </c>
      <c r="V496" s="23">
        <f t="shared" si="223"/>
        <v>-4.1401110716634576E-2</v>
      </c>
    </row>
    <row r="497" spans="2:22">
      <c r="B497" s="28" t="s">
        <v>1020</v>
      </c>
      <c r="C497" s="28"/>
      <c r="D497" s="28"/>
      <c r="E497" s="28"/>
      <c r="F497" s="28"/>
      <c r="G497" s="28"/>
      <c r="H497" s="28"/>
      <c r="I497" s="48">
        <f>SUM(J497:V497)</f>
        <v>1.2087653035787631</v>
      </c>
      <c r="J497" s="47">
        <f t="shared" ref="J497:V497" si="224">SUM(J494,J496)</f>
        <v>0</v>
      </c>
      <c r="K497" s="47">
        <f t="shared" si="224"/>
        <v>0</v>
      </c>
      <c r="L497" s="47">
        <f t="shared" si="224"/>
        <v>0</v>
      </c>
      <c r="M497" s="47">
        <f t="shared" si="224"/>
        <v>8.6874715331726013E-2</v>
      </c>
      <c r="N497" s="47">
        <f t="shared" si="224"/>
        <v>0.1032327811999163</v>
      </c>
      <c r="O497" s="47">
        <f t="shared" si="224"/>
        <v>0.10834690266235093</v>
      </c>
      <c r="P497" s="47">
        <f t="shared" si="224"/>
        <v>0.11373905594572595</v>
      </c>
      <c r="Q497" s="47">
        <f t="shared" si="224"/>
        <v>0.11943004282237625</v>
      </c>
      <c r="R497" s="47">
        <f t="shared" si="224"/>
        <v>0.12449480100713972</v>
      </c>
      <c r="S497" s="47">
        <f t="shared" si="224"/>
        <v>0.12975414997610588</v>
      </c>
      <c r="T497" s="47">
        <f t="shared" si="224"/>
        <v>0.13521648633512023</v>
      </c>
      <c r="U497" s="47">
        <f t="shared" si="224"/>
        <v>0.14089061212114312</v>
      </c>
      <c r="V497" s="47">
        <f t="shared" si="224"/>
        <v>0.14678575617715892</v>
      </c>
    </row>
    <row r="499" spans="2:22">
      <c r="B499" s="407" t="s">
        <v>32</v>
      </c>
      <c r="C499" s="407"/>
      <c r="D499" s="407"/>
      <c r="E499" s="407"/>
      <c r="F499" s="407"/>
      <c r="G499" s="407"/>
      <c r="H499" s="407"/>
      <c r="I499" s="407"/>
      <c r="J499" s="9">
        <f>J$8</f>
        <v>2024</v>
      </c>
      <c r="K499" s="9">
        <f t="shared" ref="K499:V499" si="225">K$8</f>
        <v>2025</v>
      </c>
      <c r="L499" s="9">
        <f t="shared" si="225"/>
        <v>2026</v>
      </c>
      <c r="M499" s="9">
        <f t="shared" si="225"/>
        <v>2027</v>
      </c>
      <c r="N499" s="9">
        <f t="shared" si="225"/>
        <v>2028</v>
      </c>
      <c r="O499" s="9">
        <f t="shared" si="225"/>
        <v>2029</v>
      </c>
      <c r="P499" s="9">
        <f t="shared" si="225"/>
        <v>2030</v>
      </c>
      <c r="Q499" s="9">
        <f t="shared" si="225"/>
        <v>2031</v>
      </c>
      <c r="R499" s="9">
        <f t="shared" si="225"/>
        <v>2032</v>
      </c>
      <c r="S499" s="9">
        <f t="shared" si="225"/>
        <v>2033</v>
      </c>
      <c r="T499" s="9">
        <f t="shared" si="225"/>
        <v>2034</v>
      </c>
      <c r="U499" s="9">
        <f t="shared" si="225"/>
        <v>2035</v>
      </c>
      <c r="V499" s="9">
        <f t="shared" si="225"/>
        <v>2036</v>
      </c>
    </row>
    <row r="500" spans="2:22">
      <c r="B500" s="55" t="s">
        <v>1021</v>
      </c>
      <c r="C500" s="51"/>
      <c r="D500" s="51"/>
      <c r="E500" s="51"/>
      <c r="F500" s="51"/>
      <c r="G500" s="51"/>
      <c r="H500" s="51"/>
      <c r="I500" s="51"/>
      <c r="J500" s="56">
        <f>IFERROR(J485/J483,0)</f>
        <v>0</v>
      </c>
      <c r="K500" s="56">
        <f t="shared" ref="K500:V500" si="226">IFERROR(K485/K483,0)</f>
        <v>0</v>
      </c>
      <c r="L500" s="56">
        <f t="shared" si="226"/>
        <v>0</v>
      </c>
      <c r="M500" s="56">
        <f t="shared" si="226"/>
        <v>1</v>
      </c>
      <c r="N500" s="56">
        <f t="shared" si="226"/>
        <v>1</v>
      </c>
      <c r="O500" s="56">
        <f t="shared" si="226"/>
        <v>1</v>
      </c>
      <c r="P500" s="56">
        <f t="shared" si="226"/>
        <v>1</v>
      </c>
      <c r="Q500" s="56">
        <f t="shared" si="226"/>
        <v>1</v>
      </c>
      <c r="R500" s="56">
        <f t="shared" si="226"/>
        <v>1</v>
      </c>
      <c r="S500" s="56">
        <f t="shared" si="226"/>
        <v>1</v>
      </c>
      <c r="T500" s="56">
        <f t="shared" si="226"/>
        <v>1</v>
      </c>
      <c r="U500" s="56">
        <f t="shared" si="226"/>
        <v>1</v>
      </c>
      <c r="V500" s="56">
        <f t="shared" si="226"/>
        <v>1</v>
      </c>
    </row>
    <row r="501" spans="2:22">
      <c r="B501" s="55" t="s">
        <v>1022</v>
      </c>
      <c r="C501" s="51"/>
      <c r="D501" s="51"/>
      <c r="E501" s="51"/>
      <c r="F501" s="51"/>
      <c r="G501" s="51"/>
      <c r="H501" s="51"/>
      <c r="I501" s="51"/>
      <c r="J501" s="56">
        <f>IFERROR(J488/J483,0)</f>
        <v>0</v>
      </c>
      <c r="K501" s="52">
        <f t="shared" ref="K501:T501" si="227">IFERROR(K491/K485,0)</f>
        <v>0</v>
      </c>
      <c r="L501" s="52">
        <f t="shared" si="227"/>
        <v>0</v>
      </c>
      <c r="M501" s="52">
        <f t="shared" si="227"/>
        <v>0.65817472064816063</v>
      </c>
      <c r="N501" s="52">
        <f t="shared" si="227"/>
        <v>0.65217097956297299</v>
      </c>
      <c r="O501" s="52">
        <f t="shared" si="227"/>
        <v>0.65790937303492614</v>
      </c>
      <c r="P501" s="52">
        <f t="shared" si="227"/>
        <v>0.66349621651611324</v>
      </c>
      <c r="Q501" s="52">
        <f t="shared" si="227"/>
        <v>0.6689351369635852</v>
      </c>
      <c r="R501" s="52">
        <f t="shared" si="227"/>
        <v>0.67342354246045277</v>
      </c>
      <c r="S501" s="52">
        <f t="shared" si="227"/>
        <v>0.67777020731778681</v>
      </c>
      <c r="T501" s="52">
        <f t="shared" si="227"/>
        <v>0.68197948124730901</v>
      </c>
      <c r="U501" s="52">
        <f>IFERROR(U491/U485,0)</f>
        <v>0.68605557092820113</v>
      </c>
      <c r="V501" s="52">
        <f>IFERROR(V491/V485,0)</f>
        <v>0.69000254533338867</v>
      </c>
    </row>
    <row r="502" spans="2:22">
      <c r="B502" s="55" t="s">
        <v>990</v>
      </c>
      <c r="C502" s="51"/>
      <c r="D502" s="51"/>
      <c r="E502" s="51"/>
      <c r="F502" s="51"/>
      <c r="G502" s="51"/>
      <c r="H502" s="51"/>
      <c r="I502" s="51"/>
      <c r="J502" s="52">
        <f>IFERROR(J497/J483,0)</f>
        <v>0</v>
      </c>
      <c r="K502" s="52">
        <f t="shared" ref="K502:V502" si="228">IFERROR(K497/K483,0)</f>
        <v>0</v>
      </c>
      <c r="L502" s="52">
        <f t="shared" si="228"/>
        <v>0</v>
      </c>
      <c r="M502" s="52">
        <f t="shared" si="228"/>
        <v>0.51337628210556541</v>
      </c>
      <c r="N502" s="52">
        <f t="shared" si="228"/>
        <v>0.50869336405911891</v>
      </c>
      <c r="O502" s="52">
        <f t="shared" si="228"/>
        <v>0.5131693109672425</v>
      </c>
      <c r="P502" s="52">
        <f t="shared" si="228"/>
        <v>0.5175270488825684</v>
      </c>
      <c r="Q502" s="52">
        <f t="shared" si="228"/>
        <v>0.52176940683159656</v>
      </c>
      <c r="R502" s="52">
        <f t="shared" si="228"/>
        <v>0.52527036311915309</v>
      </c>
      <c r="S502" s="52">
        <f t="shared" si="228"/>
        <v>0.52866076170787379</v>
      </c>
      <c r="T502" s="52">
        <f t="shared" si="228"/>
        <v>0.53194399537290105</v>
      </c>
      <c r="U502" s="52">
        <f t="shared" si="228"/>
        <v>0.53512334532399697</v>
      </c>
      <c r="V502" s="52">
        <f t="shared" si="228"/>
        <v>0.53820198536004316</v>
      </c>
    </row>
  </sheetData>
  <conditionalFormatting sqref="J11:V11">
    <cfRule type="cellIs" dxfId="14" priority="3" operator="equal">
      <formula>1</formula>
    </cfRule>
  </conditionalFormatting>
  <conditionalFormatting sqref="K12:V12">
    <cfRule type="cellIs" dxfId="13" priority="2" operator="equal">
      <formula>1</formula>
    </cfRule>
  </conditionalFormatting>
  <conditionalFormatting sqref="J12">
    <cfRule type="cellIs" dxfId="12" priority="1" operator="equal">
      <formula>1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67140-A404-462C-B85D-AD6BB9BA394C}">
  <sheetPr codeName="Sheet12">
    <tabColor theme="0" tint="-0.249977111117893"/>
    <outlinePr showOutlineSymbols="0"/>
  </sheetPr>
  <dimension ref="B1:W195"/>
  <sheetViews>
    <sheetView showGridLines="0" showOutlineSymbols="0" zoomScale="71" workbookViewId="0">
      <pane xSplit="9" ySplit="14" topLeftCell="P15" activePane="bottomRight" state="frozen"/>
      <selection pane="topRight" activeCell="H90" sqref="H90"/>
      <selection pane="bottomLeft" activeCell="H90" sqref="H90"/>
      <selection pane="bottomRight" activeCell="G19" sqref="G19"/>
    </sheetView>
  </sheetViews>
  <sheetFormatPr defaultColWidth="0" defaultRowHeight="15" outlineLevelRow="1"/>
  <cols>
    <col min="1" max="1" width="3" customWidth="1"/>
    <col min="2" max="4" width="9.140625" customWidth="1"/>
    <col min="5" max="5" width="15.28515625" customWidth="1"/>
    <col min="6" max="6" width="15.42578125" bestFit="1" customWidth="1"/>
    <col min="7" max="7" width="15.28515625" customWidth="1"/>
    <col min="8" max="8" width="35.42578125" customWidth="1"/>
    <col min="9" max="22" width="14.7109375" customWidth="1"/>
    <col min="23" max="23" width="10.5703125" customWidth="1"/>
  </cols>
  <sheetData>
    <row r="1" spans="2:22" s="3" customFormat="1" ht="23.25">
      <c r="B1" s="4" t="s">
        <v>289</v>
      </c>
    </row>
    <row r="2" spans="2:22" ht="15.75">
      <c r="B2" s="5" t="s">
        <v>290</v>
      </c>
    </row>
    <row r="4" spans="2:22">
      <c r="B4" t="s">
        <v>29</v>
      </c>
      <c r="D4" s="6">
        <v>1</v>
      </c>
      <c r="F4" s="34">
        <f>SUM(I99:I100)</f>
        <v>0</v>
      </c>
    </row>
    <row r="6" spans="2:22">
      <c r="B6" t="s">
        <v>30</v>
      </c>
      <c r="J6" s="7">
        <f>I7+1</f>
        <v>45292</v>
      </c>
      <c r="K6" s="7">
        <f t="shared" ref="K6:V6" si="0">J7+1</f>
        <v>45658</v>
      </c>
      <c r="L6" s="7">
        <f t="shared" si="0"/>
        <v>46023</v>
      </c>
      <c r="M6" s="7">
        <f t="shared" si="0"/>
        <v>46388</v>
      </c>
      <c r="N6" s="7">
        <f t="shared" si="0"/>
        <v>46753</v>
      </c>
      <c r="O6" s="7">
        <f t="shared" si="0"/>
        <v>47119</v>
      </c>
      <c r="P6" s="7">
        <f t="shared" si="0"/>
        <v>47484</v>
      </c>
      <c r="Q6" s="7">
        <f t="shared" si="0"/>
        <v>47849</v>
      </c>
      <c r="R6" s="7">
        <f t="shared" si="0"/>
        <v>48214</v>
      </c>
      <c r="S6" s="7">
        <f t="shared" si="0"/>
        <v>48580</v>
      </c>
      <c r="T6" s="7">
        <f t="shared" si="0"/>
        <v>48945</v>
      </c>
      <c r="U6" s="7">
        <f t="shared" si="0"/>
        <v>49310</v>
      </c>
      <c r="V6" s="7">
        <f t="shared" si="0"/>
        <v>49675</v>
      </c>
    </row>
    <row r="7" spans="2:22">
      <c r="B7" t="s">
        <v>31</v>
      </c>
      <c r="I7" s="8">
        <f>'Output_Standalone (IDR)'!I7</f>
        <v>45291</v>
      </c>
      <c r="J7" s="7">
        <f>EOMONTH(J6,12-1)</f>
        <v>45657</v>
      </c>
      <c r="K7" s="7">
        <f t="shared" ref="K7:V7" si="1">EOMONTH(K6,12-1)</f>
        <v>46022</v>
      </c>
      <c r="L7" s="7">
        <f t="shared" si="1"/>
        <v>46387</v>
      </c>
      <c r="M7" s="7">
        <f t="shared" si="1"/>
        <v>46752</v>
      </c>
      <c r="N7" s="7">
        <f t="shared" si="1"/>
        <v>47118</v>
      </c>
      <c r="O7" s="7">
        <f t="shared" si="1"/>
        <v>47483</v>
      </c>
      <c r="P7" s="7">
        <f t="shared" si="1"/>
        <v>47848</v>
      </c>
      <c r="Q7" s="7">
        <f t="shared" si="1"/>
        <v>48213</v>
      </c>
      <c r="R7" s="7">
        <f t="shared" si="1"/>
        <v>48579</v>
      </c>
      <c r="S7" s="7">
        <f t="shared" si="1"/>
        <v>48944</v>
      </c>
      <c r="T7" s="7">
        <f t="shared" si="1"/>
        <v>49309</v>
      </c>
      <c r="U7" s="7">
        <f t="shared" si="1"/>
        <v>49674</v>
      </c>
      <c r="V7" s="7">
        <f t="shared" si="1"/>
        <v>50040</v>
      </c>
    </row>
    <row r="8" spans="2:22">
      <c r="B8" t="s">
        <v>32</v>
      </c>
      <c r="J8" s="9">
        <f>YEAR(J7)</f>
        <v>2024</v>
      </c>
      <c r="K8" s="9">
        <f t="shared" ref="K8:V8" si="2">YEAR(K7)</f>
        <v>2025</v>
      </c>
      <c r="L8" s="9">
        <f t="shared" si="2"/>
        <v>2026</v>
      </c>
      <c r="M8" s="9">
        <f t="shared" si="2"/>
        <v>2027</v>
      </c>
      <c r="N8" s="9">
        <f t="shared" si="2"/>
        <v>2028</v>
      </c>
      <c r="O8" s="9">
        <f t="shared" si="2"/>
        <v>2029</v>
      </c>
      <c r="P8" s="9">
        <f t="shared" si="2"/>
        <v>2030</v>
      </c>
      <c r="Q8" s="9">
        <f t="shared" si="2"/>
        <v>2031</v>
      </c>
      <c r="R8" s="9">
        <f t="shared" si="2"/>
        <v>2032</v>
      </c>
      <c r="S8" s="9">
        <f t="shared" si="2"/>
        <v>2033</v>
      </c>
      <c r="T8" s="9">
        <f t="shared" si="2"/>
        <v>2034</v>
      </c>
      <c r="U8" s="9">
        <f t="shared" si="2"/>
        <v>2035</v>
      </c>
      <c r="V8" s="9">
        <f t="shared" si="2"/>
        <v>2036</v>
      </c>
    </row>
    <row r="9" spans="2:22">
      <c r="B9" t="s">
        <v>33</v>
      </c>
      <c r="J9" s="10">
        <f>J7-J6+1</f>
        <v>366</v>
      </c>
      <c r="K9" s="10">
        <f t="shared" ref="K9:V9" si="3">K7-K6+1</f>
        <v>365</v>
      </c>
      <c r="L9" s="10">
        <f t="shared" si="3"/>
        <v>365</v>
      </c>
      <c r="M9" s="10">
        <f t="shared" si="3"/>
        <v>365</v>
      </c>
      <c r="N9" s="10">
        <f t="shared" si="3"/>
        <v>366</v>
      </c>
      <c r="O9" s="10">
        <f t="shared" si="3"/>
        <v>365</v>
      </c>
      <c r="P9" s="10">
        <f t="shared" si="3"/>
        <v>365</v>
      </c>
      <c r="Q9" s="10">
        <f t="shared" si="3"/>
        <v>365</v>
      </c>
      <c r="R9" s="10">
        <f t="shared" si="3"/>
        <v>366</v>
      </c>
      <c r="S9" s="10">
        <f t="shared" si="3"/>
        <v>365</v>
      </c>
      <c r="T9" s="10">
        <f t="shared" si="3"/>
        <v>365</v>
      </c>
      <c r="U9" s="10">
        <f t="shared" si="3"/>
        <v>365</v>
      </c>
      <c r="V9" s="10">
        <f t="shared" si="3"/>
        <v>366</v>
      </c>
    </row>
    <row r="10" spans="2:22">
      <c r="E10" s="11" t="s">
        <v>34</v>
      </c>
      <c r="F10" s="11" t="s">
        <v>35</v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</row>
    <row r="11" spans="2:22">
      <c r="B11" s="407" t="s">
        <v>36</v>
      </c>
      <c r="E11" s="12">
        <f>'Output_Standalone (IDR)'!E11</f>
        <v>45291</v>
      </c>
      <c r="F11" s="12">
        <f>'Output_Standalone (IDR)'!F11</f>
        <v>45291</v>
      </c>
      <c r="J11" s="13">
        <f t="shared" ref="J11:V11" si="4">IF(J7=$F$11,1,0)</f>
        <v>0</v>
      </c>
      <c r="K11" s="13">
        <f t="shared" si="4"/>
        <v>0</v>
      </c>
      <c r="L11" s="13">
        <f t="shared" si="4"/>
        <v>0</v>
      </c>
      <c r="M11" s="13">
        <f t="shared" si="4"/>
        <v>0</v>
      </c>
      <c r="N11" s="13">
        <f t="shared" si="4"/>
        <v>0</v>
      </c>
      <c r="O11" s="13">
        <f t="shared" si="4"/>
        <v>0</v>
      </c>
      <c r="P11" s="13">
        <f t="shared" si="4"/>
        <v>0</v>
      </c>
      <c r="Q11" s="13">
        <f t="shared" si="4"/>
        <v>0</v>
      </c>
      <c r="R11" s="13">
        <f t="shared" si="4"/>
        <v>0</v>
      </c>
      <c r="S11" s="13">
        <f t="shared" si="4"/>
        <v>0</v>
      </c>
      <c r="T11" s="13">
        <f t="shared" si="4"/>
        <v>0</v>
      </c>
      <c r="U11" s="13">
        <f t="shared" si="4"/>
        <v>0</v>
      </c>
      <c r="V11" s="13">
        <f t="shared" si="4"/>
        <v>0</v>
      </c>
    </row>
    <row r="12" spans="2:22">
      <c r="B12" t="s">
        <v>37</v>
      </c>
      <c r="E12" s="12">
        <f>'Output_Standalone (IDR)'!E12</f>
        <v>45292</v>
      </c>
      <c r="F12" s="12">
        <f>'Output_Standalone (IDR)'!F12</f>
        <v>50040</v>
      </c>
      <c r="J12" s="13">
        <f>IF(J11=1,0,IF(J7&gt;$F$12,0,1))</f>
        <v>1</v>
      </c>
      <c r="K12" s="13">
        <f>IF(K11=1,0,IF(K7&gt;$F$12,0,1))</f>
        <v>1</v>
      </c>
      <c r="L12" s="13">
        <f t="shared" ref="L12:V12" si="5">IF(L11=1,0,IF(L7&gt;$F$12,0,1))</f>
        <v>1</v>
      </c>
      <c r="M12" s="13">
        <f t="shared" si="5"/>
        <v>1</v>
      </c>
      <c r="N12" s="13">
        <f t="shared" si="5"/>
        <v>1</v>
      </c>
      <c r="O12" s="13">
        <f t="shared" si="5"/>
        <v>1</v>
      </c>
      <c r="P12" s="13">
        <f t="shared" si="5"/>
        <v>1</v>
      </c>
      <c r="Q12" s="13">
        <f t="shared" si="5"/>
        <v>1</v>
      </c>
      <c r="R12" s="13">
        <f t="shared" si="5"/>
        <v>1</v>
      </c>
      <c r="S12" s="13">
        <f t="shared" si="5"/>
        <v>1</v>
      </c>
      <c r="T12" s="13">
        <f t="shared" si="5"/>
        <v>1</v>
      </c>
      <c r="U12" s="13">
        <f t="shared" si="5"/>
        <v>1</v>
      </c>
      <c r="V12" s="13">
        <f t="shared" si="5"/>
        <v>1</v>
      </c>
    </row>
    <row r="13" spans="2:22">
      <c r="F13" s="7"/>
    </row>
    <row r="14" spans="2:22">
      <c r="B14" t="s">
        <v>38</v>
      </c>
      <c r="J14">
        <f>SUM($J$12:J12)</f>
        <v>1</v>
      </c>
      <c r="K14">
        <f>SUM($J$12:K12)</f>
        <v>2</v>
      </c>
      <c r="L14">
        <f>SUM($J$12:L12)</f>
        <v>3</v>
      </c>
      <c r="M14">
        <f>SUM($J$12:M12)</f>
        <v>4</v>
      </c>
      <c r="N14">
        <f>SUM($J$12:N12)</f>
        <v>5</v>
      </c>
      <c r="O14">
        <f>SUM($J$12:O12)</f>
        <v>6</v>
      </c>
      <c r="P14">
        <f>SUM($J$12:P12)</f>
        <v>7</v>
      </c>
      <c r="Q14">
        <f>SUM($J$12:Q12)</f>
        <v>8</v>
      </c>
      <c r="R14">
        <f>SUM($J$12:R12)</f>
        <v>9</v>
      </c>
      <c r="S14">
        <f>SUM($J$12:S12)</f>
        <v>10</v>
      </c>
      <c r="T14">
        <f>SUM($J$12:T12)</f>
        <v>11</v>
      </c>
      <c r="U14">
        <f>SUM($J$12:U12)</f>
        <v>12</v>
      </c>
      <c r="V14">
        <f>SUM($J$12:V12)</f>
        <v>13</v>
      </c>
    </row>
    <row r="16" spans="2:22">
      <c r="B16" t="s">
        <v>291</v>
      </c>
      <c r="J16" s="122"/>
      <c r="K16" s="122">
        <v>-2439.75</v>
      </c>
      <c r="L16" s="122">
        <v>0</v>
      </c>
      <c r="M16" s="122">
        <v>0</v>
      </c>
      <c r="N16" s="122">
        <v>0</v>
      </c>
      <c r="O16" s="122">
        <v>0</v>
      </c>
      <c r="P16" s="122">
        <v>0</v>
      </c>
      <c r="Q16" s="122">
        <v>0</v>
      </c>
      <c r="R16" s="122">
        <v>0</v>
      </c>
      <c r="S16" s="122">
        <v>0</v>
      </c>
      <c r="T16" s="122">
        <v>0</v>
      </c>
      <c r="U16" s="122">
        <v>0</v>
      </c>
      <c r="V16" s="122">
        <v>0</v>
      </c>
    </row>
    <row r="17" spans="2:23" ht="15.75">
      <c r="B17" s="15" t="s">
        <v>292</v>
      </c>
      <c r="K17">
        <f>K16*Thousands/USD_IDR</f>
        <v>-150</v>
      </c>
    </row>
    <row r="18" spans="2:23">
      <c r="B18" t="s">
        <v>186</v>
      </c>
      <c r="F18" s="90">
        <v>0</v>
      </c>
    </row>
    <row r="19" spans="2:23">
      <c r="B19" t="s">
        <v>293</v>
      </c>
      <c r="F19" s="90">
        <v>0</v>
      </c>
    </row>
    <row r="20" spans="2:23">
      <c r="B20" s="407" t="s">
        <v>294</v>
      </c>
      <c r="F20" s="90">
        <v>0</v>
      </c>
    </row>
    <row r="21" spans="2:23">
      <c r="B21" s="407" t="s">
        <v>295</v>
      </c>
      <c r="F21" s="90">
        <v>0</v>
      </c>
    </row>
    <row r="22" spans="2:23">
      <c r="B22" t="s">
        <v>296</v>
      </c>
      <c r="F22" s="90">
        <v>0</v>
      </c>
    </row>
    <row r="23" spans="2:23">
      <c r="B23" t="s">
        <v>297</v>
      </c>
      <c r="F23" s="90">
        <v>0</v>
      </c>
    </row>
    <row r="24" spans="2:23">
      <c r="B24" t="s">
        <v>298</v>
      </c>
      <c r="F24" s="90">
        <v>0</v>
      </c>
    </row>
    <row r="25" spans="2:23">
      <c r="B25" t="s">
        <v>299</v>
      </c>
      <c r="F25" s="90">
        <v>0</v>
      </c>
    </row>
    <row r="27" spans="2:23" ht="24" thickBot="1">
      <c r="B27" s="14" t="s">
        <v>1049</v>
      </c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</row>
    <row r="29" spans="2:23">
      <c r="B29" s="407" t="s">
        <v>623</v>
      </c>
      <c r="I29" s="48">
        <f>SUM(J29:V29)</f>
        <v>30800.7</v>
      </c>
      <c r="J29" s="480">
        <v>2029.6</v>
      </c>
      <c r="K29" s="1">
        <v>2193.8000000000002</v>
      </c>
      <c r="L29" s="1">
        <v>2273.1</v>
      </c>
      <c r="M29" s="1">
        <v>2277</v>
      </c>
      <c r="N29" s="1">
        <v>2283.9</v>
      </c>
      <c r="O29" s="1">
        <v>2292.6999999999998</v>
      </c>
      <c r="P29" s="1">
        <v>2349.1999999999998</v>
      </c>
      <c r="Q29" s="1">
        <v>2453.3000000000002</v>
      </c>
      <c r="R29" s="1">
        <v>2459.4</v>
      </c>
      <c r="S29" s="1">
        <v>2470.4</v>
      </c>
      <c r="T29" s="1">
        <v>2498.6</v>
      </c>
      <c r="U29" s="1">
        <v>2601.3000000000002</v>
      </c>
      <c r="V29" s="1">
        <v>2618.4</v>
      </c>
      <c r="W29">
        <v>2637.4</v>
      </c>
    </row>
    <row r="30" spans="2:23">
      <c r="B30" s="407" t="s">
        <v>473</v>
      </c>
      <c r="I30" s="48">
        <f>SUM(J30:V30)</f>
        <v>-19102</v>
      </c>
      <c r="J30" s="23">
        <v>-1263</v>
      </c>
      <c r="K30" s="23">
        <v>-1363.2</v>
      </c>
      <c r="L30" s="23">
        <v>-1411.2</v>
      </c>
      <c r="M30" s="23">
        <v>-1412</v>
      </c>
      <c r="N30" s="23">
        <v>-1415.8</v>
      </c>
      <c r="O30" s="23">
        <v>-1421.3</v>
      </c>
      <c r="P30" s="23">
        <v>-1457</v>
      </c>
      <c r="Q30" s="23">
        <v>-1521</v>
      </c>
      <c r="R30" s="23">
        <v>-1523.5</v>
      </c>
      <c r="S30" s="23">
        <v>-1530.7</v>
      </c>
      <c r="T30" s="23">
        <v>-1548.6</v>
      </c>
      <c r="U30" s="23">
        <v>-1611.9</v>
      </c>
      <c r="V30" s="23">
        <v>-1622.8</v>
      </c>
      <c r="W30">
        <v>-1635</v>
      </c>
    </row>
    <row r="31" spans="2:23">
      <c r="B31" s="28" t="s">
        <v>1017</v>
      </c>
      <c r="C31" s="28"/>
      <c r="D31" s="28"/>
      <c r="E31" s="28"/>
      <c r="F31" s="28"/>
      <c r="G31" s="28"/>
      <c r="H31" s="28"/>
      <c r="I31" s="49">
        <f>SUM(J31:V31)</f>
        <v>11698.7</v>
      </c>
      <c r="J31" s="47">
        <f>SUM(J29:J30)</f>
        <v>766.59999999999991</v>
      </c>
      <c r="K31" s="47">
        <f t="shared" ref="K31:V31" si="6">SUM(K29:K30)</f>
        <v>830.60000000000014</v>
      </c>
      <c r="L31" s="47">
        <f t="shared" si="6"/>
        <v>861.89999999999986</v>
      </c>
      <c r="M31" s="47">
        <f t="shared" si="6"/>
        <v>865</v>
      </c>
      <c r="N31" s="47">
        <f t="shared" si="6"/>
        <v>868.10000000000014</v>
      </c>
      <c r="O31" s="47">
        <f t="shared" si="6"/>
        <v>871.39999999999986</v>
      </c>
      <c r="P31" s="47">
        <f t="shared" si="6"/>
        <v>892.19999999999982</v>
      </c>
      <c r="Q31" s="47">
        <f t="shared" si="6"/>
        <v>932.30000000000018</v>
      </c>
      <c r="R31" s="47">
        <f t="shared" si="6"/>
        <v>935.90000000000009</v>
      </c>
      <c r="S31" s="47">
        <f t="shared" si="6"/>
        <v>939.7</v>
      </c>
      <c r="T31" s="47">
        <f t="shared" si="6"/>
        <v>950</v>
      </c>
      <c r="U31" s="47">
        <f t="shared" si="6"/>
        <v>989.40000000000009</v>
      </c>
      <c r="V31" s="47">
        <f t="shared" si="6"/>
        <v>995.60000000000014</v>
      </c>
    </row>
    <row r="33" spans="2:23">
      <c r="B33" t="s">
        <v>852</v>
      </c>
      <c r="I33" s="48">
        <f>SUM(J33:V33)</f>
        <v>-3367.1</v>
      </c>
      <c r="J33" s="1">
        <v>-210.7</v>
      </c>
      <c r="K33" s="1">
        <v>-216.4</v>
      </c>
      <c r="L33" s="1">
        <v>-223.7</v>
      </c>
      <c r="M33" s="1">
        <v>-231.5</v>
      </c>
      <c r="N33" s="1">
        <v>-239.7</v>
      </c>
      <c r="O33" s="1">
        <v>-248</v>
      </c>
      <c r="P33" s="1">
        <v>-256.7</v>
      </c>
      <c r="Q33" s="1">
        <v>-265.7</v>
      </c>
      <c r="R33" s="1">
        <v>-275</v>
      </c>
      <c r="S33" s="1">
        <v>-284.60000000000002</v>
      </c>
      <c r="T33" s="1">
        <v>-294.60000000000002</v>
      </c>
      <c r="U33" s="1">
        <v>-304.89999999999998</v>
      </c>
      <c r="V33" s="1">
        <v>-315.60000000000002</v>
      </c>
      <c r="W33">
        <v>-326.60000000000002</v>
      </c>
    </row>
    <row r="34" spans="2:23">
      <c r="B34" s="28" t="s">
        <v>139</v>
      </c>
      <c r="C34" s="28"/>
      <c r="D34" s="28"/>
      <c r="E34" s="28"/>
      <c r="F34" s="28"/>
      <c r="G34" s="28"/>
      <c r="H34" s="28"/>
      <c r="I34" s="49">
        <f>SUM(J34:V34)</f>
        <v>8331.6</v>
      </c>
      <c r="J34" s="47">
        <f>SUM(J31,J33)</f>
        <v>555.89999999999986</v>
      </c>
      <c r="K34" s="47">
        <f t="shared" ref="K34:V34" si="7">SUM(K31,K33)</f>
        <v>614.20000000000016</v>
      </c>
      <c r="L34" s="47">
        <f t="shared" si="7"/>
        <v>638.19999999999982</v>
      </c>
      <c r="M34" s="47">
        <f t="shared" si="7"/>
        <v>633.5</v>
      </c>
      <c r="N34" s="47">
        <f t="shared" si="7"/>
        <v>628.40000000000009</v>
      </c>
      <c r="O34" s="47">
        <f t="shared" si="7"/>
        <v>623.39999999999986</v>
      </c>
      <c r="P34" s="47">
        <f t="shared" si="7"/>
        <v>635.49999999999977</v>
      </c>
      <c r="Q34" s="47">
        <f t="shared" si="7"/>
        <v>666.60000000000014</v>
      </c>
      <c r="R34" s="47">
        <f t="shared" si="7"/>
        <v>660.90000000000009</v>
      </c>
      <c r="S34" s="47">
        <f t="shared" si="7"/>
        <v>655.1</v>
      </c>
      <c r="T34" s="47">
        <f t="shared" si="7"/>
        <v>655.4</v>
      </c>
      <c r="U34" s="47">
        <f t="shared" si="7"/>
        <v>684.50000000000011</v>
      </c>
      <c r="V34" s="47">
        <f t="shared" si="7"/>
        <v>680.00000000000011</v>
      </c>
    </row>
    <row r="35" spans="2:23">
      <c r="J35">
        <f t="shared" ref="J35:V35" si="8">J34/USD_IDR*Thousands</f>
        <v>34.177682139563473</v>
      </c>
      <c r="K35">
        <f t="shared" si="8"/>
        <v>37.762065785428845</v>
      </c>
      <c r="L35">
        <f t="shared" si="8"/>
        <v>39.237626806025197</v>
      </c>
      <c r="M35">
        <f t="shared" si="8"/>
        <v>38.948662772825081</v>
      </c>
      <c r="N35">
        <f t="shared" si="8"/>
        <v>38.635106055948363</v>
      </c>
      <c r="O35">
        <f t="shared" si="8"/>
        <v>38.32769750999077</v>
      </c>
      <c r="P35">
        <f t="shared" si="8"/>
        <v>39.071626191208104</v>
      </c>
      <c r="Q35">
        <f t="shared" si="8"/>
        <v>40.983707347064254</v>
      </c>
      <c r="R35">
        <f t="shared" si="8"/>
        <v>40.633261604672612</v>
      </c>
      <c r="S35">
        <f t="shared" si="8"/>
        <v>40.276667691361823</v>
      </c>
      <c r="T35">
        <f t="shared" si="8"/>
        <v>40.29511220411927</v>
      </c>
      <c r="U35">
        <f t="shared" si="8"/>
        <v>42.084229941592383</v>
      </c>
      <c r="V35">
        <f t="shared" si="8"/>
        <v>41.807562250230568</v>
      </c>
    </row>
    <row r="36" spans="2:23">
      <c r="B36" t="s">
        <v>1018</v>
      </c>
      <c r="I36" s="49">
        <f>SUM(J36:V36)</f>
        <v>-2295.5</v>
      </c>
      <c r="J36" s="1">
        <v>-206.9</v>
      </c>
      <c r="K36" s="1">
        <v>-220.2</v>
      </c>
      <c r="L36" s="1">
        <v>-227.8</v>
      </c>
      <c r="M36" s="1">
        <v>-235</v>
      </c>
      <c r="N36" s="1">
        <v>-214.3</v>
      </c>
      <c r="O36" s="1">
        <v>-207.7</v>
      </c>
      <c r="P36" s="1">
        <v>-176.6</v>
      </c>
      <c r="Q36" s="1">
        <v>-176.9</v>
      </c>
      <c r="R36" s="1">
        <v>-133.69999999999999</v>
      </c>
      <c r="S36" s="1">
        <v>-122.9</v>
      </c>
      <c r="T36" s="1">
        <v>-119</v>
      </c>
      <c r="U36" s="1">
        <v>-124.3</v>
      </c>
      <c r="V36" s="1">
        <v>-130.19999999999999</v>
      </c>
      <c r="W36">
        <v>-135.6</v>
      </c>
    </row>
    <row r="37" spans="2:23">
      <c r="B37" s="28" t="s">
        <v>434</v>
      </c>
      <c r="C37" s="28"/>
      <c r="D37" s="28"/>
      <c r="E37" s="28"/>
      <c r="F37" s="28"/>
      <c r="G37" s="28"/>
      <c r="H37" s="28"/>
      <c r="I37" s="49">
        <f>SUM(J37:V37)</f>
        <v>6036.0999999999995</v>
      </c>
      <c r="J37" s="47">
        <f>SUM(J34,J36)</f>
        <v>348.99999999999989</v>
      </c>
      <c r="K37" s="47">
        <f t="shared" ref="K37:V37" si="9">SUM(K34,K36)</f>
        <v>394.00000000000017</v>
      </c>
      <c r="L37" s="47">
        <f t="shared" si="9"/>
        <v>410.39999999999981</v>
      </c>
      <c r="M37" s="47">
        <f t="shared" si="9"/>
        <v>398.5</v>
      </c>
      <c r="N37" s="47">
        <f t="shared" si="9"/>
        <v>414.10000000000008</v>
      </c>
      <c r="O37" s="47">
        <f t="shared" si="9"/>
        <v>415.69999999999987</v>
      </c>
      <c r="P37" s="47">
        <f t="shared" si="9"/>
        <v>458.89999999999975</v>
      </c>
      <c r="Q37" s="47">
        <f t="shared" si="9"/>
        <v>489.70000000000016</v>
      </c>
      <c r="R37" s="47">
        <f t="shared" si="9"/>
        <v>527.20000000000005</v>
      </c>
      <c r="S37" s="47">
        <f t="shared" si="9"/>
        <v>532.20000000000005</v>
      </c>
      <c r="T37" s="47">
        <f t="shared" si="9"/>
        <v>536.4</v>
      </c>
      <c r="U37" s="47">
        <f t="shared" si="9"/>
        <v>560.20000000000016</v>
      </c>
      <c r="V37" s="47">
        <f t="shared" si="9"/>
        <v>549.80000000000018</v>
      </c>
    </row>
    <row r="38" spans="2:23"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</row>
    <row r="39" spans="2:23">
      <c r="B39" t="s">
        <v>881</v>
      </c>
      <c r="I39" s="48">
        <f>SUM(J39:V39)</f>
        <v>-328.37699999999995</v>
      </c>
      <c r="J39" s="1">
        <v>-58.572000000000003</v>
      </c>
      <c r="K39" s="1">
        <v>-48.510999999999996</v>
      </c>
      <c r="L39" s="1">
        <v>-41.440000000000005</v>
      </c>
      <c r="M39" s="1">
        <v>-31.496000000000002</v>
      </c>
      <c r="N39" s="1">
        <v>-23.891999999999999</v>
      </c>
      <c r="O39" s="1">
        <v>-19.513000000000002</v>
      </c>
      <c r="P39" s="1">
        <v>-16.516999999999999</v>
      </c>
      <c r="Q39" s="1">
        <v>-15.603000000000002</v>
      </c>
      <c r="R39" s="1">
        <v>-14.263999999999999</v>
      </c>
      <c r="S39" s="1">
        <v>-13.727</v>
      </c>
      <c r="T39" s="1">
        <v>-14.43</v>
      </c>
      <c r="U39" s="1">
        <v>-14.998000000000001</v>
      </c>
      <c r="V39" s="1">
        <v>-15.414000000000001</v>
      </c>
      <c r="W39">
        <v>-15.791</v>
      </c>
    </row>
    <row r="40" spans="2:23">
      <c r="B40" s="28" t="s">
        <v>1019</v>
      </c>
      <c r="C40" s="28"/>
      <c r="D40" s="28"/>
      <c r="E40" s="28"/>
      <c r="F40" s="28"/>
      <c r="G40" s="28"/>
      <c r="H40" s="28"/>
      <c r="I40" s="48">
        <f>SUM(J40:V40)</f>
        <v>5707.7230000000009</v>
      </c>
      <c r="J40" s="47">
        <f>SUM(J37,J39)</f>
        <v>290.42799999999988</v>
      </c>
      <c r="K40" s="47">
        <f t="shared" ref="K40:V40" si="10">SUM(K37,K39)</f>
        <v>345.48900000000015</v>
      </c>
      <c r="L40" s="47">
        <f t="shared" si="10"/>
        <v>368.95999999999981</v>
      </c>
      <c r="M40" s="47">
        <f t="shared" si="10"/>
        <v>367.00400000000002</v>
      </c>
      <c r="N40" s="47">
        <f t="shared" si="10"/>
        <v>390.20800000000008</v>
      </c>
      <c r="O40" s="47">
        <f t="shared" si="10"/>
        <v>396.1869999999999</v>
      </c>
      <c r="P40" s="47">
        <f t="shared" si="10"/>
        <v>442.38299999999975</v>
      </c>
      <c r="Q40" s="47">
        <f t="shared" si="10"/>
        <v>474.09700000000015</v>
      </c>
      <c r="R40" s="47">
        <f t="shared" si="10"/>
        <v>512.93600000000004</v>
      </c>
      <c r="S40" s="47">
        <f t="shared" si="10"/>
        <v>518.47300000000007</v>
      </c>
      <c r="T40" s="47">
        <f t="shared" si="10"/>
        <v>521.97</v>
      </c>
      <c r="U40" s="47">
        <f t="shared" si="10"/>
        <v>545.20200000000011</v>
      </c>
      <c r="V40" s="47">
        <f t="shared" si="10"/>
        <v>534.38600000000019</v>
      </c>
    </row>
    <row r="41" spans="2:23"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</row>
    <row r="42" spans="2:23">
      <c r="B42" t="s">
        <v>759</v>
      </c>
      <c r="I42" s="48">
        <f>SUM(J42:V42)</f>
        <v>-1255.6990600000001</v>
      </c>
      <c r="J42" s="23">
        <v>-63.894159999999978</v>
      </c>
      <c r="K42" s="23">
        <v>-76.007580000000033</v>
      </c>
      <c r="L42" s="23">
        <v>-81.171199999999956</v>
      </c>
      <c r="M42" s="23">
        <v>-80.740880000000004</v>
      </c>
      <c r="N42" s="23">
        <v>-85.845760000000013</v>
      </c>
      <c r="O42" s="23">
        <v>-87.161139999999975</v>
      </c>
      <c r="P42" s="23">
        <v>-97.324259999999953</v>
      </c>
      <c r="Q42" s="23">
        <v>-104.30134000000004</v>
      </c>
      <c r="R42" s="23">
        <v>-112.84592000000001</v>
      </c>
      <c r="S42" s="23">
        <v>-114.06406000000001</v>
      </c>
      <c r="T42" s="23">
        <v>-114.83340000000001</v>
      </c>
      <c r="U42" s="23">
        <v>-119.94444000000003</v>
      </c>
      <c r="V42" s="23">
        <v>-117.56492000000004</v>
      </c>
      <c r="W42">
        <v>-115.36998</v>
      </c>
    </row>
    <row r="43" spans="2:23">
      <c r="B43" s="28" t="s">
        <v>1020</v>
      </c>
      <c r="C43" s="28"/>
      <c r="D43" s="28"/>
      <c r="E43" s="28"/>
      <c r="F43" s="28"/>
      <c r="G43" s="28"/>
      <c r="H43" s="28"/>
      <c r="I43" s="48">
        <f>SUM(J43:V43)</f>
        <v>4452.0239399999991</v>
      </c>
      <c r="J43" s="47">
        <f>SUM(J40,J42)</f>
        <v>226.53383999999991</v>
      </c>
      <c r="K43" s="47">
        <f t="shared" ref="K43:V43" si="11">SUM(K40,K42)</f>
        <v>269.48142000000013</v>
      </c>
      <c r="L43" s="47">
        <f t="shared" si="11"/>
        <v>287.78879999999987</v>
      </c>
      <c r="M43" s="47">
        <f t="shared" si="11"/>
        <v>286.26312000000001</v>
      </c>
      <c r="N43" s="47">
        <f t="shared" si="11"/>
        <v>304.36224000000004</v>
      </c>
      <c r="O43" s="47">
        <f t="shared" si="11"/>
        <v>309.02585999999991</v>
      </c>
      <c r="P43" s="47">
        <f t="shared" si="11"/>
        <v>345.05873999999983</v>
      </c>
      <c r="Q43" s="47">
        <f t="shared" si="11"/>
        <v>369.79566000000011</v>
      </c>
      <c r="R43" s="47">
        <f t="shared" si="11"/>
        <v>400.09008000000006</v>
      </c>
      <c r="S43" s="47">
        <f t="shared" si="11"/>
        <v>404.40894000000003</v>
      </c>
      <c r="T43" s="47">
        <f t="shared" si="11"/>
        <v>407.13660000000004</v>
      </c>
      <c r="U43" s="47">
        <f t="shared" si="11"/>
        <v>425.25756000000007</v>
      </c>
      <c r="V43" s="47">
        <f t="shared" si="11"/>
        <v>416.82108000000017</v>
      </c>
    </row>
    <row r="45" spans="2:23">
      <c r="B45" t="s">
        <v>259</v>
      </c>
      <c r="I45">
        <f>I96</f>
        <v>188.833</v>
      </c>
      <c r="J45">
        <f>$I$45+SUM($J$43:J43)</f>
        <v>415.36683999999991</v>
      </c>
      <c r="K45">
        <f>$I$45+SUM($J$43:K43)</f>
        <v>684.84825999999998</v>
      </c>
      <c r="L45">
        <f>$I$45+SUM($J$43:L43)</f>
        <v>972.63705999999991</v>
      </c>
      <c r="M45">
        <f>$I$45+SUM($J$43:M43)</f>
        <v>1258.9001800000001</v>
      </c>
      <c r="N45">
        <f>$I$45+SUM($J$43:N43)</f>
        <v>1563.26242</v>
      </c>
      <c r="O45">
        <f>$I$45+SUM($J$43:O43)</f>
        <v>1872.28828</v>
      </c>
      <c r="P45">
        <f>$I$45+SUM($J$43:P43)</f>
        <v>2217.3470199999997</v>
      </c>
      <c r="Q45">
        <f>$I$45+SUM($J$43:Q43)</f>
        <v>2587.1426799999999</v>
      </c>
      <c r="R45">
        <f>$I$45+SUM($J$43:R43)</f>
        <v>2987.2327599999999</v>
      </c>
      <c r="S45">
        <f>$I$45+SUM($J$43:S43)</f>
        <v>3391.6416999999997</v>
      </c>
      <c r="T45">
        <f>$I$45+SUM($J$43:T43)</f>
        <v>3798.7782999999995</v>
      </c>
      <c r="U45">
        <f>$I$45+SUM($J$43:U43)</f>
        <v>4224.035859999999</v>
      </c>
      <c r="V45">
        <f>$I$45+SUM($J$43:V43)</f>
        <v>4640.8569399999988</v>
      </c>
    </row>
    <row r="47" spans="2:23">
      <c r="B47" s="407" t="s">
        <v>32</v>
      </c>
      <c r="C47" s="407"/>
      <c r="D47" s="407"/>
      <c r="E47" s="407"/>
      <c r="F47" s="407"/>
      <c r="G47" s="407"/>
      <c r="H47" s="407"/>
      <c r="I47" s="407"/>
      <c r="J47" s="9">
        <f t="shared" ref="J47:V47" si="12">J8</f>
        <v>2024</v>
      </c>
      <c r="K47" s="9">
        <f t="shared" si="12"/>
        <v>2025</v>
      </c>
      <c r="L47" s="9">
        <f t="shared" si="12"/>
        <v>2026</v>
      </c>
      <c r="M47" s="9">
        <f t="shared" si="12"/>
        <v>2027</v>
      </c>
      <c r="N47" s="9">
        <f t="shared" si="12"/>
        <v>2028</v>
      </c>
      <c r="O47" s="9">
        <f t="shared" si="12"/>
        <v>2029</v>
      </c>
      <c r="P47" s="9">
        <f t="shared" si="12"/>
        <v>2030</v>
      </c>
      <c r="Q47" s="9">
        <f t="shared" si="12"/>
        <v>2031</v>
      </c>
      <c r="R47" s="9">
        <f t="shared" si="12"/>
        <v>2032</v>
      </c>
      <c r="S47" s="9">
        <f t="shared" si="12"/>
        <v>2033</v>
      </c>
      <c r="T47" s="9">
        <f t="shared" si="12"/>
        <v>2034</v>
      </c>
      <c r="U47" s="9">
        <f t="shared" si="12"/>
        <v>2035</v>
      </c>
      <c r="V47" s="9">
        <f t="shared" si="12"/>
        <v>2036</v>
      </c>
    </row>
    <row r="48" spans="2:23">
      <c r="B48" s="55" t="s">
        <v>1021</v>
      </c>
      <c r="C48" s="51"/>
      <c r="D48" s="51"/>
      <c r="E48" s="51"/>
      <c r="F48" s="51"/>
      <c r="G48" s="51"/>
      <c r="H48" s="51"/>
      <c r="I48" s="51"/>
      <c r="J48" s="56">
        <f>IFERROR(J31/J29,0)</f>
        <v>0.37770989357508866</v>
      </c>
      <c r="K48" s="56">
        <f t="shared" ref="K48:V48" si="13">IFERROR(K31/K29,0)</f>
        <v>0.37861245327741821</v>
      </c>
      <c r="L48" s="56">
        <f t="shared" si="13"/>
        <v>0.37917381549425888</v>
      </c>
      <c r="M48" s="56">
        <f t="shared" si="13"/>
        <v>0.37988581466842336</v>
      </c>
      <c r="N48" s="56">
        <f t="shared" si="13"/>
        <v>0.380095450764044</v>
      </c>
      <c r="O48" s="56">
        <f t="shared" si="13"/>
        <v>0.38007589305186024</v>
      </c>
      <c r="P48" s="56">
        <f t="shared" si="13"/>
        <v>0.37978886429422776</v>
      </c>
      <c r="Q48" s="56">
        <f t="shared" si="13"/>
        <v>0.38001875025475895</v>
      </c>
      <c r="R48" s="56">
        <f t="shared" si="13"/>
        <v>0.38053996909815402</v>
      </c>
      <c r="S48" s="56">
        <f t="shared" si="13"/>
        <v>0.38038374352331605</v>
      </c>
      <c r="T48" s="56">
        <f t="shared" si="13"/>
        <v>0.38021291923477146</v>
      </c>
      <c r="U48" s="56">
        <f t="shared" si="13"/>
        <v>0.38034828739476417</v>
      </c>
      <c r="V48" s="56">
        <f t="shared" si="13"/>
        <v>0.38023220287198295</v>
      </c>
    </row>
    <row r="49" spans="2:23">
      <c r="B49" s="55" t="s">
        <v>1022</v>
      </c>
      <c r="C49" s="51"/>
      <c r="D49" s="51"/>
      <c r="E49" s="51"/>
      <c r="F49" s="51"/>
      <c r="G49" s="51"/>
      <c r="H49" s="51"/>
      <c r="I49" s="51"/>
      <c r="J49" s="56">
        <f>IFERROR(J34/J29,0)</f>
        <v>0.27389633425305471</v>
      </c>
      <c r="K49" s="56">
        <f t="shared" ref="K49:V49" si="14">IFERROR(K34/K29,0)</f>
        <v>0.27997082687574076</v>
      </c>
      <c r="L49" s="56">
        <f t="shared" si="14"/>
        <v>0.28076195503937346</v>
      </c>
      <c r="M49" s="56">
        <f t="shared" si="14"/>
        <v>0.27821695212999559</v>
      </c>
      <c r="N49" s="56">
        <f t="shared" si="14"/>
        <v>0.2751433950698367</v>
      </c>
      <c r="O49" s="56">
        <f t="shared" si="14"/>
        <v>0.27190648580276527</v>
      </c>
      <c r="P49" s="56">
        <f t="shared" si="14"/>
        <v>0.27051762302060267</v>
      </c>
      <c r="Q49" s="56">
        <f t="shared" si="14"/>
        <v>0.27171564831043904</v>
      </c>
      <c r="R49" s="56">
        <f t="shared" si="14"/>
        <v>0.26872407904366924</v>
      </c>
      <c r="S49" s="56">
        <f t="shared" si="14"/>
        <v>0.26517972797927464</v>
      </c>
      <c r="T49" s="56">
        <f t="shared" si="14"/>
        <v>0.26230689185944128</v>
      </c>
      <c r="U49" s="56">
        <f t="shared" si="14"/>
        <v>0.26313766193826166</v>
      </c>
      <c r="V49" s="56">
        <f t="shared" si="14"/>
        <v>0.25970058050717998</v>
      </c>
    </row>
    <row r="50" spans="2:23">
      <c r="B50" s="55" t="s">
        <v>990</v>
      </c>
      <c r="C50" s="51"/>
      <c r="D50" s="51"/>
      <c r="E50" s="51"/>
      <c r="F50" s="51"/>
      <c r="G50" s="51"/>
      <c r="H50" s="51"/>
      <c r="I50" s="51"/>
      <c r="J50" s="52">
        <f>IFERROR(J43/J29,0)</f>
        <v>0.11161501773748518</v>
      </c>
      <c r="K50" s="52">
        <f t="shared" ref="K50:V50" si="15">IFERROR(K43/K29,0)</f>
        <v>0.12283773361290916</v>
      </c>
      <c r="L50" s="52">
        <f t="shared" si="15"/>
        <v>0.12660630856539523</v>
      </c>
      <c r="M50" s="52">
        <f t="shared" si="15"/>
        <v>0.12571942028985508</v>
      </c>
      <c r="N50" s="52">
        <f t="shared" si="15"/>
        <v>0.1332642585051885</v>
      </c>
      <c r="O50" s="52">
        <f t="shared" si="15"/>
        <v>0.13478687137436207</v>
      </c>
      <c r="P50" s="52">
        <f t="shared" si="15"/>
        <v>0.14688350927975474</v>
      </c>
      <c r="Q50" s="52">
        <f t="shared" si="15"/>
        <v>0.15073397464639468</v>
      </c>
      <c r="R50" s="52">
        <f t="shared" si="15"/>
        <v>0.16267792144425472</v>
      </c>
      <c r="S50" s="52">
        <f t="shared" si="15"/>
        <v>0.16370180537564769</v>
      </c>
      <c r="T50" s="52">
        <f t="shared" si="15"/>
        <v>0.16294588969823104</v>
      </c>
      <c r="U50" s="52">
        <f t="shared" si="15"/>
        <v>0.16347886056971517</v>
      </c>
      <c r="V50" s="52">
        <f t="shared" si="15"/>
        <v>0.15918923006416139</v>
      </c>
    </row>
    <row r="52" spans="2:23" ht="24" thickBot="1">
      <c r="B52" s="14" t="s">
        <v>1050</v>
      </c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</row>
    <row r="54" spans="2:23" ht="15.75">
      <c r="B54" s="15" t="s">
        <v>1051</v>
      </c>
    </row>
    <row r="55" spans="2:23">
      <c r="B55" s="407" t="s">
        <v>334</v>
      </c>
      <c r="J55" s="1">
        <f>J43</f>
        <v>226.53383999999991</v>
      </c>
      <c r="K55" s="1">
        <f t="shared" ref="K55:V55" si="16">K43</f>
        <v>269.48142000000013</v>
      </c>
      <c r="L55" s="1">
        <f t="shared" si="16"/>
        <v>287.78879999999987</v>
      </c>
      <c r="M55" s="1">
        <f t="shared" si="16"/>
        <v>286.26312000000001</v>
      </c>
      <c r="N55" s="1">
        <f t="shared" si="16"/>
        <v>304.36224000000004</v>
      </c>
      <c r="O55" s="1">
        <f t="shared" si="16"/>
        <v>309.02585999999991</v>
      </c>
      <c r="P55" s="1">
        <f t="shared" si="16"/>
        <v>345.05873999999983</v>
      </c>
      <c r="Q55" s="1">
        <f t="shared" si="16"/>
        <v>369.79566000000011</v>
      </c>
      <c r="R55" s="1">
        <f t="shared" si="16"/>
        <v>400.09008000000006</v>
      </c>
      <c r="S55" s="1">
        <f t="shared" si="16"/>
        <v>404.40894000000003</v>
      </c>
      <c r="T55" s="1">
        <f t="shared" si="16"/>
        <v>407.13660000000004</v>
      </c>
      <c r="U55" s="1">
        <f t="shared" si="16"/>
        <v>425.25756000000007</v>
      </c>
      <c r="V55" s="1">
        <f t="shared" si="16"/>
        <v>416.82108000000017</v>
      </c>
    </row>
    <row r="56" spans="2:23">
      <c r="B56" s="407" t="s">
        <v>492</v>
      </c>
      <c r="J56" s="1">
        <f>-J36</f>
        <v>206.9</v>
      </c>
      <c r="K56" s="1">
        <f t="shared" ref="K56:V56" si="17">-K36</f>
        <v>220.2</v>
      </c>
      <c r="L56" s="1">
        <f t="shared" si="17"/>
        <v>227.8</v>
      </c>
      <c r="M56" s="1">
        <f t="shared" si="17"/>
        <v>235</v>
      </c>
      <c r="N56" s="1">
        <f t="shared" si="17"/>
        <v>214.3</v>
      </c>
      <c r="O56" s="1">
        <f t="shared" si="17"/>
        <v>207.7</v>
      </c>
      <c r="P56" s="1">
        <f t="shared" si="17"/>
        <v>176.6</v>
      </c>
      <c r="Q56" s="1">
        <f t="shared" si="17"/>
        <v>176.9</v>
      </c>
      <c r="R56" s="1">
        <f t="shared" si="17"/>
        <v>133.69999999999999</v>
      </c>
      <c r="S56" s="1">
        <f t="shared" si="17"/>
        <v>122.9</v>
      </c>
      <c r="T56" s="1">
        <f t="shared" si="17"/>
        <v>119</v>
      </c>
      <c r="U56" s="1">
        <f t="shared" si="17"/>
        <v>124.3</v>
      </c>
      <c r="V56" s="1">
        <f t="shared" si="17"/>
        <v>130.19999999999999</v>
      </c>
    </row>
    <row r="57" spans="2:23">
      <c r="B57" s="407" t="s">
        <v>1052</v>
      </c>
      <c r="J57" s="23">
        <v>-16.7</v>
      </c>
      <c r="K57" s="23">
        <v>-15.6</v>
      </c>
      <c r="L57" s="23">
        <v>-7.6</v>
      </c>
      <c r="M57" s="23">
        <v>-0.7</v>
      </c>
      <c r="N57" s="23">
        <v>-0.8</v>
      </c>
      <c r="O57" s="23">
        <v>-0.8</v>
      </c>
      <c r="P57" s="23">
        <v>-5.0999999999999996</v>
      </c>
      <c r="Q57" s="23">
        <v>-9.8000000000000007</v>
      </c>
      <c r="R57" s="23">
        <v>-0.9</v>
      </c>
      <c r="S57" s="23">
        <v>-0.9</v>
      </c>
      <c r="T57" s="23">
        <v>-2.5</v>
      </c>
      <c r="U57" s="23">
        <v>-9.6</v>
      </c>
      <c r="V57" s="23">
        <v>-1.5</v>
      </c>
      <c r="W57">
        <v>-1.7</v>
      </c>
    </row>
    <row r="58" spans="2:23">
      <c r="B58" s="28" t="s">
        <v>1053</v>
      </c>
      <c r="C58" s="28"/>
      <c r="D58" s="28"/>
      <c r="E58" s="28"/>
      <c r="F58" s="28"/>
      <c r="G58" s="28"/>
      <c r="H58" s="28"/>
      <c r="I58" s="28"/>
      <c r="J58" s="47">
        <f>SUM(J55:J57)</f>
        <v>416.73383999999993</v>
      </c>
      <c r="K58" s="47">
        <f t="shared" ref="K58:V58" si="18">SUM(K55:K57)</f>
        <v>474.08142000000009</v>
      </c>
      <c r="L58" s="47">
        <f t="shared" si="18"/>
        <v>507.98879999999986</v>
      </c>
      <c r="M58" s="47">
        <f t="shared" si="18"/>
        <v>520.56312000000003</v>
      </c>
      <c r="N58" s="47">
        <f t="shared" si="18"/>
        <v>517.86224000000016</v>
      </c>
      <c r="O58" s="47">
        <f t="shared" si="18"/>
        <v>515.92585999999994</v>
      </c>
      <c r="P58" s="47">
        <f t="shared" si="18"/>
        <v>516.55873999999983</v>
      </c>
      <c r="Q58" s="47">
        <f t="shared" si="18"/>
        <v>536.89566000000013</v>
      </c>
      <c r="R58" s="47">
        <f t="shared" si="18"/>
        <v>532.89008000000001</v>
      </c>
      <c r="S58" s="47">
        <f t="shared" si="18"/>
        <v>526.40894000000003</v>
      </c>
      <c r="T58" s="47">
        <f t="shared" si="18"/>
        <v>523.63660000000004</v>
      </c>
      <c r="U58" s="47">
        <f t="shared" si="18"/>
        <v>539.95756000000006</v>
      </c>
      <c r="V58" s="47">
        <f t="shared" si="18"/>
        <v>545.52108000000021</v>
      </c>
    </row>
    <row r="60" spans="2:23" ht="15.75">
      <c r="B60" s="15" t="s">
        <v>1054</v>
      </c>
    </row>
    <row r="61" spans="2:23">
      <c r="B61" s="407" t="s">
        <v>1055</v>
      </c>
      <c r="J61" s="23">
        <f>-J41</f>
        <v>0</v>
      </c>
      <c r="K61" s="23">
        <f t="shared" ref="K61:V61" si="19">-K41</f>
        <v>0</v>
      </c>
      <c r="L61" s="23">
        <f t="shared" si="19"/>
        <v>0</v>
      </c>
      <c r="M61" s="23">
        <f t="shared" si="19"/>
        <v>0</v>
      </c>
      <c r="N61" s="23">
        <f t="shared" si="19"/>
        <v>0</v>
      </c>
      <c r="O61" s="23">
        <f t="shared" si="19"/>
        <v>0</v>
      </c>
      <c r="P61" s="23">
        <f t="shared" si="19"/>
        <v>0</v>
      </c>
      <c r="Q61" s="23">
        <f t="shared" si="19"/>
        <v>0</v>
      </c>
      <c r="R61" s="23">
        <f t="shared" si="19"/>
        <v>0</v>
      </c>
      <c r="S61" s="23">
        <f t="shared" si="19"/>
        <v>0</v>
      </c>
      <c r="T61" s="23">
        <f t="shared" si="19"/>
        <v>0</v>
      </c>
      <c r="U61" s="23">
        <f t="shared" si="19"/>
        <v>0</v>
      </c>
      <c r="V61" s="23">
        <f t="shared" si="19"/>
        <v>0</v>
      </c>
    </row>
    <row r="62" spans="2:23">
      <c r="B62" t="s">
        <v>1056</v>
      </c>
      <c r="J62" s="19">
        <v>-213.3</v>
      </c>
      <c r="K62" s="19">
        <v>-174.6</v>
      </c>
      <c r="L62" s="19">
        <v>-136.30000000000001</v>
      </c>
      <c r="M62" s="19">
        <v>-90.5</v>
      </c>
      <c r="N62" s="19">
        <v>-94.1</v>
      </c>
      <c r="O62" s="19">
        <v>-88</v>
      </c>
      <c r="P62" s="19">
        <v>-120.7</v>
      </c>
      <c r="Q62" s="19">
        <v>-108.7</v>
      </c>
      <c r="R62" s="19">
        <v>-80.400000000000006</v>
      </c>
      <c r="S62" s="19">
        <v>-117.7</v>
      </c>
      <c r="T62" s="19">
        <v>-120.3</v>
      </c>
      <c r="U62" s="19">
        <v>-123.3</v>
      </c>
      <c r="V62" s="19">
        <v>-126.8</v>
      </c>
      <c r="W62" s="19">
        <v>-130.80000000000001</v>
      </c>
    </row>
    <row r="63" spans="2:23">
      <c r="B63" s="28" t="s">
        <v>1054</v>
      </c>
      <c r="C63" s="28"/>
      <c r="D63" s="28"/>
      <c r="E63" s="28"/>
      <c r="F63" s="28"/>
      <c r="G63" s="28"/>
      <c r="H63" s="28"/>
      <c r="I63" s="28"/>
      <c r="J63" s="28">
        <f>SUM(J62)</f>
        <v>-213.3</v>
      </c>
      <c r="K63" s="28">
        <f t="shared" ref="K63:V63" si="20">SUM(K62)</f>
        <v>-174.6</v>
      </c>
      <c r="L63" s="28">
        <f t="shared" si="20"/>
        <v>-136.30000000000001</v>
      </c>
      <c r="M63" s="28">
        <f t="shared" si="20"/>
        <v>-90.5</v>
      </c>
      <c r="N63" s="28">
        <f t="shared" si="20"/>
        <v>-94.1</v>
      </c>
      <c r="O63" s="28">
        <f t="shared" si="20"/>
        <v>-88</v>
      </c>
      <c r="P63" s="28">
        <f t="shared" si="20"/>
        <v>-120.7</v>
      </c>
      <c r="Q63" s="28">
        <f t="shared" si="20"/>
        <v>-108.7</v>
      </c>
      <c r="R63" s="28">
        <f t="shared" si="20"/>
        <v>-80.400000000000006</v>
      </c>
      <c r="S63" s="28">
        <f t="shared" si="20"/>
        <v>-117.7</v>
      </c>
      <c r="T63" s="28">
        <f t="shared" si="20"/>
        <v>-120.3</v>
      </c>
      <c r="U63" s="28">
        <f t="shared" si="20"/>
        <v>-123.3</v>
      </c>
      <c r="V63" s="28">
        <f t="shared" si="20"/>
        <v>-126.8</v>
      </c>
    </row>
    <row r="65" spans="2:22" ht="15.75">
      <c r="B65" s="15" t="s">
        <v>1057</v>
      </c>
    </row>
    <row r="66" spans="2:22">
      <c r="B66" s="407" t="s">
        <v>1058</v>
      </c>
      <c r="J66" s="23"/>
      <c r="K66" s="23">
        <f>2439.75*0</f>
        <v>0</v>
      </c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</row>
    <row r="67" spans="2:22">
      <c r="B67" s="407" t="s">
        <v>1059</v>
      </c>
      <c r="J67" s="23">
        <f>Calculation_Sapphire!J86</f>
        <v>-43.113999999999976</v>
      </c>
      <c r="K67" s="23">
        <f>Calculation_Sapphire!K86</f>
        <v>-15.5</v>
      </c>
      <c r="L67" s="23">
        <f>Calculation_Sapphire!L86</f>
        <v>-24.849</v>
      </c>
      <c r="M67" s="23">
        <f>Calculation_Sapphire!M86</f>
        <v>-34.289000000000001</v>
      </c>
      <c r="N67" s="23">
        <f>Calculation_Sapphire!N86</f>
        <v>-61.103999999999999</v>
      </c>
      <c r="O67" s="23">
        <f>Calculation_Sapphire!O86</f>
        <v>-37.963000000000001</v>
      </c>
      <c r="P67" s="23">
        <f>Calculation_Sapphire!P86</f>
        <v>-50.898000000000003</v>
      </c>
      <c r="Q67" s="23">
        <f>Calculation_Sapphire!Q86</f>
        <v>-21.397000000000013</v>
      </c>
      <c r="R67" s="23">
        <f>Calculation_Sapphire!R86</f>
        <v>0</v>
      </c>
      <c r="S67" s="23">
        <f>Calculation_Sapphire!S86</f>
        <v>0</v>
      </c>
      <c r="T67" s="23">
        <f>Calculation_Sapphire!T86</f>
        <v>0</v>
      </c>
      <c r="U67" s="23">
        <f>Calculation_Sapphire!U86</f>
        <v>0</v>
      </c>
      <c r="V67" s="23">
        <f>Calculation_Sapphire!V86</f>
        <v>0</v>
      </c>
    </row>
    <row r="68" spans="2:22">
      <c r="B68" s="407" t="s">
        <v>1060</v>
      </c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</row>
    <row r="69" spans="2:22">
      <c r="B69" s="28" t="s">
        <v>1057</v>
      </c>
      <c r="C69" s="28"/>
      <c r="D69" s="28"/>
      <c r="E69" s="28"/>
      <c r="F69" s="28"/>
      <c r="G69" s="28"/>
      <c r="H69" s="28"/>
      <c r="I69" s="28"/>
      <c r="J69" s="47">
        <f>SUM(J66:J68)</f>
        <v>-43.113999999999976</v>
      </c>
      <c r="K69" s="47">
        <f t="shared" ref="K69:V69" si="21">SUM(K66:K68)</f>
        <v>-15.5</v>
      </c>
      <c r="L69" s="47">
        <f t="shared" si="21"/>
        <v>-24.849</v>
      </c>
      <c r="M69" s="47">
        <f t="shared" si="21"/>
        <v>-34.289000000000001</v>
      </c>
      <c r="N69" s="47">
        <f t="shared" si="21"/>
        <v>-61.103999999999999</v>
      </c>
      <c r="O69" s="47">
        <f t="shared" si="21"/>
        <v>-37.963000000000001</v>
      </c>
      <c r="P69" s="47">
        <f t="shared" si="21"/>
        <v>-50.898000000000003</v>
      </c>
      <c r="Q69" s="47">
        <f t="shared" si="21"/>
        <v>-21.397000000000013</v>
      </c>
      <c r="R69" s="47">
        <f t="shared" si="21"/>
        <v>0</v>
      </c>
      <c r="S69" s="47">
        <f t="shared" si="21"/>
        <v>0</v>
      </c>
      <c r="T69" s="47">
        <f t="shared" si="21"/>
        <v>0</v>
      </c>
      <c r="U69" s="47">
        <f t="shared" si="21"/>
        <v>0</v>
      </c>
      <c r="V69" s="47">
        <f t="shared" si="21"/>
        <v>0</v>
      </c>
    </row>
    <row r="71" spans="2:22">
      <c r="B71" t="s">
        <v>1061</v>
      </c>
      <c r="J71" s="23">
        <f t="shared" ref="J71:V71" si="22">SUM(J58,J63,J69)</f>
        <v>160.31983999999994</v>
      </c>
      <c r="K71" s="23">
        <f t="shared" si="22"/>
        <v>283.98142000000007</v>
      </c>
      <c r="L71" s="23">
        <f t="shared" si="22"/>
        <v>346.83979999999985</v>
      </c>
      <c r="M71" s="23">
        <f t="shared" si="22"/>
        <v>395.77412000000004</v>
      </c>
      <c r="N71" s="23">
        <f t="shared" si="22"/>
        <v>362.65824000000015</v>
      </c>
      <c r="O71" s="23">
        <f t="shared" si="22"/>
        <v>389.96285999999992</v>
      </c>
      <c r="P71" s="23">
        <f t="shared" si="22"/>
        <v>344.96073999999982</v>
      </c>
      <c r="Q71" s="23">
        <f t="shared" si="22"/>
        <v>406.79866000000015</v>
      </c>
      <c r="R71" s="23">
        <f t="shared" si="22"/>
        <v>452.49008000000003</v>
      </c>
      <c r="S71" s="23">
        <f t="shared" si="22"/>
        <v>408.70894000000004</v>
      </c>
      <c r="T71" s="23">
        <f t="shared" si="22"/>
        <v>403.33660000000003</v>
      </c>
      <c r="U71" s="23">
        <f t="shared" si="22"/>
        <v>416.65756000000005</v>
      </c>
      <c r="V71" s="23">
        <f t="shared" si="22"/>
        <v>418.7210800000002</v>
      </c>
    </row>
    <row r="72" spans="2:22">
      <c r="B72" t="s">
        <v>57</v>
      </c>
      <c r="J72" s="23">
        <f>I73</f>
        <v>252.72300000000001</v>
      </c>
      <c r="K72" s="23">
        <f t="shared" ref="K72:V72" si="23">J73</f>
        <v>413.04283999999996</v>
      </c>
      <c r="L72" s="23">
        <f t="shared" si="23"/>
        <v>697.02426000000003</v>
      </c>
      <c r="M72" s="23">
        <f t="shared" si="23"/>
        <v>1043.8640599999999</v>
      </c>
      <c r="N72" s="23">
        <f t="shared" si="23"/>
        <v>1439.6381799999999</v>
      </c>
      <c r="O72" s="23">
        <f t="shared" si="23"/>
        <v>1802.2964200000001</v>
      </c>
      <c r="P72" s="23">
        <f t="shared" si="23"/>
        <v>2192.2592800000002</v>
      </c>
      <c r="Q72" s="23">
        <f t="shared" si="23"/>
        <v>2537.2200200000002</v>
      </c>
      <c r="R72" s="23">
        <f t="shared" si="23"/>
        <v>2944.0186800000001</v>
      </c>
      <c r="S72" s="23">
        <f t="shared" si="23"/>
        <v>3396.5087600000002</v>
      </c>
      <c r="T72" s="23">
        <f t="shared" si="23"/>
        <v>3805.2177000000001</v>
      </c>
      <c r="U72" s="23">
        <f t="shared" si="23"/>
        <v>4208.5542999999998</v>
      </c>
      <c r="V72" s="23">
        <f t="shared" si="23"/>
        <v>4625.2118599999994</v>
      </c>
    </row>
    <row r="73" spans="2:22">
      <c r="B73" s="28" t="s">
        <v>60</v>
      </c>
      <c r="C73" s="28"/>
      <c r="D73" s="28"/>
      <c r="E73" s="28"/>
      <c r="F73" s="28"/>
      <c r="G73" s="28"/>
      <c r="H73" s="28"/>
      <c r="I73" s="28">
        <v>252.72300000000001</v>
      </c>
      <c r="J73" s="47">
        <f>SUM(J71:J72)</f>
        <v>413.04283999999996</v>
      </c>
      <c r="K73" s="47">
        <f t="shared" ref="K73:V73" si="24">SUM(K71:K72)</f>
        <v>697.02426000000003</v>
      </c>
      <c r="L73" s="47">
        <f t="shared" si="24"/>
        <v>1043.8640599999999</v>
      </c>
      <c r="M73" s="47">
        <f t="shared" si="24"/>
        <v>1439.6381799999999</v>
      </c>
      <c r="N73" s="47">
        <f t="shared" si="24"/>
        <v>1802.2964200000001</v>
      </c>
      <c r="O73" s="47">
        <f t="shared" si="24"/>
        <v>2192.2592800000002</v>
      </c>
      <c r="P73" s="47">
        <f t="shared" si="24"/>
        <v>2537.2200200000002</v>
      </c>
      <c r="Q73" s="47">
        <f t="shared" si="24"/>
        <v>2944.0186800000001</v>
      </c>
      <c r="R73" s="47">
        <f t="shared" si="24"/>
        <v>3396.5087600000002</v>
      </c>
      <c r="S73" s="47">
        <f t="shared" si="24"/>
        <v>3805.2177000000001</v>
      </c>
      <c r="T73" s="47">
        <f t="shared" si="24"/>
        <v>4208.5542999999998</v>
      </c>
      <c r="U73" s="47">
        <f t="shared" si="24"/>
        <v>4625.2118599999994</v>
      </c>
      <c r="V73" s="47">
        <f t="shared" si="24"/>
        <v>5043.9329399999997</v>
      </c>
    </row>
    <row r="75" spans="2:22">
      <c r="I75" s="34">
        <f>SUM(J75:V75)</f>
        <v>0</v>
      </c>
      <c r="J75" s="34">
        <f>IF(J73&gt;0,0,1)</f>
        <v>0</v>
      </c>
      <c r="K75" s="34">
        <f t="shared" ref="K75:V75" si="25">IF(K73&gt;0,0,1)</f>
        <v>0</v>
      </c>
      <c r="L75" s="34">
        <f t="shared" si="25"/>
        <v>0</v>
      </c>
      <c r="M75" s="34">
        <f t="shared" si="25"/>
        <v>0</v>
      </c>
      <c r="N75" s="34">
        <f t="shared" si="25"/>
        <v>0</v>
      </c>
      <c r="O75" s="34">
        <f t="shared" si="25"/>
        <v>0</v>
      </c>
      <c r="P75" s="34">
        <f t="shared" si="25"/>
        <v>0</v>
      </c>
      <c r="Q75" s="34">
        <f t="shared" si="25"/>
        <v>0</v>
      </c>
      <c r="R75" s="34">
        <f t="shared" si="25"/>
        <v>0</v>
      </c>
      <c r="S75" s="34">
        <f t="shared" si="25"/>
        <v>0</v>
      </c>
      <c r="T75" s="34">
        <f t="shared" si="25"/>
        <v>0</v>
      </c>
      <c r="U75" s="34">
        <f t="shared" si="25"/>
        <v>0</v>
      </c>
      <c r="V75" s="34">
        <f t="shared" si="25"/>
        <v>0</v>
      </c>
    </row>
    <row r="77" spans="2:22" ht="24" outlineLevel="1" thickBot="1">
      <c r="B77" s="14" t="s">
        <v>1062</v>
      </c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</row>
    <row r="78" spans="2:22" outlineLevel="1"/>
    <row r="79" spans="2:22" ht="15.75" outlineLevel="1">
      <c r="B79" s="15" t="s">
        <v>1063</v>
      </c>
    </row>
    <row r="80" spans="2:22" outlineLevel="1">
      <c r="B80" s="407" t="s">
        <v>1064</v>
      </c>
      <c r="I80">
        <f>I73</f>
        <v>252.72300000000001</v>
      </c>
      <c r="J80">
        <f>J73</f>
        <v>413.04283999999996</v>
      </c>
      <c r="K80">
        <f t="shared" ref="K80:V80" si="26">K73</f>
        <v>697.02426000000003</v>
      </c>
      <c r="L80">
        <f t="shared" si="26"/>
        <v>1043.8640599999999</v>
      </c>
      <c r="M80">
        <f t="shared" si="26"/>
        <v>1439.6381799999999</v>
      </c>
      <c r="N80">
        <f t="shared" si="26"/>
        <v>1802.2964200000001</v>
      </c>
      <c r="O80">
        <f t="shared" si="26"/>
        <v>2192.2592800000002</v>
      </c>
      <c r="P80">
        <f t="shared" si="26"/>
        <v>2537.2200200000002</v>
      </c>
      <c r="Q80">
        <f t="shared" si="26"/>
        <v>2944.0186800000001</v>
      </c>
      <c r="R80">
        <f t="shared" si="26"/>
        <v>3396.5087600000002</v>
      </c>
      <c r="S80">
        <f t="shared" si="26"/>
        <v>3805.2177000000001</v>
      </c>
      <c r="T80">
        <f t="shared" si="26"/>
        <v>4208.5542999999998</v>
      </c>
      <c r="U80">
        <f t="shared" si="26"/>
        <v>4625.2118599999994</v>
      </c>
      <c r="V80">
        <f t="shared" si="26"/>
        <v>5043.9329399999997</v>
      </c>
    </row>
    <row r="81" spans="2:22" outlineLevel="1">
      <c r="B81" s="407" t="s">
        <v>204</v>
      </c>
      <c r="I81" s="22"/>
      <c r="J81" s="200"/>
      <c r="K81" s="200"/>
      <c r="L81" s="200"/>
      <c r="M81" s="200"/>
      <c r="N81" s="200"/>
      <c r="O81" s="200"/>
      <c r="P81" s="200"/>
      <c r="Q81" s="200"/>
      <c r="R81" s="200"/>
      <c r="S81" s="200"/>
      <c r="T81" s="200"/>
      <c r="U81" s="200"/>
      <c r="V81" s="200"/>
    </row>
    <row r="82" spans="2:22" outlineLevel="1">
      <c r="B82" s="407" t="s">
        <v>304</v>
      </c>
      <c r="I82">
        <f>Calculation_Sapphire!I35</f>
        <v>224.09534246575342</v>
      </c>
      <c r="J82">
        <f>Calculation_Sapphire!J36</f>
        <v>249.5445901639344</v>
      </c>
      <c r="K82">
        <f>Calculation_Sapphire!K36</f>
        <v>273.66383561643835</v>
      </c>
      <c r="L82">
        <f>Calculation_Sapphire!L36</f>
        <v>285.20904109589037</v>
      </c>
      <c r="M82">
        <f>Calculation_Sapphire!M36</f>
        <v>285.9747945205479</v>
      </c>
      <c r="N82">
        <f>Calculation_Sapphire!N36</f>
        <v>286.76918032786881</v>
      </c>
      <c r="O82">
        <f>Calculation_Sapphire!O36</f>
        <v>288.33917808219178</v>
      </c>
      <c r="P82">
        <f>Calculation_Sapphire!P36</f>
        <v>296.3734246575342</v>
      </c>
      <c r="Q82">
        <f>Calculation_Sapphire!Q36</f>
        <v>311.43369863013697</v>
      </c>
      <c r="R82">
        <f>Calculation_Sapphire!R36</f>
        <v>312.19704918032789</v>
      </c>
      <c r="S82">
        <f>Calculation_Sapphire!S36</f>
        <v>314.03095890410958</v>
      </c>
      <c r="T82">
        <f>Calculation_Sapphire!T36</f>
        <v>0</v>
      </c>
      <c r="U82">
        <f>Calculation_Sapphire!U36</f>
        <v>0</v>
      </c>
      <c r="V82">
        <f>Calculation_Sapphire!V36</f>
        <v>0</v>
      </c>
    </row>
    <row r="83" spans="2:22" outlineLevel="1">
      <c r="B83" s="407" t="s">
        <v>1065</v>
      </c>
      <c r="I83">
        <f>Calculation_Sapphire!I62</f>
        <v>1479.114</v>
      </c>
      <c r="J83">
        <f>Calculation_Sapphire!J62</f>
        <v>1485.5139999999999</v>
      </c>
      <c r="K83">
        <f>Calculation_Sapphire!K62</f>
        <v>1439.9139999999998</v>
      </c>
      <c r="L83">
        <f>Calculation_Sapphire!L62</f>
        <v>1348.4139999999998</v>
      </c>
      <c r="M83">
        <f>Calculation_Sapphire!M62</f>
        <v>1203.9139999999998</v>
      </c>
      <c r="N83">
        <f>Calculation_Sapphire!N62</f>
        <v>1083.7139999999997</v>
      </c>
      <c r="O83">
        <f>Calculation_Sapphire!O62</f>
        <v>964.01399999999967</v>
      </c>
      <c r="P83">
        <f>Calculation_Sapphire!P62</f>
        <v>908.11399999999969</v>
      </c>
      <c r="Q83">
        <f>Calculation_Sapphire!Q62</f>
        <v>839.91399999999976</v>
      </c>
      <c r="R83">
        <f>Calculation_Sapphire!R62</f>
        <v>786.61399999999981</v>
      </c>
      <c r="S83">
        <f>Calculation_Sapphire!S62</f>
        <v>781.41399999999987</v>
      </c>
      <c r="T83">
        <f>Calculation_Sapphire!T62</f>
        <v>782.71399999999983</v>
      </c>
      <c r="U83">
        <f>Calculation_Sapphire!U62</f>
        <v>781.71399999999983</v>
      </c>
      <c r="V83">
        <f>Calculation_Sapphire!V62</f>
        <v>778.31399999999985</v>
      </c>
    </row>
    <row r="84" spans="2:22" outlineLevel="1">
      <c r="B84" s="407" t="s">
        <v>318</v>
      </c>
      <c r="I84">
        <f>Calculation_Sapphire!I64</f>
        <v>1115.0886575342467</v>
      </c>
      <c r="J84">
        <f>I84</f>
        <v>1115.0886575342467</v>
      </c>
      <c r="K84">
        <f t="shared" ref="K84:V84" si="27">J84</f>
        <v>1115.0886575342467</v>
      </c>
      <c r="L84">
        <f t="shared" si="27"/>
        <v>1115.0886575342467</v>
      </c>
      <c r="M84">
        <f t="shared" si="27"/>
        <v>1115.0886575342467</v>
      </c>
      <c r="N84">
        <f t="shared" si="27"/>
        <v>1115.0886575342467</v>
      </c>
      <c r="O84">
        <f t="shared" si="27"/>
        <v>1115.0886575342467</v>
      </c>
      <c r="P84">
        <f t="shared" si="27"/>
        <v>1115.0886575342467</v>
      </c>
      <c r="Q84">
        <f t="shared" si="27"/>
        <v>1115.0886575342467</v>
      </c>
      <c r="R84">
        <f t="shared" si="27"/>
        <v>1115.0886575342467</v>
      </c>
      <c r="S84">
        <f t="shared" si="27"/>
        <v>1115.0886575342467</v>
      </c>
      <c r="T84">
        <f t="shared" si="27"/>
        <v>1115.0886575342467</v>
      </c>
      <c r="U84">
        <f t="shared" si="27"/>
        <v>1115.0886575342467</v>
      </c>
      <c r="V84">
        <f t="shared" si="27"/>
        <v>1115.0886575342467</v>
      </c>
    </row>
    <row r="85" spans="2:22" outlineLevel="1">
      <c r="B85" s="28" t="s">
        <v>174</v>
      </c>
      <c r="C85" s="28"/>
      <c r="D85" s="28"/>
      <c r="E85" s="28"/>
      <c r="F85" s="28"/>
      <c r="G85" s="28"/>
      <c r="H85" s="28"/>
      <c r="I85" s="28">
        <f>SUM(I80:I84)</f>
        <v>3071.0210000000002</v>
      </c>
      <c r="J85" s="28">
        <f t="shared" ref="J85:V85" si="28">SUM(J80:J84)</f>
        <v>3263.1900876981808</v>
      </c>
      <c r="K85" s="28">
        <f t="shared" si="28"/>
        <v>3525.6907531506849</v>
      </c>
      <c r="L85" s="28">
        <f t="shared" si="28"/>
        <v>3792.575758630137</v>
      </c>
      <c r="M85" s="28">
        <f t="shared" si="28"/>
        <v>4044.6156320547943</v>
      </c>
      <c r="N85" s="28">
        <f t="shared" si="28"/>
        <v>4287.8682578621156</v>
      </c>
      <c r="O85" s="28">
        <f t="shared" si="28"/>
        <v>4559.7011156164381</v>
      </c>
      <c r="P85" s="28">
        <f t="shared" si="28"/>
        <v>4856.7961021917808</v>
      </c>
      <c r="Q85" s="28">
        <f t="shared" si="28"/>
        <v>5210.4550361643833</v>
      </c>
      <c r="R85" s="28">
        <f t="shared" si="28"/>
        <v>5610.4084667145744</v>
      </c>
      <c r="S85" s="28">
        <f t="shared" si="28"/>
        <v>6015.7513164383563</v>
      </c>
      <c r="T85" s="28">
        <f t="shared" si="28"/>
        <v>6106.3569575342462</v>
      </c>
      <c r="U85" s="28">
        <f t="shared" si="28"/>
        <v>6522.0145175342459</v>
      </c>
      <c r="V85" s="28">
        <f t="shared" si="28"/>
        <v>6937.3355975342456</v>
      </c>
    </row>
    <row r="86" spans="2:22" outlineLevel="1"/>
    <row r="87" spans="2:22" ht="15.75" outlineLevel="1">
      <c r="B87" s="15" t="s">
        <v>1066</v>
      </c>
      <c r="J87" s="199"/>
      <c r="K87" s="199"/>
      <c r="L87" s="199"/>
      <c r="M87" s="199"/>
      <c r="N87" s="199"/>
      <c r="O87" s="199"/>
      <c r="P87" s="199"/>
      <c r="Q87" s="199"/>
      <c r="R87" s="199"/>
      <c r="S87" s="199"/>
      <c r="T87" s="199"/>
      <c r="U87" s="199"/>
      <c r="V87" s="199"/>
    </row>
    <row r="88" spans="2:22" outlineLevel="1">
      <c r="B88" s="407" t="s">
        <v>240</v>
      </c>
      <c r="I88" s="6">
        <f>Calculation_Sapphire!I45</f>
        <v>94.775342465753425</v>
      </c>
      <c r="J88">
        <f>Calculation_Sapphire!J45</f>
        <v>103.52459016393442</v>
      </c>
      <c r="K88">
        <f>Calculation_Sapphire!K45</f>
        <v>112.04383561643836</v>
      </c>
      <c r="L88">
        <f>Calculation_Sapphire!L45</f>
        <v>115.98904109589041</v>
      </c>
      <c r="M88">
        <f>Calculation_Sapphire!M45</f>
        <v>116.05479452054794</v>
      </c>
      <c r="N88">
        <f>Calculation_Sapphire!N45</f>
        <v>116.04918032786885</v>
      </c>
      <c r="O88">
        <f>Calculation_Sapphire!O45</f>
        <v>116.81917808219178</v>
      </c>
      <c r="P88">
        <f>Calculation_Sapphire!P45</f>
        <v>119.75342465753425</v>
      </c>
      <c r="Q88">
        <f>Calculation_Sapphire!Q45</f>
        <v>125.01369863013699</v>
      </c>
      <c r="R88">
        <f>Calculation_Sapphire!R45</f>
        <v>124.87704918032787</v>
      </c>
      <c r="S88">
        <f>Calculation_Sapphire!S45</f>
        <v>125.81095890410958</v>
      </c>
      <c r="T88">
        <f>Calculation_Sapphire!T45</f>
        <v>0</v>
      </c>
      <c r="U88">
        <f>Calculation_Sapphire!U45</f>
        <v>0</v>
      </c>
      <c r="V88">
        <f>Calculation_Sapphire!V45</f>
        <v>0</v>
      </c>
    </row>
    <row r="89" spans="2:22" outlineLevel="1">
      <c r="B89" s="407" t="s">
        <v>1067</v>
      </c>
      <c r="I89" s="6">
        <f>Calculation_Sapphire!I87</f>
        <v>289.11399999999998</v>
      </c>
      <c r="J89">
        <f>Calculation_Sapphire!J87</f>
        <v>246</v>
      </c>
      <c r="K89">
        <f>Calculation_Sapphire!K87</f>
        <v>230.5</v>
      </c>
      <c r="L89">
        <f>Calculation_Sapphire!L87</f>
        <v>205.65100000000001</v>
      </c>
      <c r="M89">
        <f>Calculation_Sapphire!M87</f>
        <v>171.36200000000002</v>
      </c>
      <c r="N89">
        <f>Calculation_Sapphire!N87</f>
        <v>110.25800000000002</v>
      </c>
      <c r="O89">
        <f>Calculation_Sapphire!O87</f>
        <v>72.295000000000016</v>
      </c>
      <c r="P89">
        <f>Calculation_Sapphire!P87</f>
        <v>21.397000000000013</v>
      </c>
      <c r="Q89">
        <f>Calculation_Sapphire!Q87</f>
        <v>0</v>
      </c>
      <c r="R89">
        <f>Calculation_Sapphire!R87</f>
        <v>0</v>
      </c>
      <c r="S89">
        <f>Calculation_Sapphire!S87</f>
        <v>0</v>
      </c>
      <c r="T89">
        <f>Calculation_Sapphire!T87</f>
        <v>0</v>
      </c>
      <c r="U89">
        <f>Calculation_Sapphire!U87</f>
        <v>0</v>
      </c>
      <c r="V89">
        <f>Calculation_Sapphire!V87</f>
        <v>0</v>
      </c>
    </row>
    <row r="90" spans="2:22" outlineLevel="1">
      <c r="B90" s="407" t="s">
        <v>246</v>
      </c>
      <c r="I90" s="6">
        <f>Calculation_Sapphire!I89</f>
        <v>164.88665753424652</v>
      </c>
      <c r="J90" s="88">
        <f>I90</f>
        <v>164.88665753424652</v>
      </c>
      <c r="K90" s="88">
        <f t="shared" ref="K90:V90" si="29">J90</f>
        <v>164.88665753424652</v>
      </c>
      <c r="L90" s="88">
        <f t="shared" si="29"/>
        <v>164.88665753424652</v>
      </c>
      <c r="M90" s="88">
        <f t="shared" si="29"/>
        <v>164.88665753424652</v>
      </c>
      <c r="N90" s="88">
        <f t="shared" si="29"/>
        <v>164.88665753424652</v>
      </c>
      <c r="O90" s="88">
        <f t="shared" si="29"/>
        <v>164.88665753424652</v>
      </c>
      <c r="P90" s="88">
        <f t="shared" si="29"/>
        <v>164.88665753424652</v>
      </c>
      <c r="Q90" s="88">
        <f t="shared" si="29"/>
        <v>164.88665753424652</v>
      </c>
      <c r="R90" s="88">
        <f t="shared" si="29"/>
        <v>164.88665753424652</v>
      </c>
      <c r="S90" s="88">
        <f t="shared" si="29"/>
        <v>164.88665753424652</v>
      </c>
      <c r="T90" s="88">
        <f t="shared" si="29"/>
        <v>164.88665753424652</v>
      </c>
      <c r="U90" s="88">
        <f t="shared" si="29"/>
        <v>164.88665753424652</v>
      </c>
      <c r="V90" s="88">
        <f t="shared" si="29"/>
        <v>164.88665753424652</v>
      </c>
    </row>
    <row r="91" spans="2:22" outlineLevel="1">
      <c r="B91" s="28" t="s">
        <v>1068</v>
      </c>
      <c r="C91" s="28"/>
      <c r="D91" s="28"/>
      <c r="E91" s="28"/>
      <c r="F91" s="28"/>
      <c r="G91" s="28"/>
      <c r="H91" s="28"/>
      <c r="I91" s="28">
        <f>SUM(I88:I90)</f>
        <v>548.77599999999995</v>
      </c>
      <c r="J91" s="28">
        <f>SUM(J88:J90)</f>
        <v>514.41124769818089</v>
      </c>
      <c r="K91" s="28">
        <f t="shared" ref="K91:V91" si="30">SUM(K88:K90)</f>
        <v>507.43049315068487</v>
      </c>
      <c r="L91" s="28">
        <f t="shared" si="30"/>
        <v>486.52669863013693</v>
      </c>
      <c r="M91" s="28">
        <f t="shared" si="30"/>
        <v>452.30345205479449</v>
      </c>
      <c r="N91" s="28">
        <f t="shared" si="30"/>
        <v>391.1938378621154</v>
      </c>
      <c r="O91" s="28">
        <f t="shared" si="30"/>
        <v>354.00083561643834</v>
      </c>
      <c r="P91" s="28">
        <f t="shared" si="30"/>
        <v>306.03708219178077</v>
      </c>
      <c r="Q91" s="28">
        <f t="shared" si="30"/>
        <v>289.90035616438354</v>
      </c>
      <c r="R91" s="28">
        <f t="shared" si="30"/>
        <v>289.76370671457437</v>
      </c>
      <c r="S91" s="28">
        <f t="shared" si="30"/>
        <v>290.69761643835614</v>
      </c>
      <c r="T91" s="28">
        <f t="shared" si="30"/>
        <v>164.88665753424652</v>
      </c>
      <c r="U91" s="28">
        <f t="shared" si="30"/>
        <v>164.88665753424652</v>
      </c>
      <c r="V91" s="28">
        <f t="shared" si="30"/>
        <v>164.88665753424652</v>
      </c>
    </row>
    <row r="92" spans="2:22" outlineLevel="1">
      <c r="B92" s="407"/>
    </row>
    <row r="93" spans="2:22" ht="15.75" outlineLevel="1">
      <c r="B93" s="15" t="s">
        <v>255</v>
      </c>
    </row>
    <row r="94" spans="2:22" outlineLevel="1">
      <c r="B94" s="407" t="s">
        <v>255</v>
      </c>
      <c r="I94" s="16">
        <v>1271.645</v>
      </c>
      <c r="J94">
        <f>I94</f>
        <v>1271.645</v>
      </c>
      <c r="K94">
        <f t="shared" ref="K94:V94" si="31">J94</f>
        <v>1271.645</v>
      </c>
      <c r="L94">
        <f t="shared" si="31"/>
        <v>1271.645</v>
      </c>
      <c r="M94">
        <f t="shared" si="31"/>
        <v>1271.645</v>
      </c>
      <c r="N94">
        <f t="shared" si="31"/>
        <v>1271.645</v>
      </c>
      <c r="O94">
        <f t="shared" si="31"/>
        <v>1271.645</v>
      </c>
      <c r="P94">
        <f t="shared" si="31"/>
        <v>1271.645</v>
      </c>
      <c r="Q94">
        <f t="shared" si="31"/>
        <v>1271.645</v>
      </c>
      <c r="R94">
        <f t="shared" si="31"/>
        <v>1271.645</v>
      </c>
      <c r="S94">
        <f t="shared" si="31"/>
        <v>1271.645</v>
      </c>
      <c r="T94">
        <f t="shared" si="31"/>
        <v>1271.645</v>
      </c>
      <c r="U94">
        <f t="shared" si="31"/>
        <v>1271.645</v>
      </c>
      <c r="V94">
        <f t="shared" si="31"/>
        <v>1271.645</v>
      </c>
    </row>
    <row r="95" spans="2:22" outlineLevel="1">
      <c r="B95" s="407" t="s">
        <v>1071</v>
      </c>
      <c r="I95" s="16">
        <v>1061.7070000000001</v>
      </c>
      <c r="J95">
        <f>I95</f>
        <v>1061.7070000000001</v>
      </c>
      <c r="K95">
        <f t="shared" ref="K95:V95" si="32">J95</f>
        <v>1061.7070000000001</v>
      </c>
      <c r="L95">
        <f t="shared" si="32"/>
        <v>1061.7070000000001</v>
      </c>
      <c r="M95">
        <f t="shared" si="32"/>
        <v>1061.7070000000001</v>
      </c>
      <c r="N95">
        <f t="shared" si="32"/>
        <v>1061.7070000000001</v>
      </c>
      <c r="O95">
        <f t="shared" si="32"/>
        <v>1061.7070000000001</v>
      </c>
      <c r="P95">
        <f t="shared" si="32"/>
        <v>1061.7070000000001</v>
      </c>
      <c r="Q95">
        <f t="shared" si="32"/>
        <v>1061.7070000000001</v>
      </c>
      <c r="R95">
        <f t="shared" si="32"/>
        <v>1061.7070000000001</v>
      </c>
      <c r="S95">
        <f t="shared" si="32"/>
        <v>1061.7070000000001</v>
      </c>
      <c r="T95">
        <f t="shared" si="32"/>
        <v>1061.7070000000001</v>
      </c>
      <c r="U95">
        <f t="shared" si="32"/>
        <v>1061.7070000000001</v>
      </c>
      <c r="V95">
        <f t="shared" si="32"/>
        <v>1061.7070000000001</v>
      </c>
    </row>
    <row r="96" spans="2:22" outlineLevel="1">
      <c r="B96" s="407" t="s">
        <v>259</v>
      </c>
      <c r="I96" s="6">
        <v>188.833</v>
      </c>
      <c r="J96">
        <f>J45</f>
        <v>415.36683999999991</v>
      </c>
      <c r="K96">
        <f t="shared" ref="K96:V96" si="33">K45</f>
        <v>684.84825999999998</v>
      </c>
      <c r="L96">
        <f t="shared" si="33"/>
        <v>972.63705999999991</v>
      </c>
      <c r="M96">
        <f t="shared" si="33"/>
        <v>1258.9001800000001</v>
      </c>
      <c r="N96">
        <f t="shared" si="33"/>
        <v>1563.26242</v>
      </c>
      <c r="O96">
        <f t="shared" si="33"/>
        <v>1872.28828</v>
      </c>
      <c r="P96">
        <f t="shared" si="33"/>
        <v>2217.3470199999997</v>
      </c>
      <c r="Q96">
        <f t="shared" si="33"/>
        <v>2587.1426799999999</v>
      </c>
      <c r="R96">
        <f t="shared" si="33"/>
        <v>2987.2327599999999</v>
      </c>
      <c r="S96">
        <f t="shared" si="33"/>
        <v>3391.6416999999997</v>
      </c>
      <c r="T96">
        <f t="shared" si="33"/>
        <v>3798.7782999999995</v>
      </c>
      <c r="U96">
        <f t="shared" si="33"/>
        <v>4224.035859999999</v>
      </c>
      <c r="V96">
        <f t="shared" si="33"/>
        <v>4640.8569399999988</v>
      </c>
    </row>
    <row r="97" spans="2:22" outlineLevel="1">
      <c r="B97" s="28" t="s">
        <v>262</v>
      </c>
      <c r="C97" s="28"/>
      <c r="D97" s="28"/>
      <c r="E97" s="28"/>
      <c r="F97" s="28"/>
      <c r="G97" s="28"/>
      <c r="H97" s="28"/>
      <c r="I97" s="28">
        <f t="shared" ref="I97:V97" si="34">SUM(I94:I96)</f>
        <v>2522.1849999999999</v>
      </c>
      <c r="J97" s="28">
        <f t="shared" si="34"/>
        <v>2748.7188399999995</v>
      </c>
      <c r="K97" s="28">
        <f t="shared" si="34"/>
        <v>3018.2002599999996</v>
      </c>
      <c r="L97" s="28">
        <f t="shared" si="34"/>
        <v>3305.9890599999999</v>
      </c>
      <c r="M97" s="28">
        <f t="shared" si="34"/>
        <v>3592.25218</v>
      </c>
      <c r="N97" s="28">
        <f t="shared" si="34"/>
        <v>3896.6144199999999</v>
      </c>
      <c r="O97" s="28">
        <f t="shared" si="34"/>
        <v>4205.6402799999996</v>
      </c>
      <c r="P97" s="28">
        <f t="shared" si="34"/>
        <v>4550.69902</v>
      </c>
      <c r="Q97" s="28">
        <f t="shared" si="34"/>
        <v>4920.4946799999998</v>
      </c>
      <c r="R97" s="28">
        <f t="shared" si="34"/>
        <v>5320.5847599999997</v>
      </c>
      <c r="S97" s="28">
        <f t="shared" si="34"/>
        <v>5724.9936999999991</v>
      </c>
      <c r="T97" s="28">
        <f t="shared" si="34"/>
        <v>6132.1302999999989</v>
      </c>
      <c r="U97" s="28">
        <f t="shared" si="34"/>
        <v>6557.3878599999989</v>
      </c>
      <c r="V97" s="28">
        <f t="shared" si="34"/>
        <v>6974.2089399999986</v>
      </c>
    </row>
    <row r="98" spans="2:22" outlineLevel="1">
      <c r="J98">
        <f>J97+J91</f>
        <v>3263.1300876981804</v>
      </c>
      <c r="K98">
        <f t="shared" ref="K98:V98" si="35">K97+K91</f>
        <v>3525.6307531506845</v>
      </c>
      <c r="L98">
        <f t="shared" si="35"/>
        <v>3792.5157586301366</v>
      </c>
      <c r="M98">
        <f t="shared" si="35"/>
        <v>4044.5556320547944</v>
      </c>
      <c r="N98">
        <f t="shared" si="35"/>
        <v>4287.8082578621152</v>
      </c>
      <c r="O98">
        <f t="shared" si="35"/>
        <v>4559.6411156164377</v>
      </c>
      <c r="P98">
        <f t="shared" si="35"/>
        <v>4856.7361021917804</v>
      </c>
      <c r="Q98">
        <f t="shared" si="35"/>
        <v>5210.3950361643838</v>
      </c>
      <c r="R98">
        <f t="shared" si="35"/>
        <v>5610.348466714574</v>
      </c>
      <c r="S98">
        <f t="shared" si="35"/>
        <v>6015.691316438355</v>
      </c>
      <c r="T98">
        <f t="shared" si="35"/>
        <v>6297.0169575342452</v>
      </c>
      <c r="U98">
        <f t="shared" si="35"/>
        <v>6722.2745175342452</v>
      </c>
      <c r="V98">
        <f t="shared" si="35"/>
        <v>7139.0955975342449</v>
      </c>
    </row>
    <row r="99" spans="2:22" outlineLevel="1">
      <c r="B99" t="s">
        <v>1070</v>
      </c>
      <c r="I99" s="34">
        <f>ROUNDDOWN(SUM(J99:S99),2)</f>
        <v>0</v>
      </c>
      <c r="J99" s="34">
        <f>ROUNDDOWN(SUM(J85,-J91-J97),1)*$J$12</f>
        <v>0</v>
      </c>
      <c r="K99" s="34">
        <f t="shared" ref="K99:V99" si="36">ROUNDDOWN(SUM(K85,-K91-K97),1)</f>
        <v>0</v>
      </c>
      <c r="L99" s="34">
        <f t="shared" si="36"/>
        <v>0</v>
      </c>
      <c r="M99" s="34">
        <f t="shared" si="36"/>
        <v>0</v>
      </c>
      <c r="N99" s="34">
        <f t="shared" si="36"/>
        <v>0</v>
      </c>
      <c r="O99" s="34">
        <f t="shared" si="36"/>
        <v>0</v>
      </c>
      <c r="P99" s="34">
        <f t="shared" si="36"/>
        <v>0</v>
      </c>
      <c r="Q99" s="34">
        <f t="shared" si="36"/>
        <v>0</v>
      </c>
      <c r="R99" s="34">
        <f t="shared" si="36"/>
        <v>0</v>
      </c>
      <c r="S99" s="34">
        <f t="shared" si="36"/>
        <v>0</v>
      </c>
      <c r="T99" s="34">
        <f t="shared" si="36"/>
        <v>-190.6</v>
      </c>
      <c r="U99" s="34">
        <f t="shared" si="36"/>
        <v>-200.2</v>
      </c>
      <c r="V99" s="34">
        <f t="shared" si="36"/>
        <v>-201.7</v>
      </c>
    </row>
    <row r="100" spans="2:22" outlineLevel="1">
      <c r="B100" t="s">
        <v>330</v>
      </c>
      <c r="I100" s="34">
        <f>ROUNDDOWN(SUM(J100:S100),2)</f>
        <v>0</v>
      </c>
      <c r="J100" s="34">
        <f t="shared" ref="J100:V100" si="37">ROUNDDOWN(MIN(J80,0),2)</f>
        <v>0</v>
      </c>
      <c r="K100" s="34">
        <f t="shared" si="37"/>
        <v>0</v>
      </c>
      <c r="L100" s="34">
        <f t="shared" si="37"/>
        <v>0</v>
      </c>
      <c r="M100" s="34">
        <f t="shared" si="37"/>
        <v>0</v>
      </c>
      <c r="N100" s="34">
        <f t="shared" si="37"/>
        <v>0</v>
      </c>
      <c r="O100" s="34">
        <f t="shared" si="37"/>
        <v>0</v>
      </c>
      <c r="P100" s="34">
        <f t="shared" si="37"/>
        <v>0</v>
      </c>
      <c r="Q100" s="34">
        <f t="shared" si="37"/>
        <v>0</v>
      </c>
      <c r="R100" s="34">
        <f t="shared" si="37"/>
        <v>0</v>
      </c>
      <c r="S100" s="34">
        <f t="shared" si="37"/>
        <v>0</v>
      </c>
      <c r="T100" s="34">
        <f t="shared" si="37"/>
        <v>0</v>
      </c>
      <c r="U100" s="34">
        <f t="shared" si="37"/>
        <v>0</v>
      </c>
      <c r="V100" s="34">
        <f t="shared" si="37"/>
        <v>0</v>
      </c>
    </row>
    <row r="101" spans="2:22" outlineLevel="1">
      <c r="I101" s="23">
        <f t="shared" ref="I101:V101" si="38">I99-H99</f>
        <v>0</v>
      </c>
      <c r="J101" s="23">
        <f t="shared" si="38"/>
        <v>0</v>
      </c>
      <c r="K101" s="23">
        <f t="shared" si="38"/>
        <v>0</v>
      </c>
      <c r="L101" s="23">
        <f t="shared" si="38"/>
        <v>0</v>
      </c>
      <c r="M101" s="23">
        <f t="shared" si="38"/>
        <v>0</v>
      </c>
      <c r="N101" s="23">
        <f t="shared" si="38"/>
        <v>0</v>
      </c>
      <c r="O101" s="23">
        <f t="shared" si="38"/>
        <v>0</v>
      </c>
      <c r="P101" s="23">
        <f t="shared" si="38"/>
        <v>0</v>
      </c>
      <c r="Q101" s="23">
        <f t="shared" si="38"/>
        <v>0</v>
      </c>
      <c r="R101" s="23">
        <f t="shared" si="38"/>
        <v>0</v>
      </c>
      <c r="S101" s="23">
        <f t="shared" si="38"/>
        <v>0</v>
      </c>
      <c r="T101" s="23">
        <f t="shared" si="38"/>
        <v>-190.6</v>
      </c>
      <c r="U101" s="23">
        <f t="shared" si="38"/>
        <v>-9.5999999999999943</v>
      </c>
      <c r="V101" s="23">
        <f t="shared" si="38"/>
        <v>-1.5</v>
      </c>
    </row>
    <row r="102" spans="2:22" outlineLevel="1">
      <c r="I102">
        <f>I99</f>
        <v>0</v>
      </c>
      <c r="J102" s="22">
        <f>J99</f>
        <v>0</v>
      </c>
      <c r="K102">
        <f t="shared" ref="K102:V102" si="39">K99</f>
        <v>0</v>
      </c>
      <c r="L102">
        <f t="shared" si="39"/>
        <v>0</v>
      </c>
      <c r="M102">
        <f t="shared" si="39"/>
        <v>0</v>
      </c>
      <c r="N102">
        <f t="shared" si="39"/>
        <v>0</v>
      </c>
      <c r="O102">
        <f t="shared" si="39"/>
        <v>0</v>
      </c>
      <c r="P102">
        <f t="shared" si="39"/>
        <v>0</v>
      </c>
      <c r="Q102">
        <f t="shared" si="39"/>
        <v>0</v>
      </c>
      <c r="R102">
        <f t="shared" si="39"/>
        <v>0</v>
      </c>
      <c r="S102">
        <f t="shared" si="39"/>
        <v>0</v>
      </c>
      <c r="T102">
        <f t="shared" si="39"/>
        <v>-190.6</v>
      </c>
      <c r="U102">
        <f t="shared" si="39"/>
        <v>-200.2</v>
      </c>
      <c r="V102">
        <f t="shared" si="39"/>
        <v>-201.7</v>
      </c>
    </row>
    <row r="103" spans="2:22" ht="24" thickBot="1">
      <c r="B103" s="14" t="s">
        <v>183</v>
      </c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</row>
    <row r="105" spans="2:22">
      <c r="B105" s="407" t="s">
        <v>434</v>
      </c>
      <c r="J105">
        <f t="shared" ref="J105:V105" si="40">J37</f>
        <v>348.99999999999989</v>
      </c>
      <c r="K105">
        <f t="shared" si="40"/>
        <v>394.00000000000017</v>
      </c>
      <c r="L105">
        <f t="shared" si="40"/>
        <v>410.39999999999981</v>
      </c>
      <c r="M105">
        <f t="shared" si="40"/>
        <v>398.5</v>
      </c>
      <c r="N105">
        <f t="shared" si="40"/>
        <v>414.10000000000008</v>
      </c>
      <c r="O105">
        <f t="shared" si="40"/>
        <v>415.69999999999987</v>
      </c>
      <c r="P105">
        <f t="shared" si="40"/>
        <v>458.89999999999975</v>
      </c>
      <c r="Q105">
        <f t="shared" si="40"/>
        <v>489.70000000000016</v>
      </c>
      <c r="R105">
        <f t="shared" si="40"/>
        <v>527.20000000000005</v>
      </c>
      <c r="S105">
        <f t="shared" si="40"/>
        <v>532.20000000000005</v>
      </c>
      <c r="T105">
        <f t="shared" si="40"/>
        <v>536.4</v>
      </c>
      <c r="U105">
        <f t="shared" si="40"/>
        <v>560.20000000000016</v>
      </c>
      <c r="V105">
        <f t="shared" si="40"/>
        <v>549.80000000000018</v>
      </c>
    </row>
    <row r="106" spans="2:22">
      <c r="B106" s="407" t="s">
        <v>759</v>
      </c>
      <c r="J106">
        <f>-IF(J105&lt;0,0,J105*22%)</f>
        <v>-76.779999999999973</v>
      </c>
      <c r="K106">
        <f t="shared" ref="K106:V106" si="41">-IF(K105&lt;0,0,K105*22%)</f>
        <v>-86.680000000000035</v>
      </c>
      <c r="L106">
        <f t="shared" si="41"/>
        <v>-90.287999999999954</v>
      </c>
      <c r="M106">
        <f t="shared" si="41"/>
        <v>-87.67</v>
      </c>
      <c r="N106">
        <f t="shared" si="41"/>
        <v>-91.102000000000018</v>
      </c>
      <c r="O106">
        <f t="shared" si="41"/>
        <v>-91.453999999999979</v>
      </c>
      <c r="P106">
        <f t="shared" si="41"/>
        <v>-100.95799999999994</v>
      </c>
      <c r="Q106">
        <f t="shared" si="41"/>
        <v>-107.73400000000004</v>
      </c>
      <c r="R106">
        <f t="shared" si="41"/>
        <v>-115.98400000000001</v>
      </c>
      <c r="S106">
        <f t="shared" si="41"/>
        <v>-117.08400000000002</v>
      </c>
      <c r="T106">
        <f t="shared" si="41"/>
        <v>-118.008</v>
      </c>
      <c r="U106">
        <f t="shared" si="41"/>
        <v>-123.24400000000004</v>
      </c>
      <c r="V106">
        <f t="shared" si="41"/>
        <v>-120.95600000000005</v>
      </c>
    </row>
    <row r="107" spans="2:22">
      <c r="B107" s="437" t="s">
        <v>760</v>
      </c>
      <c r="J107">
        <f t="shared" ref="J107:V107" si="42">-J36</f>
        <v>206.9</v>
      </c>
      <c r="K107">
        <f t="shared" si="42"/>
        <v>220.2</v>
      </c>
      <c r="L107">
        <f t="shared" si="42"/>
        <v>227.8</v>
      </c>
      <c r="M107">
        <f t="shared" si="42"/>
        <v>235</v>
      </c>
      <c r="N107">
        <f t="shared" si="42"/>
        <v>214.3</v>
      </c>
      <c r="O107">
        <f t="shared" si="42"/>
        <v>207.7</v>
      </c>
      <c r="P107">
        <f t="shared" si="42"/>
        <v>176.6</v>
      </c>
      <c r="Q107">
        <f t="shared" si="42"/>
        <v>176.9</v>
      </c>
      <c r="R107">
        <f t="shared" si="42"/>
        <v>133.69999999999999</v>
      </c>
      <c r="S107">
        <f t="shared" si="42"/>
        <v>122.9</v>
      </c>
      <c r="T107">
        <f t="shared" si="42"/>
        <v>119</v>
      </c>
      <c r="U107">
        <f t="shared" si="42"/>
        <v>124.3</v>
      </c>
      <c r="V107">
        <f t="shared" si="42"/>
        <v>130.19999999999999</v>
      </c>
    </row>
    <row r="108" spans="2:22">
      <c r="B108" s="407" t="s">
        <v>219</v>
      </c>
      <c r="J108">
        <f>Output_Sapphire!J62</f>
        <v>-213.3</v>
      </c>
      <c r="K108">
        <f>Output_Sapphire!K62</f>
        <v>-174.6</v>
      </c>
      <c r="L108">
        <f>Output_Sapphire!L62</f>
        <v>-136.30000000000001</v>
      </c>
      <c r="M108">
        <f>Output_Sapphire!M62</f>
        <v>-90.5</v>
      </c>
      <c r="N108">
        <f>Output_Sapphire!N62</f>
        <v>-94.1</v>
      </c>
      <c r="O108">
        <f>Output_Sapphire!O62</f>
        <v>-88</v>
      </c>
      <c r="P108">
        <f>Output_Sapphire!P62</f>
        <v>-120.7</v>
      </c>
      <c r="Q108">
        <f>Output_Sapphire!Q62</f>
        <v>-108.7</v>
      </c>
      <c r="R108">
        <f>Output_Sapphire!R62</f>
        <v>-80.400000000000006</v>
      </c>
      <c r="S108">
        <f>Output_Sapphire!S62</f>
        <v>-117.7</v>
      </c>
      <c r="T108">
        <f>Output_Sapphire!T62</f>
        <v>-120.3</v>
      </c>
      <c r="U108">
        <f>Output_Sapphire!U62</f>
        <v>-123.3</v>
      </c>
      <c r="V108">
        <f>Output_Sapphire!V62</f>
        <v>-126.8</v>
      </c>
    </row>
    <row r="109" spans="2:22">
      <c r="B109" s="407" t="s">
        <v>311</v>
      </c>
      <c r="J109">
        <f t="shared" ref="J109:V109" si="43">J57</f>
        <v>-16.7</v>
      </c>
      <c r="K109">
        <f t="shared" si="43"/>
        <v>-15.6</v>
      </c>
      <c r="L109">
        <f t="shared" si="43"/>
        <v>-7.6</v>
      </c>
      <c r="M109">
        <f t="shared" si="43"/>
        <v>-0.7</v>
      </c>
      <c r="N109">
        <f t="shared" si="43"/>
        <v>-0.8</v>
      </c>
      <c r="O109">
        <f t="shared" si="43"/>
        <v>-0.8</v>
      </c>
      <c r="P109">
        <f t="shared" si="43"/>
        <v>-5.0999999999999996</v>
      </c>
      <c r="Q109">
        <f t="shared" si="43"/>
        <v>-9.8000000000000007</v>
      </c>
      <c r="R109">
        <f t="shared" si="43"/>
        <v>-0.9</v>
      </c>
      <c r="S109">
        <f t="shared" si="43"/>
        <v>-0.9</v>
      </c>
      <c r="T109">
        <f t="shared" si="43"/>
        <v>-2.5</v>
      </c>
      <c r="U109">
        <f t="shared" si="43"/>
        <v>-9.6</v>
      </c>
      <c r="V109">
        <f t="shared" si="43"/>
        <v>-1.5</v>
      </c>
    </row>
    <row r="110" spans="2:22">
      <c r="B110" s="28" t="s">
        <v>761</v>
      </c>
      <c r="C110" s="28"/>
      <c r="D110" s="28"/>
      <c r="E110" s="28"/>
      <c r="F110" s="28"/>
      <c r="G110" s="28"/>
      <c r="H110" s="28"/>
      <c r="I110" s="28"/>
      <c r="J110" s="47">
        <f>SUM(J105:J109)</f>
        <v>249.11999999999989</v>
      </c>
      <c r="K110" s="47">
        <f t="shared" ref="K110:V110" si="44">SUM(K105:K109)</f>
        <v>337.32000000000016</v>
      </c>
      <c r="L110" s="47">
        <f t="shared" si="44"/>
        <v>404.01199999999977</v>
      </c>
      <c r="M110" s="47">
        <f t="shared" si="44"/>
        <v>454.62999999999994</v>
      </c>
      <c r="N110" s="47">
        <f t="shared" si="44"/>
        <v>442.39799999999997</v>
      </c>
      <c r="O110" s="47">
        <f t="shared" si="44"/>
        <v>443.1459999999999</v>
      </c>
      <c r="P110" s="47">
        <f t="shared" si="44"/>
        <v>408.74199999999979</v>
      </c>
      <c r="Q110" s="47">
        <f t="shared" si="44"/>
        <v>440.3660000000001</v>
      </c>
      <c r="R110" s="47">
        <f t="shared" si="44"/>
        <v>463.61599999999999</v>
      </c>
      <c r="S110" s="47">
        <f t="shared" si="44"/>
        <v>419.41600000000011</v>
      </c>
      <c r="T110" s="47">
        <f t="shared" si="44"/>
        <v>414.59200000000004</v>
      </c>
      <c r="U110" s="47">
        <f t="shared" si="44"/>
        <v>428.35600000000005</v>
      </c>
      <c r="V110" s="47">
        <f t="shared" si="44"/>
        <v>430.74400000000009</v>
      </c>
    </row>
    <row r="112" spans="2:22">
      <c r="B112" t="s">
        <v>52</v>
      </c>
      <c r="F112" s="19" t="e">
        <f>#REF!</f>
        <v>#REF!</v>
      </c>
    </row>
    <row r="113" spans="2:22">
      <c r="B113" s="28" t="s">
        <v>762</v>
      </c>
      <c r="C113" s="28"/>
      <c r="D113" s="28"/>
      <c r="E113" s="28"/>
      <c r="F113" s="28"/>
      <c r="G113" s="28"/>
      <c r="H113" s="28"/>
      <c r="I113" s="28"/>
      <c r="J113" s="47">
        <f>SUM(J110,J112)</f>
        <v>249.11999999999989</v>
      </c>
      <c r="K113" s="47">
        <f t="shared" ref="K113:V113" si="45">SUM(K110,K112)</f>
        <v>337.32000000000016</v>
      </c>
      <c r="L113" s="47">
        <f t="shared" si="45"/>
        <v>404.01199999999977</v>
      </c>
      <c r="M113" s="47">
        <f t="shared" si="45"/>
        <v>454.62999999999994</v>
      </c>
      <c r="N113" s="47">
        <f t="shared" si="45"/>
        <v>442.39799999999997</v>
      </c>
      <c r="O113" s="47">
        <f t="shared" si="45"/>
        <v>443.1459999999999</v>
      </c>
      <c r="P113" s="47">
        <f t="shared" si="45"/>
        <v>408.74199999999979</v>
      </c>
      <c r="Q113" s="47">
        <f t="shared" si="45"/>
        <v>440.3660000000001</v>
      </c>
      <c r="R113" s="47">
        <f t="shared" si="45"/>
        <v>463.61599999999999</v>
      </c>
      <c r="S113" s="47">
        <f t="shared" si="45"/>
        <v>419.41600000000011</v>
      </c>
      <c r="T113" s="47">
        <f t="shared" si="45"/>
        <v>414.59200000000004</v>
      </c>
      <c r="U113" s="47">
        <f t="shared" si="45"/>
        <v>428.35600000000005</v>
      </c>
      <c r="V113" s="47">
        <f t="shared" si="45"/>
        <v>430.74400000000009</v>
      </c>
    </row>
    <row r="115" spans="2:22">
      <c r="B115" t="s">
        <v>763</v>
      </c>
      <c r="J115">
        <f>SUM($J$113:J113)</f>
        <v>249.11999999999989</v>
      </c>
      <c r="K115">
        <f>SUM($J$113:K113)</f>
        <v>586.44000000000005</v>
      </c>
      <c r="L115">
        <f>SUM($J$113:L113)</f>
        <v>990.45199999999977</v>
      </c>
      <c r="M115">
        <f>SUM($J$113:M113)</f>
        <v>1445.0819999999997</v>
      </c>
      <c r="N115">
        <f>SUM($J$113:N113)</f>
        <v>1887.4799999999996</v>
      </c>
      <c r="O115">
        <f>SUM($J$113:O113)</f>
        <v>2330.6259999999993</v>
      </c>
      <c r="P115">
        <f>SUM($J$113:P113)</f>
        <v>2739.367999999999</v>
      </c>
      <c r="Q115">
        <f>SUM($J$113:Q113)</f>
        <v>3179.733999999999</v>
      </c>
      <c r="R115">
        <f>SUM($J$113:R113)</f>
        <v>3643.349999999999</v>
      </c>
      <c r="S115">
        <f>SUM($J$113:S113)</f>
        <v>4062.7659999999992</v>
      </c>
      <c r="T115">
        <f>SUM($J$113:T113)</f>
        <v>4477.3579999999993</v>
      </c>
      <c r="U115">
        <f>SUM($J$113:U113)</f>
        <v>4905.713999999999</v>
      </c>
      <c r="V115">
        <f>SUM($J$113:V113)</f>
        <v>5336.4579999999987</v>
      </c>
    </row>
    <row r="116" spans="2:22">
      <c r="B116" t="s">
        <v>764</v>
      </c>
      <c r="I116">
        <f>SUM(J116:V116)</f>
        <v>0</v>
      </c>
      <c r="J116" s="13">
        <f>IF(J115&lt;0,1,0)</f>
        <v>0</v>
      </c>
      <c r="K116" s="13">
        <f t="shared" ref="K116:V116" si="46">IF(K115&lt;0,1,0)</f>
        <v>0</v>
      </c>
      <c r="L116" s="13">
        <f t="shared" si="46"/>
        <v>0</v>
      </c>
      <c r="M116" s="13">
        <f t="shared" si="46"/>
        <v>0</v>
      </c>
      <c r="N116" s="13">
        <f t="shared" si="46"/>
        <v>0</v>
      </c>
      <c r="O116" s="13">
        <f t="shared" si="46"/>
        <v>0</v>
      </c>
      <c r="P116" s="13">
        <f t="shared" si="46"/>
        <v>0</v>
      </c>
      <c r="Q116" s="13">
        <f t="shared" si="46"/>
        <v>0</v>
      </c>
      <c r="R116" s="13">
        <f t="shared" si="46"/>
        <v>0</v>
      </c>
      <c r="S116" s="13">
        <f t="shared" si="46"/>
        <v>0</v>
      </c>
      <c r="T116" s="13">
        <f t="shared" si="46"/>
        <v>0</v>
      </c>
      <c r="U116" s="13">
        <f t="shared" si="46"/>
        <v>0</v>
      </c>
      <c r="V116" s="13">
        <f t="shared" si="46"/>
        <v>0</v>
      </c>
    </row>
    <row r="117" spans="2:22">
      <c r="B117" t="s">
        <v>765</v>
      </c>
      <c r="J117" s="13">
        <f>IF(AND(I116=1,J116=0),IF(MAX(J115,0),1),0)</f>
        <v>0</v>
      </c>
      <c r="K117" s="13">
        <f t="shared" ref="K117:V117" si="47">IF(AND(J116=1,K116=0),IF(MAX(K115,0),1),0)</f>
        <v>0</v>
      </c>
      <c r="L117" s="13">
        <f t="shared" si="47"/>
        <v>0</v>
      </c>
      <c r="M117" s="13">
        <f t="shared" si="47"/>
        <v>0</v>
      </c>
      <c r="N117" s="13">
        <f t="shared" si="47"/>
        <v>0</v>
      </c>
      <c r="O117" s="13">
        <f t="shared" si="47"/>
        <v>0</v>
      </c>
      <c r="P117" s="13">
        <f t="shared" si="47"/>
        <v>0</v>
      </c>
      <c r="Q117" s="13">
        <f t="shared" si="47"/>
        <v>0</v>
      </c>
      <c r="R117" s="13">
        <f t="shared" si="47"/>
        <v>0</v>
      </c>
      <c r="S117" s="13">
        <f t="shared" si="47"/>
        <v>0</v>
      </c>
      <c r="T117" s="13">
        <f t="shared" si="47"/>
        <v>0</v>
      </c>
      <c r="U117" s="13">
        <f t="shared" si="47"/>
        <v>0</v>
      </c>
      <c r="V117" s="13">
        <f t="shared" si="47"/>
        <v>0</v>
      </c>
    </row>
    <row r="118" spans="2:22">
      <c r="B118" t="s">
        <v>766</v>
      </c>
      <c r="I118" s="22">
        <f>SUM(J118:V118)</f>
        <v>0</v>
      </c>
      <c r="J118" s="22">
        <f>IF(J117=1,-I115/J113,0)</f>
        <v>0</v>
      </c>
      <c r="K118" s="22">
        <f>IF(K117=1,-J115/K113,0)</f>
        <v>0</v>
      </c>
      <c r="L118" s="22">
        <f>IF(L117=1,-K115/L113,0)</f>
        <v>0</v>
      </c>
      <c r="M118" s="22">
        <f>IF(M117=1,-L115/M113,0)</f>
        <v>0</v>
      </c>
      <c r="N118" s="22">
        <f>IF(N117=1,-M115/N113,0)</f>
        <v>0</v>
      </c>
      <c r="O118" s="22">
        <f t="shared" ref="O118:V118" si="48">IF(O117=1,-N115/O113,0)</f>
        <v>0</v>
      </c>
      <c r="P118" s="22">
        <f t="shared" si="48"/>
        <v>0</v>
      </c>
      <c r="Q118" s="22">
        <f t="shared" si="48"/>
        <v>0</v>
      </c>
      <c r="R118" s="22">
        <f t="shared" si="48"/>
        <v>0</v>
      </c>
      <c r="S118" s="22">
        <f t="shared" si="48"/>
        <v>0</v>
      </c>
      <c r="T118" s="22">
        <f t="shared" si="48"/>
        <v>0</v>
      </c>
      <c r="U118" s="22">
        <f t="shared" si="48"/>
        <v>0</v>
      </c>
      <c r="V118" s="22">
        <f t="shared" si="48"/>
        <v>0</v>
      </c>
    </row>
    <row r="121" spans="2:22" ht="15.75">
      <c r="B121" s="15" t="s">
        <v>767</v>
      </c>
    </row>
    <row r="122" spans="2:22">
      <c r="B122" s="44" t="s">
        <v>54</v>
      </c>
      <c r="F122" s="21"/>
      <c r="J122" s="45" t="e">
        <f>XIRR(K113:V113,K7:V7)</f>
        <v>#NUM!</v>
      </c>
    </row>
    <row r="123" spans="2:22">
      <c r="B123" s="44" t="s">
        <v>768</v>
      </c>
      <c r="F123" s="22"/>
      <c r="J123" s="46">
        <f>SUM(I116,I118)</f>
        <v>0</v>
      </c>
    </row>
    <row r="124" spans="2:22">
      <c r="B124" s="407"/>
    </row>
    <row r="126" spans="2:22" ht="24" thickBot="1">
      <c r="B126" s="14" t="s">
        <v>340</v>
      </c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</row>
    <row r="128" spans="2:22">
      <c r="B128" s="407" t="s">
        <v>341</v>
      </c>
      <c r="F128" s="35">
        <v>0.3</v>
      </c>
      <c r="J128">
        <f t="shared" ref="J128:V128" si="49">$F$128*J43</f>
        <v>67.960151999999965</v>
      </c>
      <c r="K128">
        <f t="shared" si="49"/>
        <v>80.844426000000041</v>
      </c>
      <c r="L128">
        <f t="shared" si="49"/>
        <v>86.33663999999996</v>
      </c>
      <c r="M128">
        <f t="shared" si="49"/>
        <v>85.878935999999996</v>
      </c>
      <c r="N128">
        <f t="shared" si="49"/>
        <v>91.308672000000016</v>
      </c>
      <c r="O128">
        <f t="shared" si="49"/>
        <v>92.70775799999997</v>
      </c>
      <c r="P128">
        <f t="shared" si="49"/>
        <v>103.51762199999995</v>
      </c>
      <c r="Q128">
        <f t="shared" si="49"/>
        <v>110.93869800000003</v>
      </c>
      <c r="R128">
        <f t="shared" si="49"/>
        <v>120.02702400000001</v>
      </c>
      <c r="S128">
        <f t="shared" si="49"/>
        <v>121.322682</v>
      </c>
      <c r="T128">
        <f t="shared" si="49"/>
        <v>122.14098000000001</v>
      </c>
      <c r="U128">
        <f t="shared" si="49"/>
        <v>127.57726800000002</v>
      </c>
      <c r="V128">
        <f t="shared" si="49"/>
        <v>125.04632400000004</v>
      </c>
    </row>
    <row r="130" spans="2:22">
      <c r="B130" t="s">
        <v>342</v>
      </c>
      <c r="I130">
        <f>SUM(I131:I133)</f>
        <v>18.5</v>
      </c>
      <c r="J130">
        <f t="shared" ref="J130:V130" si="50">SUM(J131:J133)</f>
        <v>20.100000000000001</v>
      </c>
      <c r="K130">
        <f t="shared" si="50"/>
        <v>21.6</v>
      </c>
      <c r="L130">
        <f t="shared" si="50"/>
        <v>21.700000000000003</v>
      </c>
      <c r="M130">
        <f t="shared" si="50"/>
        <v>21.8</v>
      </c>
      <c r="N130">
        <f t="shared" si="50"/>
        <v>21.9</v>
      </c>
      <c r="O130">
        <f t="shared" si="50"/>
        <v>22</v>
      </c>
      <c r="P130">
        <f t="shared" si="50"/>
        <v>22.1</v>
      </c>
      <c r="Q130">
        <f t="shared" si="50"/>
        <v>22.4</v>
      </c>
      <c r="R130">
        <f t="shared" si="50"/>
        <v>22.4</v>
      </c>
      <c r="S130">
        <f t="shared" si="50"/>
        <v>22.5</v>
      </c>
      <c r="T130">
        <f t="shared" si="50"/>
        <v>22.3</v>
      </c>
      <c r="U130">
        <f t="shared" si="50"/>
        <v>22.5</v>
      </c>
      <c r="V130">
        <f t="shared" si="50"/>
        <v>22.6</v>
      </c>
    </row>
    <row r="131" spans="2:22">
      <c r="B131" t="s">
        <v>343</v>
      </c>
      <c r="I131">
        <v>0.6</v>
      </c>
      <c r="J131">
        <v>0.7</v>
      </c>
      <c r="K131">
        <v>1.3</v>
      </c>
      <c r="L131">
        <v>1.3</v>
      </c>
      <c r="M131">
        <v>1.3</v>
      </c>
      <c r="N131">
        <v>1.3</v>
      </c>
      <c r="O131">
        <v>1.3</v>
      </c>
      <c r="P131">
        <v>1.3</v>
      </c>
      <c r="Q131">
        <v>1.3</v>
      </c>
      <c r="R131">
        <v>1.3</v>
      </c>
      <c r="S131">
        <v>1.3</v>
      </c>
      <c r="T131">
        <v>1.3</v>
      </c>
      <c r="U131">
        <v>1.3</v>
      </c>
      <c r="V131">
        <v>1.3</v>
      </c>
    </row>
    <row r="132" spans="2:22">
      <c r="B132" t="s">
        <v>344</v>
      </c>
      <c r="I132">
        <v>10.199999999999999</v>
      </c>
      <c r="J132">
        <v>10.6</v>
      </c>
      <c r="K132">
        <v>10.6</v>
      </c>
      <c r="L132">
        <v>10.6</v>
      </c>
      <c r="M132">
        <v>10.6</v>
      </c>
      <c r="N132">
        <v>10.6</v>
      </c>
      <c r="O132">
        <v>10.6</v>
      </c>
      <c r="P132">
        <v>10.7</v>
      </c>
      <c r="Q132">
        <v>10.7</v>
      </c>
      <c r="R132">
        <v>10.7</v>
      </c>
      <c r="S132">
        <v>10.7</v>
      </c>
      <c r="T132">
        <v>10.4</v>
      </c>
      <c r="U132">
        <v>10.4</v>
      </c>
      <c r="V132">
        <v>10.4</v>
      </c>
    </row>
    <row r="133" spans="2:22">
      <c r="B133" t="s">
        <v>345</v>
      </c>
      <c r="I133">
        <v>7.7</v>
      </c>
      <c r="J133">
        <v>8.8000000000000007</v>
      </c>
      <c r="K133">
        <v>9.6999999999999993</v>
      </c>
      <c r="L133">
        <v>9.8000000000000007</v>
      </c>
      <c r="M133">
        <v>9.9</v>
      </c>
      <c r="N133">
        <v>10</v>
      </c>
      <c r="O133">
        <v>10.1</v>
      </c>
      <c r="P133">
        <v>10.1</v>
      </c>
      <c r="Q133">
        <v>10.4</v>
      </c>
      <c r="R133">
        <v>10.4</v>
      </c>
      <c r="S133">
        <v>10.5</v>
      </c>
      <c r="T133">
        <v>10.6</v>
      </c>
      <c r="U133">
        <v>10.8</v>
      </c>
      <c r="V133">
        <v>10.9</v>
      </c>
    </row>
    <row r="134" spans="2:22">
      <c r="B134" t="s">
        <v>346</v>
      </c>
      <c r="J134" s="31">
        <f>J130/I130-1</f>
        <v>8.6486486486486491E-2</v>
      </c>
      <c r="K134" s="31">
        <f t="shared" ref="K134:V134" si="51">K130/J130-1</f>
        <v>7.4626865671641784E-2</v>
      </c>
      <c r="L134" s="31">
        <f t="shared" si="51"/>
        <v>4.6296296296297612E-3</v>
      </c>
      <c r="M134" s="31">
        <f t="shared" si="51"/>
        <v>4.6082949308754451E-3</v>
      </c>
      <c r="N134" s="31">
        <f t="shared" si="51"/>
        <v>4.5871559633026138E-3</v>
      </c>
      <c r="O134" s="31">
        <f t="shared" si="51"/>
        <v>4.5662100456622667E-3</v>
      </c>
      <c r="P134" s="31">
        <f t="shared" si="51"/>
        <v>4.5454545454546302E-3</v>
      </c>
      <c r="Q134" s="31">
        <f t="shared" si="51"/>
        <v>1.3574660633484115E-2</v>
      </c>
      <c r="R134" s="31">
        <f t="shared" si="51"/>
        <v>0</v>
      </c>
      <c r="S134" s="31">
        <f t="shared" si="51"/>
        <v>4.4642857142858094E-3</v>
      </c>
      <c r="T134" s="31">
        <f t="shared" si="51"/>
        <v>-8.8888888888888351E-3</v>
      </c>
      <c r="U134" s="31">
        <f t="shared" si="51"/>
        <v>8.9686098654708779E-3</v>
      </c>
      <c r="V134" s="31">
        <f t="shared" si="51"/>
        <v>4.4444444444444731E-3</v>
      </c>
    </row>
    <row r="136" spans="2:22">
      <c r="B136" t="s">
        <v>347</v>
      </c>
      <c r="I136" s="104">
        <v>100081.08108108108</v>
      </c>
      <c r="J136" s="104">
        <f t="shared" ref="J136:V136" si="52">(J29*Billion)/(J130*Million)</f>
        <v>100975.12437810945</v>
      </c>
      <c r="K136" s="104">
        <f t="shared" si="52"/>
        <v>101564.81481481483</v>
      </c>
      <c r="L136" s="104">
        <f t="shared" si="52"/>
        <v>104751.15207373269</v>
      </c>
      <c r="M136" s="104">
        <f t="shared" si="52"/>
        <v>104449.54128440368</v>
      </c>
      <c r="N136" s="104">
        <f t="shared" si="52"/>
        <v>104287.67123287672</v>
      </c>
      <c r="O136" s="104">
        <f t="shared" si="52"/>
        <v>104213.63636363637</v>
      </c>
      <c r="P136" s="104">
        <f t="shared" si="52"/>
        <v>106298.64253393665</v>
      </c>
      <c r="Q136" s="104">
        <f t="shared" si="52"/>
        <v>109522.32142857143</v>
      </c>
      <c r="R136" s="104">
        <f t="shared" si="52"/>
        <v>109794.64285714286</v>
      </c>
      <c r="S136" s="104">
        <f t="shared" si="52"/>
        <v>109795.55555555556</v>
      </c>
      <c r="T136" s="104">
        <f t="shared" si="52"/>
        <v>112044.84304932735</v>
      </c>
      <c r="U136" s="104">
        <f t="shared" si="52"/>
        <v>115613.33333333333</v>
      </c>
      <c r="V136" s="104">
        <f t="shared" si="52"/>
        <v>115858.40707964601</v>
      </c>
    </row>
    <row r="137" spans="2:22">
      <c r="B137" t="s">
        <v>348</v>
      </c>
      <c r="I137" s="105"/>
      <c r="J137" s="106">
        <f>J136/I136-1</f>
        <v>8.9331898433837598E-3</v>
      </c>
      <c r="K137" s="106">
        <f t="shared" ref="K137:V137" si="53">K136/J136-1</f>
        <v>5.8399575176282248E-3</v>
      </c>
      <c r="L137" s="106">
        <f t="shared" si="53"/>
        <v>3.1372451815400604E-2</v>
      </c>
      <c r="M137" s="106">
        <f t="shared" si="53"/>
        <v>-2.8793076100653847E-3</v>
      </c>
      <c r="N137" s="106">
        <f t="shared" si="53"/>
        <v>-1.5497440154974562E-3</v>
      </c>
      <c r="O137" s="106">
        <f t="shared" si="53"/>
        <v>-7.0991008203669104E-4</v>
      </c>
      <c r="P137" s="106">
        <f t="shared" si="53"/>
        <v>2.0007037879620659E-2</v>
      </c>
      <c r="Q137" s="106">
        <f t="shared" si="53"/>
        <v>3.0326623348982062E-2</v>
      </c>
      <c r="R137" s="106">
        <f t="shared" si="53"/>
        <v>2.4864468267231654E-3</v>
      </c>
      <c r="S137" s="106">
        <f t="shared" si="53"/>
        <v>8.3127772809721279E-6</v>
      </c>
      <c r="T137" s="106">
        <f t="shared" si="53"/>
        <v>2.0486143381583943E-2</v>
      </c>
      <c r="U137" s="106">
        <f t="shared" si="53"/>
        <v>3.1848768643773839E-2</v>
      </c>
      <c r="V137" s="106">
        <f t="shared" si="53"/>
        <v>2.1197706116309334E-3</v>
      </c>
    </row>
    <row r="139" spans="2:22">
      <c r="B139" t="s">
        <v>349</v>
      </c>
      <c r="I139" s="107">
        <v>18.5</v>
      </c>
      <c r="J139" s="107">
        <v>22.2</v>
      </c>
      <c r="K139" s="107">
        <v>27.4</v>
      </c>
      <c r="L139" s="107">
        <v>31</v>
      </c>
      <c r="M139" s="107">
        <v>38.5</v>
      </c>
      <c r="N139" s="107">
        <v>44.3</v>
      </c>
      <c r="O139" s="107">
        <v>47</v>
      </c>
      <c r="P139" s="107">
        <v>47.3</v>
      </c>
      <c r="Q139" s="107">
        <v>49.8</v>
      </c>
      <c r="R139" s="107">
        <v>59.9</v>
      </c>
      <c r="S139" s="107">
        <v>60.7</v>
      </c>
      <c r="T139" s="107">
        <v>61.2</v>
      </c>
      <c r="U139" s="107">
        <v>61.3</v>
      </c>
      <c r="V139" s="107">
        <v>62.7</v>
      </c>
    </row>
    <row r="140" spans="2:22">
      <c r="B140" t="s">
        <v>350</v>
      </c>
      <c r="I140" s="108">
        <f>I139-I130</f>
        <v>0</v>
      </c>
      <c r="J140" s="108">
        <f t="shared" ref="J140:V140" si="54">J139-J130</f>
        <v>2.0999999999999979</v>
      </c>
      <c r="K140" s="108">
        <f t="shared" si="54"/>
        <v>5.7999999999999972</v>
      </c>
      <c r="L140" s="108">
        <f t="shared" si="54"/>
        <v>9.2999999999999972</v>
      </c>
      <c r="M140" s="108">
        <f t="shared" si="54"/>
        <v>16.7</v>
      </c>
      <c r="N140" s="108">
        <f t="shared" si="54"/>
        <v>22.4</v>
      </c>
      <c r="O140" s="108">
        <f t="shared" si="54"/>
        <v>25</v>
      </c>
      <c r="P140" s="108">
        <f t="shared" si="54"/>
        <v>25.199999999999996</v>
      </c>
      <c r="Q140" s="108">
        <f t="shared" si="54"/>
        <v>27.4</v>
      </c>
      <c r="R140" s="108">
        <f t="shared" si="54"/>
        <v>37.5</v>
      </c>
      <c r="S140" s="108">
        <f t="shared" si="54"/>
        <v>38.200000000000003</v>
      </c>
      <c r="T140" s="108">
        <f t="shared" si="54"/>
        <v>38.900000000000006</v>
      </c>
      <c r="U140" s="108">
        <f t="shared" si="54"/>
        <v>38.799999999999997</v>
      </c>
      <c r="V140" s="108">
        <f t="shared" si="54"/>
        <v>40.1</v>
      </c>
    </row>
    <row r="141" spans="2:22">
      <c r="B141" t="s">
        <v>351</v>
      </c>
      <c r="F141" s="35">
        <v>0.2</v>
      </c>
      <c r="I141" s="108">
        <f>I140*$F$141</f>
        <v>0</v>
      </c>
      <c r="J141" s="108">
        <f t="shared" ref="J141:V141" si="55">J140*$F$141</f>
        <v>0.4199999999999996</v>
      </c>
      <c r="K141" s="108">
        <f t="shared" si="55"/>
        <v>1.1599999999999995</v>
      </c>
      <c r="L141" s="108">
        <f t="shared" si="55"/>
        <v>1.8599999999999994</v>
      </c>
      <c r="M141" s="108">
        <f t="shared" si="55"/>
        <v>3.34</v>
      </c>
      <c r="N141" s="108">
        <f t="shared" si="55"/>
        <v>4.4799999999999995</v>
      </c>
      <c r="O141" s="108">
        <f t="shared" si="55"/>
        <v>5</v>
      </c>
      <c r="P141" s="108">
        <f t="shared" si="55"/>
        <v>5.0399999999999991</v>
      </c>
      <c r="Q141" s="108">
        <f t="shared" si="55"/>
        <v>5.48</v>
      </c>
      <c r="R141" s="108">
        <f t="shared" si="55"/>
        <v>7.5</v>
      </c>
      <c r="S141" s="108">
        <f t="shared" si="55"/>
        <v>7.6400000000000006</v>
      </c>
      <c r="T141" s="108">
        <f t="shared" si="55"/>
        <v>7.7800000000000011</v>
      </c>
      <c r="U141" s="108">
        <f t="shared" si="55"/>
        <v>7.76</v>
      </c>
      <c r="V141" s="108">
        <f t="shared" si="55"/>
        <v>8.0200000000000014</v>
      </c>
    </row>
    <row r="142" spans="2:22">
      <c r="B142" t="s">
        <v>352</v>
      </c>
      <c r="I142" s="108">
        <f>I130+I141</f>
        <v>18.5</v>
      </c>
      <c r="J142" s="108">
        <f t="shared" ref="J142:V142" si="56">J130+J141</f>
        <v>20.52</v>
      </c>
      <c r="K142" s="108">
        <f t="shared" si="56"/>
        <v>22.76</v>
      </c>
      <c r="L142" s="108">
        <f t="shared" si="56"/>
        <v>23.560000000000002</v>
      </c>
      <c r="M142" s="108">
        <f t="shared" si="56"/>
        <v>25.14</v>
      </c>
      <c r="N142" s="108">
        <f t="shared" si="56"/>
        <v>26.38</v>
      </c>
      <c r="O142" s="108">
        <f t="shared" si="56"/>
        <v>27</v>
      </c>
      <c r="P142" s="108">
        <f t="shared" si="56"/>
        <v>27.14</v>
      </c>
      <c r="Q142" s="108">
        <f t="shared" si="56"/>
        <v>27.88</v>
      </c>
      <c r="R142" s="108">
        <f t="shared" si="56"/>
        <v>29.9</v>
      </c>
      <c r="S142" s="108">
        <f t="shared" si="56"/>
        <v>30.14</v>
      </c>
      <c r="T142" s="108">
        <f t="shared" si="56"/>
        <v>30.080000000000002</v>
      </c>
      <c r="U142" s="108">
        <f t="shared" si="56"/>
        <v>30.259999999999998</v>
      </c>
      <c r="V142" s="108">
        <f t="shared" si="56"/>
        <v>30.620000000000005</v>
      </c>
    </row>
    <row r="144" spans="2:22">
      <c r="B144" t="s">
        <v>353</v>
      </c>
    </row>
    <row r="145" spans="2:23">
      <c r="B145" t="s">
        <v>354</v>
      </c>
      <c r="K145">
        <v>0</v>
      </c>
      <c r="L145">
        <v>337157.07669893093</v>
      </c>
      <c r="M145">
        <v>525958.49408824742</v>
      </c>
      <c r="N145">
        <v>724713.54535561893</v>
      </c>
      <c r="O145">
        <v>933820.37585617043</v>
      </c>
      <c r="P145">
        <v>1213732.4863213375</v>
      </c>
      <c r="Q145">
        <v>1324722.7925187852</v>
      </c>
      <c r="R145">
        <v>1627475.7311979095</v>
      </c>
      <c r="S145">
        <v>1882299.3578620907</v>
      </c>
      <c r="T145">
        <v>1865567.8080144278</v>
      </c>
      <c r="U145">
        <v>1882299.3578620909</v>
      </c>
      <c r="V145">
        <v>1890665.1327859224</v>
      </c>
      <c r="W145">
        <v>1915762.4575574168</v>
      </c>
    </row>
    <row r="146" spans="2:23">
      <c r="B146" t="s">
        <v>355</v>
      </c>
      <c r="K146" s="109">
        <f t="shared" ref="K146:W146" si="57">K145*K136/1000000000</f>
        <v>0</v>
      </c>
      <c r="L146" s="111">
        <f t="shared" si="57"/>
        <v>35.31759221402487</v>
      </c>
      <c r="M146" s="109">
        <f t="shared" si="57"/>
        <v>54.936123442153182</v>
      </c>
      <c r="N146" s="109">
        <f t="shared" si="57"/>
        <v>75.578687956059284</v>
      </c>
      <c r="O146" s="109">
        <f t="shared" si="57"/>
        <v>97.316817078429182</v>
      </c>
      <c r="P146" s="109">
        <f t="shared" si="57"/>
        <v>129.01811569529801</v>
      </c>
      <c r="Q146" s="109">
        <f t="shared" si="57"/>
        <v>145.08671548599713</v>
      </c>
      <c r="R146" s="109">
        <f t="shared" si="57"/>
        <v>178.68811666554191</v>
      </c>
      <c r="S146" s="109">
        <f t="shared" si="57"/>
        <v>206.66810371833375</v>
      </c>
      <c r="T146" s="109">
        <f t="shared" si="57"/>
        <v>209.0272522468542</v>
      </c>
      <c r="U146" s="109">
        <f t="shared" si="57"/>
        <v>217.6189030936292</v>
      </c>
      <c r="V146" s="109">
        <f t="shared" si="57"/>
        <v>219.04945060560436</v>
      </c>
      <c r="W146" s="109">
        <f t="shared" si="57"/>
        <v>0</v>
      </c>
    </row>
    <row r="147" spans="2:23">
      <c r="B147" t="s">
        <v>356</v>
      </c>
      <c r="K147" s="111">
        <f t="shared" ref="K147:W147" si="58">K146*K49</f>
        <v>0</v>
      </c>
      <c r="L147" s="111">
        <f t="shared" si="58"/>
        <v>9.9158362372929769</v>
      </c>
      <c r="M147" s="111">
        <f t="shared" si="58"/>
        <v>15.284160825913061</v>
      </c>
      <c r="N147" s="111">
        <f t="shared" si="58"/>
        <v>20.794976799153929</v>
      </c>
      <c r="O147" s="111">
        <f t="shared" si="58"/>
        <v>26.461073741306208</v>
      </c>
      <c r="P147" s="111">
        <f t="shared" si="58"/>
        <v>34.901673984489129</v>
      </c>
      <c r="Q147" s="111">
        <f t="shared" si="58"/>
        <v>39.422330959509928</v>
      </c>
      <c r="R147" s="111">
        <f t="shared" si="58"/>
        <v>48.017799586995473</v>
      </c>
      <c r="S147" s="111">
        <f t="shared" si="58"/>
        <v>54.804191526020261</v>
      </c>
      <c r="T147" s="111">
        <f t="shared" si="58"/>
        <v>54.829288850791741</v>
      </c>
      <c r="U147" s="111">
        <f t="shared" si="58"/>
        <v>57.263729353626722</v>
      </c>
      <c r="V147" s="111">
        <f t="shared" si="58"/>
        <v>56.8872694820543</v>
      </c>
      <c r="W147" s="111">
        <f t="shared" si="58"/>
        <v>0</v>
      </c>
    </row>
    <row r="149" spans="2:23">
      <c r="B149" t="s">
        <v>357</v>
      </c>
      <c r="K149">
        <v>11.781518518518515</v>
      </c>
      <c r="L149">
        <v>19.483714285714274</v>
      </c>
      <c r="M149">
        <v>34.886146788990828</v>
      </c>
      <c r="N149">
        <v>46.720876712328767</v>
      </c>
      <c r="O149">
        <v>52.106818181818184</v>
      </c>
      <c r="P149">
        <v>53.574515837104066</v>
      </c>
      <c r="Q149">
        <v>60.018232142857144</v>
      </c>
      <c r="R149">
        <v>82.345982142857153</v>
      </c>
      <c r="S149">
        <v>83.883804444444436</v>
      </c>
      <c r="T149">
        <v>87.170887892376697</v>
      </c>
      <c r="U149">
        <v>89.715946666666653</v>
      </c>
      <c r="V149">
        <v>92.918442477876113</v>
      </c>
      <c r="W149">
        <v>93.518288209606993</v>
      </c>
    </row>
    <row r="150" spans="2:23">
      <c r="B150" t="s">
        <v>358</v>
      </c>
      <c r="K150">
        <v>3.2984814814814811</v>
      </c>
      <c r="L150">
        <v>5.4702857142857093</v>
      </c>
      <c r="M150">
        <v>9.7059174311926597</v>
      </c>
      <c r="N150">
        <v>12.854940639269408</v>
      </c>
      <c r="O150">
        <v>14.168181818181818</v>
      </c>
      <c r="P150">
        <v>14.492850678733026</v>
      </c>
      <c r="Q150">
        <v>16.307892857142861</v>
      </c>
      <c r="R150">
        <v>22.128348214285722</v>
      </c>
      <c r="S150">
        <v>22.244284444444446</v>
      </c>
      <c r="T150">
        <v>22.865524663677135</v>
      </c>
      <c r="U150">
        <v>23.607644444444443</v>
      </c>
      <c r="V150">
        <v>24.130973451327439</v>
      </c>
      <c r="W150">
        <v>23.962864628820963</v>
      </c>
    </row>
    <row r="152" spans="2:23">
      <c r="B152" t="s">
        <v>359</v>
      </c>
      <c r="K152">
        <v>2205.5815185185188</v>
      </c>
      <c r="L152">
        <v>2327.9013064997389</v>
      </c>
      <c r="M152">
        <v>2366.8222702311441</v>
      </c>
      <c r="N152">
        <v>2406.1995646683881</v>
      </c>
      <c r="O152">
        <v>2442.1236352602473</v>
      </c>
      <c r="P152">
        <v>2531.7926315324021</v>
      </c>
      <c r="Q152">
        <v>2658.4049476288542</v>
      </c>
      <c r="R152">
        <v>2720.4340988083995</v>
      </c>
      <c r="S152">
        <v>2760.9519081627786</v>
      </c>
      <c r="T152">
        <v>2794.7981401392308</v>
      </c>
      <c r="U152">
        <v>2908.6348497602962</v>
      </c>
      <c r="V152">
        <v>2930.3678930834803</v>
      </c>
      <c r="W152">
        <v>2951.5572360507394</v>
      </c>
    </row>
    <row r="153" spans="2:23">
      <c r="B153" t="s">
        <v>360</v>
      </c>
      <c r="K153" s="31">
        <v>0.28836995168201301</v>
      </c>
      <c r="L153" s="31">
        <v>0.28918481369055465</v>
      </c>
      <c r="M153" s="31">
        <v>0.28656346069389549</v>
      </c>
      <c r="N153" s="31">
        <v>0.28339769692193184</v>
      </c>
      <c r="O153" s="31">
        <v>0.28006368037684826</v>
      </c>
      <c r="P153" s="31">
        <v>0.27863315171122077</v>
      </c>
      <c r="Q153" s="31">
        <v>0.2798671177597522</v>
      </c>
      <c r="R153" s="31">
        <v>0.27678580141497933</v>
      </c>
      <c r="S153" s="31">
        <v>0.27313511981865291</v>
      </c>
      <c r="T153" s="31">
        <v>0.27017609861522451</v>
      </c>
      <c r="U153" s="31">
        <v>0.27103179179640952</v>
      </c>
      <c r="V153" s="31">
        <v>0.26749159792239541</v>
      </c>
      <c r="W153" s="31">
        <v>0.26392431940547512</v>
      </c>
    </row>
    <row r="154" spans="2:23">
      <c r="B154" t="s">
        <v>361</v>
      </c>
      <c r="K154">
        <v>636.02343592592615</v>
      </c>
      <c r="L154">
        <v>673.19370561012579</v>
      </c>
      <c r="M154">
        <v>678.24478060481897</v>
      </c>
      <c r="N154">
        <v>681.91141496157616</v>
      </c>
      <c r="O154">
        <v>683.95013322627267</v>
      </c>
      <c r="P154">
        <v>705.44136040311867</v>
      </c>
      <c r="Q154">
        <v>744.00013053115242</v>
      </c>
      <c r="R154">
        <v>752.97753223531993</v>
      </c>
      <c r="S154">
        <v>754.11293024957888</v>
      </c>
      <c r="T154">
        <v>755.08765791990288</v>
      </c>
      <c r="U154">
        <v>788.33251501201346</v>
      </c>
      <c r="V154">
        <v>783.8487902213833</v>
      </c>
      <c r="W154">
        <v>778.98773471099662</v>
      </c>
    </row>
    <row r="155" spans="2:23">
      <c r="B155" t="s">
        <v>362</v>
      </c>
      <c r="K155">
        <v>617.49848148148169</v>
      </c>
      <c r="L155">
        <v>653.58612195157855</v>
      </c>
      <c r="M155">
        <v>658.49007825710578</v>
      </c>
      <c r="N155">
        <v>662.04991743842345</v>
      </c>
      <c r="O155">
        <v>664.02925555948786</v>
      </c>
      <c r="P155">
        <v>684.89452466322189</v>
      </c>
      <c r="Q155">
        <v>722.33022381665296</v>
      </c>
      <c r="R155">
        <v>731.04614780128134</v>
      </c>
      <c r="S155">
        <v>732.1484759704648</v>
      </c>
      <c r="T155">
        <v>733.0948135144688</v>
      </c>
      <c r="U155">
        <v>765.3713737980712</v>
      </c>
      <c r="V155">
        <v>761.01824293338188</v>
      </c>
      <c r="W155">
        <v>756.2987715640744</v>
      </c>
    </row>
    <row r="156" spans="2:23">
      <c r="B156" t="s">
        <v>363</v>
      </c>
      <c r="K156">
        <v>18.524954444444461</v>
      </c>
      <c r="L156">
        <v>19.607583658547242</v>
      </c>
      <c r="M156">
        <v>19.754702347713192</v>
      </c>
      <c r="N156">
        <v>19.861497523152707</v>
      </c>
      <c r="O156">
        <v>19.920877666784804</v>
      </c>
      <c r="P156">
        <v>20.546835739896778</v>
      </c>
      <c r="Q156">
        <v>21.669906714499461</v>
      </c>
      <c r="R156">
        <v>21.931384434038591</v>
      </c>
      <c r="S156">
        <v>21.964454279114079</v>
      </c>
      <c r="T156">
        <v>21.992844405434084</v>
      </c>
      <c r="U156">
        <v>22.961141213942255</v>
      </c>
      <c r="V156">
        <v>22.830547288001412</v>
      </c>
      <c r="W156">
        <v>22.688963146922219</v>
      </c>
    </row>
    <row r="157" spans="2:23">
      <c r="B157" t="s">
        <v>364</v>
      </c>
      <c r="K157">
        <v>8.3991248062722512E-3</v>
      </c>
      <c r="L157">
        <v>8.4228586511811976E-3</v>
      </c>
      <c r="M157">
        <v>8.3465085638999015E-3</v>
      </c>
      <c r="N157">
        <v>8.2543018520951361E-3</v>
      </c>
      <c r="O157">
        <v>8.1571945740829821E-3</v>
      </c>
      <c r="P157">
        <v>8.1155286906181012E-3</v>
      </c>
      <c r="Q157">
        <v>8.1514694493131645E-3</v>
      </c>
      <c r="R157">
        <v>8.0617223713100872E-3</v>
      </c>
      <c r="S157">
        <v>7.9553918393782674E-3</v>
      </c>
      <c r="T157">
        <v>7.8692067557832313E-3</v>
      </c>
      <c r="U157">
        <v>7.8941298581478581E-3</v>
      </c>
      <c r="V157">
        <v>7.7910174152154288E-3</v>
      </c>
      <c r="W157">
        <v>7.6871160991885956E-3</v>
      </c>
    </row>
    <row r="159" spans="2:23">
      <c r="B159" t="s">
        <v>365</v>
      </c>
      <c r="J159" s="31">
        <v>0.40750825688073389</v>
      </c>
      <c r="K159" s="31">
        <v>0.43875190491696525</v>
      </c>
      <c r="L159" s="31">
        <v>0.45093826386712621</v>
      </c>
      <c r="M159" s="31">
        <v>0.45187548539857936</v>
      </c>
      <c r="N159" s="31">
        <v>0.48434474856779119</v>
      </c>
      <c r="O159" s="31">
        <v>0.49571039461020205</v>
      </c>
      <c r="P159" s="31">
        <v>0.54297205350118005</v>
      </c>
      <c r="Q159" s="31">
        <v>0.55474896489648973</v>
      </c>
      <c r="R159" s="31">
        <v>0.60537158420335901</v>
      </c>
      <c r="S159" s="31">
        <v>0.61732398107159214</v>
      </c>
      <c r="T159" s="31">
        <v>0.62120323466585303</v>
      </c>
      <c r="U159" s="31">
        <v>0.62126743608473334</v>
      </c>
      <c r="V159" s="31">
        <v>0.61297217647058833</v>
      </c>
      <c r="W159" s="31">
        <v>0.60526638058597215</v>
      </c>
    </row>
    <row r="160" spans="2:23">
      <c r="B160" t="s">
        <v>366</v>
      </c>
      <c r="K160">
        <v>279.05649408433351</v>
      </c>
      <c r="L160">
        <v>303.56880085410739</v>
      </c>
      <c r="M160">
        <v>306.48218945485553</v>
      </c>
      <c r="N160">
        <v>330.28021282507132</v>
      </c>
      <c r="O160">
        <v>339.0411904352959</v>
      </c>
      <c r="P160">
        <v>383.03494408274736</v>
      </c>
      <c r="Q160">
        <v>412.73330229501005</v>
      </c>
      <c r="R160">
        <v>455.83120155883148</v>
      </c>
      <c r="S160">
        <v>465.53199627923391</v>
      </c>
      <c r="T160">
        <v>469.06289555610681</v>
      </c>
      <c r="U160">
        <v>489.76532038374313</v>
      </c>
      <c r="V160">
        <v>480.47749896583895</v>
      </c>
      <c r="W160">
        <v>471.49508670939036</v>
      </c>
    </row>
    <row r="161" spans="2:23">
      <c r="B161" t="s">
        <v>367</v>
      </c>
      <c r="K161">
        <v>9.5750740843333801</v>
      </c>
      <c r="L161">
        <v>15.780000854107527</v>
      </c>
      <c r="M161">
        <v>20.219069454855514</v>
      </c>
      <c r="N161">
        <v>25.917972825071274</v>
      </c>
      <c r="O161">
        <v>30.015330435295994</v>
      </c>
      <c r="P161">
        <v>37.976204082747529</v>
      </c>
      <c r="Q161">
        <v>42.937642295009937</v>
      </c>
      <c r="R161">
        <v>55.741121558831423</v>
      </c>
      <c r="S161">
        <v>61.123056279233879</v>
      </c>
      <c r="T161">
        <v>61.926295556106766</v>
      </c>
      <c r="U161">
        <v>64.507760383743062</v>
      </c>
      <c r="V161">
        <v>63.656418965838782</v>
      </c>
      <c r="W161">
        <v>62.45606670939037</v>
      </c>
    </row>
    <row r="162" spans="2:23" s="2" customFormat="1">
      <c r="B162" s="28" t="s">
        <v>368</v>
      </c>
      <c r="C162" s="28"/>
      <c r="D162" s="28"/>
      <c r="E162" s="28"/>
      <c r="F162" s="28"/>
      <c r="G162" s="28"/>
      <c r="H162" s="28"/>
      <c r="I162" s="28"/>
      <c r="J162" s="28"/>
      <c r="K162" s="28">
        <v>83.716948225300044</v>
      </c>
      <c r="L162" s="28">
        <v>91.07064025623221</v>
      </c>
      <c r="M162" s="28">
        <v>91.944656836456659</v>
      </c>
      <c r="N162" s="28">
        <v>99.084063847521392</v>
      </c>
      <c r="O162" s="28">
        <v>101.71235713058877</v>
      </c>
      <c r="P162" s="28">
        <v>114.9104832248242</v>
      </c>
      <c r="Q162" s="28">
        <v>123.81999068850301</v>
      </c>
      <c r="R162" s="28">
        <v>136.74936046764944</v>
      </c>
      <c r="S162" s="28">
        <v>139.65959888377017</v>
      </c>
      <c r="T162" s="28">
        <v>140.71886866683204</v>
      </c>
      <c r="U162" s="28">
        <v>146.92959611512293</v>
      </c>
      <c r="V162" s="28">
        <v>144.14324968975168</v>
      </c>
      <c r="W162" s="28">
        <v>141.4485260128171</v>
      </c>
    </row>
    <row r="165" spans="2:23">
      <c r="B165" t="s">
        <v>369</v>
      </c>
    </row>
    <row r="167" spans="2:23">
      <c r="B167" t="s">
        <v>370</v>
      </c>
      <c r="J167" s="109">
        <v>3012</v>
      </c>
    </row>
    <row r="168" spans="2:23">
      <c r="B168" t="s">
        <v>371</v>
      </c>
      <c r="J168" s="109">
        <v>246.20000000000005</v>
      </c>
    </row>
    <row r="169" spans="2:23">
      <c r="B169" t="s">
        <v>372</v>
      </c>
      <c r="J169" s="112">
        <v>3258.2</v>
      </c>
    </row>
    <row r="170" spans="2:23">
      <c r="B170" t="s">
        <v>373</v>
      </c>
      <c r="J170" s="112">
        <v>445.2</v>
      </c>
    </row>
    <row r="171" spans="2:23">
      <c r="B171" t="s">
        <v>142</v>
      </c>
      <c r="J171" s="113">
        <v>7.3185085354896673</v>
      </c>
    </row>
    <row r="173" spans="2:23">
      <c r="B173" t="s">
        <v>374</v>
      </c>
      <c r="J173" s="114">
        <v>0.6</v>
      </c>
    </row>
    <row r="174" spans="2:23">
      <c r="B174" t="s">
        <v>375</v>
      </c>
      <c r="J174" s="115">
        <v>4000</v>
      </c>
    </row>
    <row r="176" spans="2:23">
      <c r="J176" s="116" t="s">
        <v>376</v>
      </c>
      <c r="K176" s="116" t="s">
        <v>377</v>
      </c>
      <c r="M176" s="116" t="s">
        <v>378</v>
      </c>
      <c r="N176" s="116" t="s">
        <v>379</v>
      </c>
      <c r="O176" s="116" t="s">
        <v>380</v>
      </c>
    </row>
    <row r="177" spans="2:15">
      <c r="B177" t="s">
        <v>381</v>
      </c>
      <c r="J177" s="112">
        <v>633.5</v>
      </c>
      <c r="K177" s="73">
        <v>678.24478060481897</v>
      </c>
      <c r="M177" s="112">
        <v>15.284160825913061</v>
      </c>
      <c r="N177" s="112">
        <v>9.7059174311926597</v>
      </c>
      <c r="O177" s="112">
        <v>19.754702347713192</v>
      </c>
    </row>
    <row r="178" spans="2:15">
      <c r="B178" t="s">
        <v>142</v>
      </c>
      <c r="J178" s="113">
        <v>7.3185085354896673</v>
      </c>
      <c r="K178" s="113">
        <v>7.3185085354896673</v>
      </c>
      <c r="M178" s="21"/>
      <c r="N178" s="21"/>
      <c r="O178" s="21"/>
    </row>
    <row r="179" spans="2:15">
      <c r="B179" t="s">
        <v>372</v>
      </c>
      <c r="J179" s="109">
        <v>4636.2751572327043</v>
      </c>
      <c r="K179" s="109">
        <v>4963.7402160076845</v>
      </c>
    </row>
    <row r="180" spans="2:15">
      <c r="B180" t="s">
        <v>371</v>
      </c>
      <c r="J180" s="112">
        <v>246.20000000000005</v>
      </c>
      <c r="K180" s="112">
        <v>246.20000000000005</v>
      </c>
    </row>
    <row r="181" spans="2:15">
      <c r="B181" t="s">
        <v>382</v>
      </c>
      <c r="J181" s="112">
        <v>4390.0751572327044</v>
      </c>
      <c r="K181" s="112">
        <v>4717.5402160076846</v>
      </c>
    </row>
    <row r="183" spans="2:15">
      <c r="B183" t="s">
        <v>383</v>
      </c>
      <c r="K183" s="117">
        <v>2025</v>
      </c>
      <c r="L183" s="117">
        <v>2026</v>
      </c>
      <c r="M183" s="117">
        <v>2027</v>
      </c>
    </row>
    <row r="184" spans="2:15">
      <c r="B184" t="s">
        <v>384</v>
      </c>
      <c r="K184">
        <v>-2400</v>
      </c>
      <c r="N184" s="109"/>
      <c r="O184" s="109"/>
    </row>
    <row r="185" spans="2:15">
      <c r="B185" t="s">
        <v>385</v>
      </c>
      <c r="K185">
        <v>48.506655600000023</v>
      </c>
      <c r="L185">
        <v>51.801983999999976</v>
      </c>
      <c r="M185">
        <v>51.527361599999999</v>
      </c>
      <c r="N185" s="109"/>
      <c r="O185" s="109"/>
    </row>
    <row r="186" spans="2:15">
      <c r="B186" t="s">
        <v>386</v>
      </c>
      <c r="J186" s="118"/>
      <c r="M186">
        <v>2634.0450943396227</v>
      </c>
      <c r="N186" s="109"/>
      <c r="O186" s="109"/>
    </row>
    <row r="187" spans="2:15">
      <c r="B187" t="s">
        <v>387</v>
      </c>
      <c r="K187" s="28">
        <v>-2351.4933443999998</v>
      </c>
      <c r="L187" s="28">
        <v>51.801983999999976</v>
      </c>
      <c r="M187" s="28">
        <v>2685.5724559396226</v>
      </c>
      <c r="N187" s="109"/>
      <c r="O187" s="109"/>
    </row>
    <row r="188" spans="2:15">
      <c r="B188" t="s">
        <v>54</v>
      </c>
      <c r="K188" s="119">
        <v>7.9748700957254171E-2</v>
      </c>
      <c r="L188" s="109"/>
      <c r="M188" s="109"/>
      <c r="N188" s="109"/>
      <c r="O188" s="109"/>
    </row>
    <row r="190" spans="2:15">
      <c r="B190" t="s">
        <v>388</v>
      </c>
      <c r="K190" s="117">
        <v>2025</v>
      </c>
      <c r="L190" s="117">
        <v>2026</v>
      </c>
      <c r="M190" s="117">
        <v>2027</v>
      </c>
    </row>
    <row r="191" spans="2:15">
      <c r="B191" t="s">
        <v>384</v>
      </c>
      <c r="K191">
        <v>-2400</v>
      </c>
    </row>
    <row r="192" spans="2:15">
      <c r="B192" t="s">
        <v>385</v>
      </c>
      <c r="K192">
        <v>50.230168935180025</v>
      </c>
      <c r="L192">
        <v>54.642384153739322</v>
      </c>
      <c r="M192">
        <v>55.166794101873997</v>
      </c>
    </row>
    <row r="193" spans="2:13">
      <c r="B193" t="s">
        <v>386</v>
      </c>
      <c r="J193" s="118"/>
      <c r="M193">
        <v>2830.5241296046106</v>
      </c>
    </row>
    <row r="194" spans="2:13">
      <c r="B194" t="s">
        <v>387</v>
      </c>
      <c r="K194" s="28">
        <v>-2349.7698310648198</v>
      </c>
      <c r="L194" s="28">
        <v>54.642384153739322</v>
      </c>
      <c r="M194" s="28">
        <v>2885.6909237064847</v>
      </c>
    </row>
    <row r="195" spans="2:13">
      <c r="B195" t="s">
        <v>54</v>
      </c>
      <c r="K195" s="119">
        <v>0.11987311576072623</v>
      </c>
    </row>
  </sheetData>
  <conditionalFormatting sqref="J11:V11">
    <cfRule type="cellIs" dxfId="11" priority="4" operator="equal">
      <formula>1</formula>
    </cfRule>
  </conditionalFormatting>
  <conditionalFormatting sqref="K12:V12">
    <cfRule type="cellIs" dxfId="10" priority="3" operator="equal">
      <formula>1</formula>
    </cfRule>
  </conditionalFormatting>
  <conditionalFormatting sqref="J12">
    <cfRule type="cellIs" dxfId="9" priority="2" operator="equal">
      <formula>1</formula>
    </cfRule>
  </conditionalFormatting>
  <conditionalFormatting sqref="J116:V117">
    <cfRule type="cellIs" dxfId="8" priority="1" operator="equal">
      <formula>1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8F0E8-F3D5-4670-B181-6FF4D96D7ECA}">
  <sheetPr codeName="Sheet19">
    <tabColor theme="3" tint="0.249977111117893"/>
  </sheetPr>
  <dimension ref="A1"/>
  <sheetViews>
    <sheetView workbookViewId="0">
      <selection activeCell="H90" sqref="H90"/>
    </sheetView>
  </sheetViews>
  <sheetFormatPr defaultRowHeight="1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7D679-A57E-4FA1-9EB9-0013B5E69256}">
  <sheetPr codeName="Sheet14">
    <tabColor theme="1" tint="0.499984740745262"/>
  </sheetPr>
  <dimension ref="B1:V115"/>
  <sheetViews>
    <sheetView showGridLines="0" zoomScale="75" workbookViewId="0">
      <pane xSplit="9" ySplit="14" topLeftCell="Q111" activePane="bottomRight" state="frozen"/>
      <selection pane="topRight" activeCell="H90" sqref="H90"/>
      <selection pane="bottomLeft" activeCell="H90" sqref="H90"/>
      <selection pane="bottomRight" activeCell="T120" sqref="T120"/>
    </sheetView>
  </sheetViews>
  <sheetFormatPr defaultColWidth="0" defaultRowHeight="15" outlineLevelRow="1"/>
  <cols>
    <col min="1" max="1" width="3" customWidth="1"/>
    <col min="2" max="4" width="9.140625" customWidth="1"/>
    <col min="5" max="5" width="15.28515625" customWidth="1"/>
    <col min="6" max="6" width="15.42578125" bestFit="1" customWidth="1"/>
    <col min="7" max="7" width="15.28515625" customWidth="1"/>
    <col min="8" max="8" width="35.42578125" customWidth="1"/>
    <col min="9" max="10" width="14.7109375" customWidth="1"/>
    <col min="11" max="11" width="16.140625" bestFit="1" customWidth="1"/>
    <col min="12" max="22" width="14.7109375" customWidth="1"/>
    <col min="23" max="23" width="10.5703125" customWidth="1"/>
  </cols>
  <sheetData>
    <row r="1" spans="2:22" s="3" customFormat="1" ht="23.25">
      <c r="B1" s="4" t="s">
        <v>1072</v>
      </c>
    </row>
    <row r="2" spans="2:22" ht="15.75">
      <c r="B2" s="5" t="s">
        <v>1073</v>
      </c>
      <c r="D2" s="6">
        <v>1</v>
      </c>
    </row>
    <row r="4" spans="2:22">
      <c r="B4" t="s">
        <v>29</v>
      </c>
      <c r="D4" s="6">
        <v>1</v>
      </c>
    </row>
    <row r="6" spans="2:22">
      <c r="B6" t="s">
        <v>30</v>
      </c>
      <c r="J6" s="7">
        <f>I7+1</f>
        <v>45292</v>
      </c>
      <c r="K6" s="7">
        <f t="shared" ref="K6:V6" si="0">J7+1</f>
        <v>45658</v>
      </c>
      <c r="L6" s="7">
        <f t="shared" si="0"/>
        <v>46023</v>
      </c>
      <c r="M6" s="7">
        <f t="shared" si="0"/>
        <v>46388</v>
      </c>
      <c r="N6" s="7">
        <f t="shared" si="0"/>
        <v>46753</v>
      </c>
      <c r="O6" s="7">
        <f t="shared" si="0"/>
        <v>47119</v>
      </c>
      <c r="P6" s="7">
        <f t="shared" si="0"/>
        <v>47484</v>
      </c>
      <c r="Q6" s="7">
        <f t="shared" si="0"/>
        <v>47849</v>
      </c>
      <c r="R6" s="7">
        <f t="shared" si="0"/>
        <v>48214</v>
      </c>
      <c r="S6" s="7">
        <f t="shared" si="0"/>
        <v>48580</v>
      </c>
      <c r="T6" s="7">
        <f t="shared" si="0"/>
        <v>48945</v>
      </c>
      <c r="U6" s="7">
        <f t="shared" si="0"/>
        <v>49310</v>
      </c>
      <c r="V6" s="7">
        <f t="shared" si="0"/>
        <v>49675</v>
      </c>
    </row>
    <row r="7" spans="2:22">
      <c r="B7" t="s">
        <v>31</v>
      </c>
      <c r="I7" s="8">
        <f>'Output_Standalone (IDR)'!I7</f>
        <v>45291</v>
      </c>
      <c r="J7" s="7">
        <f>EOMONTH(J6,12-1)</f>
        <v>45657</v>
      </c>
      <c r="K7" s="7">
        <f t="shared" ref="K7:V7" si="1">EOMONTH(K6,12-1)</f>
        <v>46022</v>
      </c>
      <c r="L7" s="7">
        <f t="shared" si="1"/>
        <v>46387</v>
      </c>
      <c r="M7" s="7">
        <f t="shared" si="1"/>
        <v>46752</v>
      </c>
      <c r="N7" s="7">
        <f t="shared" si="1"/>
        <v>47118</v>
      </c>
      <c r="O7" s="7">
        <f t="shared" si="1"/>
        <v>47483</v>
      </c>
      <c r="P7" s="7">
        <f t="shared" si="1"/>
        <v>47848</v>
      </c>
      <c r="Q7" s="7">
        <f t="shared" si="1"/>
        <v>48213</v>
      </c>
      <c r="R7" s="7">
        <f t="shared" si="1"/>
        <v>48579</v>
      </c>
      <c r="S7" s="7">
        <f t="shared" si="1"/>
        <v>48944</v>
      </c>
      <c r="T7" s="7">
        <f t="shared" si="1"/>
        <v>49309</v>
      </c>
      <c r="U7" s="7">
        <f t="shared" si="1"/>
        <v>49674</v>
      </c>
      <c r="V7" s="7">
        <f t="shared" si="1"/>
        <v>50040</v>
      </c>
    </row>
    <row r="8" spans="2:22">
      <c r="B8" t="s">
        <v>32</v>
      </c>
      <c r="J8" s="9">
        <f>YEAR(J7)</f>
        <v>2024</v>
      </c>
      <c r="K8" s="9">
        <f t="shared" ref="K8:V8" si="2">YEAR(K7)</f>
        <v>2025</v>
      </c>
      <c r="L8" s="9">
        <f t="shared" si="2"/>
        <v>2026</v>
      </c>
      <c r="M8" s="9">
        <f t="shared" si="2"/>
        <v>2027</v>
      </c>
      <c r="N8" s="9">
        <f t="shared" si="2"/>
        <v>2028</v>
      </c>
      <c r="O8" s="9">
        <f t="shared" si="2"/>
        <v>2029</v>
      </c>
      <c r="P8" s="9">
        <f t="shared" si="2"/>
        <v>2030</v>
      </c>
      <c r="Q8" s="9">
        <f t="shared" si="2"/>
        <v>2031</v>
      </c>
      <c r="R8" s="9">
        <f t="shared" si="2"/>
        <v>2032</v>
      </c>
      <c r="S8" s="9">
        <f t="shared" si="2"/>
        <v>2033</v>
      </c>
      <c r="T8" s="9">
        <f t="shared" si="2"/>
        <v>2034</v>
      </c>
      <c r="U8" s="9">
        <f t="shared" si="2"/>
        <v>2035</v>
      </c>
      <c r="V8" s="9">
        <f t="shared" si="2"/>
        <v>2036</v>
      </c>
    </row>
    <row r="9" spans="2:22">
      <c r="B9" t="s">
        <v>33</v>
      </c>
      <c r="J9" s="10">
        <f>J7-J6+1</f>
        <v>366</v>
      </c>
      <c r="K9" s="10">
        <f t="shared" ref="K9:V9" si="3">K7-K6+1</f>
        <v>365</v>
      </c>
      <c r="L9" s="10">
        <f t="shared" si="3"/>
        <v>365</v>
      </c>
      <c r="M9" s="10">
        <f t="shared" si="3"/>
        <v>365</v>
      </c>
      <c r="N9" s="10">
        <f t="shared" si="3"/>
        <v>366</v>
      </c>
      <c r="O9" s="10">
        <f t="shared" si="3"/>
        <v>365</v>
      </c>
      <c r="P9" s="10">
        <f t="shared" si="3"/>
        <v>365</v>
      </c>
      <c r="Q9" s="10">
        <f t="shared" si="3"/>
        <v>365</v>
      </c>
      <c r="R9" s="10">
        <f t="shared" si="3"/>
        <v>366</v>
      </c>
      <c r="S9" s="10">
        <f t="shared" si="3"/>
        <v>365</v>
      </c>
      <c r="T9" s="10">
        <f t="shared" si="3"/>
        <v>365</v>
      </c>
      <c r="U9" s="10">
        <f t="shared" si="3"/>
        <v>365</v>
      </c>
      <c r="V9" s="10">
        <f t="shared" si="3"/>
        <v>366</v>
      </c>
    </row>
    <row r="10" spans="2:22">
      <c r="E10" s="11" t="s">
        <v>34</v>
      </c>
      <c r="F10" s="11" t="s">
        <v>35</v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</row>
    <row r="11" spans="2:22">
      <c r="B11" s="407" t="s">
        <v>36</v>
      </c>
      <c r="E11" s="12">
        <f>'Output_Standalone (IDR)'!E11</f>
        <v>45291</v>
      </c>
      <c r="F11" s="12">
        <f>'Output_Standalone (IDR)'!F11</f>
        <v>45291</v>
      </c>
      <c r="J11" s="13">
        <f t="shared" ref="J11:V11" si="4">IF(J7=$F$11,1,0)</f>
        <v>0</v>
      </c>
      <c r="K11" s="13">
        <f t="shared" si="4"/>
        <v>0</v>
      </c>
      <c r="L11" s="13">
        <f t="shared" si="4"/>
        <v>0</v>
      </c>
      <c r="M11" s="13">
        <f t="shared" si="4"/>
        <v>0</v>
      </c>
      <c r="N11" s="13">
        <f t="shared" si="4"/>
        <v>0</v>
      </c>
      <c r="O11" s="13">
        <f t="shared" si="4"/>
        <v>0</v>
      </c>
      <c r="P11" s="13">
        <f t="shared" si="4"/>
        <v>0</v>
      </c>
      <c r="Q11" s="13">
        <f t="shared" si="4"/>
        <v>0</v>
      </c>
      <c r="R11" s="13">
        <f t="shared" si="4"/>
        <v>0</v>
      </c>
      <c r="S11" s="13">
        <f t="shared" si="4"/>
        <v>0</v>
      </c>
      <c r="T11" s="13">
        <f t="shared" si="4"/>
        <v>0</v>
      </c>
      <c r="U11" s="13">
        <f t="shared" si="4"/>
        <v>0</v>
      </c>
      <c r="V11" s="13">
        <f t="shared" si="4"/>
        <v>0</v>
      </c>
    </row>
    <row r="12" spans="2:22">
      <c r="B12" t="s">
        <v>37</v>
      </c>
      <c r="E12" s="12">
        <f>'Output_Standalone (IDR)'!E12</f>
        <v>45292</v>
      </c>
      <c r="F12" s="12">
        <f>'Output_Standalone (IDR)'!F12</f>
        <v>50040</v>
      </c>
      <c r="J12" s="13">
        <f>IF(J11=1,0,IF(J7&gt;$F$12,0,1))</f>
        <v>1</v>
      </c>
      <c r="K12" s="13">
        <f>IF(K11=1,0,IF(K7&gt;$F$12,0,1))</f>
        <v>1</v>
      </c>
      <c r="L12" s="13">
        <f t="shared" ref="L12:V12" si="5">IF(L11=1,0,IF(L7&gt;$F$12,0,1))</f>
        <v>1</v>
      </c>
      <c r="M12" s="13">
        <f t="shared" si="5"/>
        <v>1</v>
      </c>
      <c r="N12" s="13">
        <f t="shared" si="5"/>
        <v>1</v>
      </c>
      <c r="O12" s="13">
        <f t="shared" si="5"/>
        <v>1</v>
      </c>
      <c r="P12" s="13">
        <f t="shared" si="5"/>
        <v>1</v>
      </c>
      <c r="Q12" s="13">
        <f t="shared" si="5"/>
        <v>1</v>
      </c>
      <c r="R12" s="13">
        <f t="shared" si="5"/>
        <v>1</v>
      </c>
      <c r="S12" s="13">
        <f t="shared" si="5"/>
        <v>1</v>
      </c>
      <c r="T12" s="13">
        <f t="shared" si="5"/>
        <v>1</v>
      </c>
      <c r="U12" s="13">
        <f t="shared" si="5"/>
        <v>1</v>
      </c>
      <c r="V12" s="13">
        <f t="shared" si="5"/>
        <v>1</v>
      </c>
    </row>
    <row r="13" spans="2:22">
      <c r="F13" s="7"/>
    </row>
    <row r="14" spans="2:22">
      <c r="B14" t="s">
        <v>38</v>
      </c>
      <c r="J14">
        <f>SUM($J$12:J12)</f>
        <v>1</v>
      </c>
      <c r="K14">
        <f>SUM($J$12:K12)</f>
        <v>2</v>
      </c>
      <c r="L14">
        <f>SUM($J$12:L12)</f>
        <v>3</v>
      </c>
      <c r="M14">
        <f>SUM($J$12:M12)</f>
        <v>4</v>
      </c>
      <c r="N14">
        <f>SUM($J$12:N12)</f>
        <v>5</v>
      </c>
      <c r="O14">
        <f>SUM($J$12:O12)</f>
        <v>6</v>
      </c>
      <c r="P14">
        <f>SUM($J$12:P12)</f>
        <v>7</v>
      </c>
      <c r="Q14">
        <f>SUM($J$12:Q12)</f>
        <v>8</v>
      </c>
      <c r="R14">
        <f>SUM($J$12:R12)</f>
        <v>9</v>
      </c>
      <c r="S14">
        <f>SUM($J$12:S12)</f>
        <v>10</v>
      </c>
      <c r="T14">
        <f>SUM($J$12:T12)</f>
        <v>11</v>
      </c>
      <c r="U14">
        <f>SUM($J$12:U12)</f>
        <v>12</v>
      </c>
      <c r="V14">
        <f>SUM($J$12:V12)</f>
        <v>13</v>
      </c>
    </row>
    <row r="16" spans="2:22" ht="24" thickBot="1">
      <c r="B16" s="14" t="s">
        <v>1049</v>
      </c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</row>
    <row r="18" spans="2:22">
      <c r="B18" s="407" t="s">
        <v>623</v>
      </c>
      <c r="I18" s="48">
        <f>SUM(J18:V18)</f>
        <v>42399.432725061255</v>
      </c>
      <c r="J18" s="480">
        <f>SUM(Output_Sapphire!J29*$D$2,Output_FSL!J44)</f>
        <v>2334.8886365753137</v>
      </c>
      <c r="K18" s="1">
        <f>SUM(Output_Sapphire!K29*$D$2,Output_FSL!K44)</f>
        <v>2621.4028664703164</v>
      </c>
      <c r="L18" s="1">
        <f>SUM(Output_Sapphire!L29*$D$2,Output_FSL!L44)</f>
        <v>2895.1648862865286</v>
      </c>
      <c r="M18" s="1">
        <f>SUM(Output_Sapphire!M29*$D$2,Output_FSL!M44)</f>
        <v>3031.462832875593</v>
      </c>
      <c r="N18" s="1">
        <f>SUM(Output_Sapphire!N29*$D$2,Output_FSL!N44)</f>
        <v>3125.2095770255764</v>
      </c>
      <c r="O18" s="1">
        <f>SUM(Output_Sapphire!O29*$D$2,Output_FSL!O44)</f>
        <v>3210.6070372310119</v>
      </c>
      <c r="P18" s="1">
        <f>SUM(Output_Sapphire!P29*$D$2,Output_FSL!P44)</f>
        <v>3306.216879172433</v>
      </c>
      <c r="Q18" s="1">
        <f>SUM(Output_Sapphire!Q29*$D$2,Output_FSL!Q44)</f>
        <v>3474.7431095703578</v>
      </c>
      <c r="R18" s="1">
        <f>SUM(Output_Sapphire!R29*$D$2,Output_FSL!R44)</f>
        <v>3527.7291172001442</v>
      </c>
      <c r="S18" s="1">
        <f>SUM(Output_Sapphire!S29*$D$2,Output_FSL!S44)</f>
        <v>3607.6219371080033</v>
      </c>
      <c r="T18" s="1">
        <f>SUM(Output_Sapphire!T29*$D$2,Output_FSL!T44)</f>
        <v>3661.181966945177</v>
      </c>
      <c r="U18" s="1">
        <f>SUM(Output_Sapphire!U29*$D$2,Output_FSL!U44)</f>
        <v>3772.5143622958558</v>
      </c>
      <c r="V18" s="1">
        <f>SUM(Output_Sapphire!V29*$D$2,Output_FSL!V44)</f>
        <v>3830.6895163049376</v>
      </c>
    </row>
    <row r="19" spans="2:22">
      <c r="B19" s="407" t="s">
        <v>473</v>
      </c>
      <c r="I19" s="48">
        <f>SUM(J19:V19)</f>
        <v>-21239.746881920859</v>
      </c>
      <c r="J19" s="23">
        <f>SUM(Output_Sapphire!J30*$D$2,Output_FSL!J45)</f>
        <v>-1385.5430584279595</v>
      </c>
      <c r="K19" s="23">
        <f>SUM(Output_Sapphire!K30*$D$2,Output_FSL!K45)</f>
        <v>-1477.8587628244222</v>
      </c>
      <c r="L19" s="23">
        <f>SUM(Output_Sapphire!L30*$D$2,Output_FSL!L45)</f>
        <v>-1523.4249667282866</v>
      </c>
      <c r="M19" s="23">
        <f>SUM(Output_Sapphire!M30*$D$2,Output_FSL!M45)</f>
        <v>-1536.5811355022315</v>
      </c>
      <c r="N19" s="23">
        <f>SUM(Output_Sapphire!N30*$D$2,Output_FSL!N45)</f>
        <v>-1562.5349270682236</v>
      </c>
      <c r="O19" s="23">
        <f>SUM(Output_Sapphire!O30*$D$2,Output_FSL!O45)</f>
        <v>-1578.8643505060161</v>
      </c>
      <c r="P19" s="23">
        <f>SUM(Output_Sapphire!P30*$D$2,Output_FSL!P45)</f>
        <v>-1624.623127965456</v>
      </c>
      <c r="Q19" s="23">
        <f>SUM(Output_Sapphire!Q30*$D$2,Output_FSL!Q45)</f>
        <v>-1700.2791323736365</v>
      </c>
      <c r="R19" s="23">
        <f>SUM(Output_Sapphire!R30*$D$2,Output_FSL!R45)</f>
        <v>-1713.6349958139092</v>
      </c>
      <c r="S19" s="23">
        <f>SUM(Output_Sapphire!S30*$D$2,Output_FSL!S45)</f>
        <v>-1732.3026778836663</v>
      </c>
      <c r="T19" s="23">
        <f>SUM(Output_Sapphire!T30*$D$2,Output_FSL!T45)</f>
        <v>-1746.0591365942851</v>
      </c>
      <c r="U19" s="23">
        <f>SUM(Output_Sapphire!U30*$D$2,Output_FSL!U45)</f>
        <v>-1818.3094677279103</v>
      </c>
      <c r="V19" s="23">
        <f>SUM(Output_Sapphire!V30*$D$2,Output_FSL!V45)</f>
        <v>-1839.7311425048529</v>
      </c>
    </row>
    <row r="20" spans="2:22">
      <c r="B20" s="28" t="s">
        <v>1017</v>
      </c>
      <c r="C20" s="28"/>
      <c r="D20" s="28"/>
      <c r="E20" s="28"/>
      <c r="F20" s="28"/>
      <c r="G20" s="28"/>
      <c r="H20" s="28"/>
      <c r="I20" s="49">
        <f>SUM(J20:V20)</f>
        <v>21159.685843140393</v>
      </c>
      <c r="J20" s="47">
        <f>SUM(J18:J19)</f>
        <v>949.34557814735422</v>
      </c>
      <c r="K20" s="47">
        <f t="shared" ref="K20:V20" si="6">SUM(K18:K19)</f>
        <v>1143.5441036458942</v>
      </c>
      <c r="L20" s="47">
        <f t="shared" si="6"/>
        <v>1371.739919558242</v>
      </c>
      <c r="M20" s="47">
        <f t="shared" si="6"/>
        <v>1494.8816973733615</v>
      </c>
      <c r="N20" s="47">
        <f t="shared" si="6"/>
        <v>1562.6746499573528</v>
      </c>
      <c r="O20" s="47">
        <f t="shared" si="6"/>
        <v>1631.7426867249958</v>
      </c>
      <c r="P20" s="47">
        <f t="shared" si="6"/>
        <v>1681.593751206977</v>
      </c>
      <c r="Q20" s="47">
        <f t="shared" si="6"/>
        <v>1774.4639771967213</v>
      </c>
      <c r="R20" s="47">
        <f t="shared" si="6"/>
        <v>1814.094121386235</v>
      </c>
      <c r="S20" s="47">
        <f t="shared" si="6"/>
        <v>1875.319259224337</v>
      </c>
      <c r="T20" s="47">
        <f t="shared" si="6"/>
        <v>1915.1228303508919</v>
      </c>
      <c r="U20" s="47">
        <f t="shared" si="6"/>
        <v>1954.2048945679455</v>
      </c>
      <c r="V20" s="47">
        <f t="shared" si="6"/>
        <v>1990.9583738000847</v>
      </c>
    </row>
    <row r="22" spans="2:22">
      <c r="B22" t="s">
        <v>852</v>
      </c>
      <c r="I22" s="48">
        <f>SUM(J22:V22)</f>
        <v>-5842.7657803434431</v>
      </c>
      <c r="J22" s="1">
        <f>SUM(Output_Sapphire!J33*$D$2,Output_FSL!J48)</f>
        <v>-239.21010274449137</v>
      </c>
      <c r="K22" s="1">
        <f>SUM(Output_Sapphire!K33*$D$2,Output_FSL!K48)</f>
        <v>-265.78556986716995</v>
      </c>
      <c r="L22" s="1">
        <f>SUM(Output_Sapphire!L33*$D$2,Output_FSL!L48)</f>
        <v>-366.04963152703658</v>
      </c>
      <c r="M22" s="1">
        <f>SUM(Output_Sapphire!M33*$D$2,Output_FSL!M48)</f>
        <v>-411.13356404358831</v>
      </c>
      <c r="N22" s="1">
        <f>SUM(Output_Sapphire!N33*$D$2,Output_FSL!N48)</f>
        <v>-435.10514447930581</v>
      </c>
      <c r="O22" s="1">
        <f>SUM(Output_Sapphire!O33*$D$2,Output_FSL!O48)</f>
        <v>-454.35234657835412</v>
      </c>
      <c r="P22" s="1">
        <f>SUM(Output_Sapphire!P33*$D$2,Output_FSL!P48)</f>
        <v>-470.72773557939479</v>
      </c>
      <c r="Q22" s="1">
        <f>SUM(Output_Sapphire!Q33*$D$2,Output_FSL!Q48)</f>
        <v>-489.49128417303746</v>
      </c>
      <c r="R22" s="1">
        <f>SUM(Output_Sapphire!R33*$D$2,Output_FSL!R48)</f>
        <v>-506.12485212079093</v>
      </c>
      <c r="S22" s="1">
        <f>SUM(Output_Sapphire!S33*$D$2,Output_FSL!S48)</f>
        <v>-525.92737311622886</v>
      </c>
      <c r="T22" s="1">
        <f>SUM(Output_Sapphire!T33*$D$2,Output_FSL!T48)</f>
        <v>-543.81333487689903</v>
      </c>
      <c r="U22" s="1">
        <f>SUM(Output_Sapphire!U33*$D$2,Output_FSL!U48)</f>
        <v>-558.35950834919208</v>
      </c>
      <c r="V22" s="1">
        <f>SUM(Output_Sapphire!V33*$D$2,Output_FSL!V48)</f>
        <v>-576.68533288795436</v>
      </c>
    </row>
    <row r="23" spans="2:22">
      <c r="B23" s="28" t="s">
        <v>139</v>
      </c>
      <c r="C23" s="28"/>
      <c r="D23" s="28"/>
      <c r="E23" s="28"/>
      <c r="F23" s="28"/>
      <c r="G23" s="28"/>
      <c r="H23" s="28"/>
      <c r="I23" s="49">
        <f>SUM(J23:V23)</f>
        <v>15316.920062796949</v>
      </c>
      <c r="J23" s="47">
        <f>SUM(J20,J22)</f>
        <v>710.13547540286288</v>
      </c>
      <c r="K23" s="47">
        <f t="shared" ref="K23:V23" si="7">SUM(K20,K22)</f>
        <v>877.75853377872431</v>
      </c>
      <c r="L23" s="47">
        <f t="shared" si="7"/>
        <v>1005.6902880312055</v>
      </c>
      <c r="M23" s="47">
        <f t="shared" si="7"/>
        <v>1083.7481333297733</v>
      </c>
      <c r="N23" s="47">
        <f t="shared" si="7"/>
        <v>1127.5695054780469</v>
      </c>
      <c r="O23" s="47">
        <f t="shared" si="7"/>
        <v>1177.3903401466416</v>
      </c>
      <c r="P23" s="47">
        <f t="shared" si="7"/>
        <v>1210.8660156275823</v>
      </c>
      <c r="Q23" s="47">
        <f t="shared" si="7"/>
        <v>1284.9726930236839</v>
      </c>
      <c r="R23" s="47">
        <f t="shared" si="7"/>
        <v>1307.9692692654439</v>
      </c>
      <c r="S23" s="47">
        <f t="shared" si="7"/>
        <v>1349.3918861081081</v>
      </c>
      <c r="T23" s="460">
        <f t="shared" si="7"/>
        <v>1371.3094954739929</v>
      </c>
      <c r="U23" s="47">
        <f t="shared" si="7"/>
        <v>1395.8453862187534</v>
      </c>
      <c r="V23" s="47">
        <f t="shared" si="7"/>
        <v>1414.2730409121305</v>
      </c>
    </row>
    <row r="24" spans="2:22">
      <c r="T24">
        <f>T23/USD_IDR*Thousands</f>
        <v>84.310451612295907</v>
      </c>
    </row>
    <row r="25" spans="2:22">
      <c r="B25" t="s">
        <v>1018</v>
      </c>
      <c r="I25" s="49">
        <f>SUM(J25:V25)</f>
        <v>-4076.8837023435626</v>
      </c>
      <c r="J25" s="1">
        <f>SUM(Output_Sapphire!J36*$D$2,Output_FSL!J51)</f>
        <v>-295.27306240893529</v>
      </c>
      <c r="K25" s="1">
        <f>SUM(Output_Sapphire!K36*$D$2,Output_FSL!K51)</f>
        <v>-333.79968518200155</v>
      </c>
      <c r="L25" s="1">
        <f>SUM(Output_Sapphire!L36*$D$2,Output_FSL!L51)</f>
        <v>-362.76780390311256</v>
      </c>
      <c r="M25" s="1">
        <f>SUM(Output_Sapphire!M36*$D$2,Output_FSL!M51)</f>
        <v>-371.94134168720859</v>
      </c>
      <c r="N25" s="1">
        <f>SUM(Output_Sapphire!N36*$D$2,Output_FSL!N51)</f>
        <v>-358.49843006333595</v>
      </c>
      <c r="O25" s="1">
        <f>SUM(Output_Sapphire!O36*$D$2,Output_FSL!O51)</f>
        <v>-353.90716215698581</v>
      </c>
      <c r="P25" s="1">
        <f>SUM(Output_Sapphire!P36*$D$2,Output_FSL!P51)</f>
        <v>-322.81606889250872</v>
      </c>
      <c r="Q25" s="1">
        <f>SUM(Output_Sapphire!Q36*$D$2,Output_FSL!Q51)</f>
        <v>-323.125153762742</v>
      </c>
      <c r="R25" s="1">
        <f>SUM(Output_Sapphire!R36*$D$2,Output_FSL!R51)</f>
        <v>-281.93442033038002</v>
      </c>
      <c r="S25" s="1">
        <f>SUM(Output_Sapphire!S36*$D$2,Output_FSL!S51)</f>
        <v>-271.14387222937074</v>
      </c>
      <c r="T25" s="1">
        <f>SUM(Output_Sapphire!T36*$D$2,Output_FSL!T51)</f>
        <v>-261.71566792824603</v>
      </c>
      <c r="U25" s="1">
        <f>SUM(Output_Sapphire!U36*$D$2,Output_FSL!U51)</f>
        <v>-267.02550168395601</v>
      </c>
      <c r="V25" s="1">
        <f>SUM(Output_Sapphire!V36*$D$2,Output_FSL!V51)</f>
        <v>-272.93553211478019</v>
      </c>
    </row>
    <row r="26" spans="2:22">
      <c r="B26" s="28" t="s">
        <v>434</v>
      </c>
      <c r="C26" s="28"/>
      <c r="D26" s="28"/>
      <c r="E26" s="28"/>
      <c r="F26" s="28"/>
      <c r="G26" s="28"/>
      <c r="H26" s="28"/>
      <c r="I26" s="49">
        <f>SUM(J26:V26)</f>
        <v>11240.036360453387</v>
      </c>
      <c r="J26" s="47">
        <f>SUM(J23,J25)</f>
        <v>414.86241299392759</v>
      </c>
      <c r="K26" s="47">
        <f t="shared" ref="K26:V26" si="8">SUM(K23,K25)</f>
        <v>543.95884859672276</v>
      </c>
      <c r="L26" s="47">
        <f t="shared" si="8"/>
        <v>642.92248412809295</v>
      </c>
      <c r="M26" s="47">
        <f t="shared" si="8"/>
        <v>711.80679164256469</v>
      </c>
      <c r="N26" s="47">
        <f t="shared" si="8"/>
        <v>769.071075414711</v>
      </c>
      <c r="O26" s="47">
        <f t="shared" si="8"/>
        <v>823.48317798965581</v>
      </c>
      <c r="P26" s="47">
        <f t="shared" si="8"/>
        <v>888.0499467350736</v>
      </c>
      <c r="Q26" s="47">
        <f t="shared" si="8"/>
        <v>961.84753926094186</v>
      </c>
      <c r="R26" s="47">
        <f t="shared" si="8"/>
        <v>1026.034848935064</v>
      </c>
      <c r="S26" s="47">
        <f t="shared" si="8"/>
        <v>1078.2480138787373</v>
      </c>
      <c r="T26" s="47">
        <f t="shared" si="8"/>
        <v>1109.593827545747</v>
      </c>
      <c r="U26" s="47">
        <f t="shared" si="8"/>
        <v>1128.8198845347974</v>
      </c>
      <c r="V26" s="47">
        <f t="shared" si="8"/>
        <v>1141.3375087973502</v>
      </c>
    </row>
    <row r="27" spans="2:22"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</row>
    <row r="28" spans="2:22">
      <c r="B28" t="s">
        <v>881</v>
      </c>
      <c r="I28" s="48">
        <f>SUM(J28:V28)</f>
        <v>-349.12135569543068</v>
      </c>
      <c r="J28" s="1">
        <f>SUM(Output_Sapphire!J39*$D$2,Output_FSL!J54)</f>
        <v>-64.042905517660998</v>
      </c>
      <c r="K28" s="1">
        <f>SUM(Output_Sapphire!K39*$D$2,Output_FSL!K54)</f>
        <v>-63.784450177769656</v>
      </c>
      <c r="L28" s="1">
        <f>SUM(Output_Sapphire!L39*$D$2,Output_FSL!L54)</f>
        <v>-41.440000000000005</v>
      </c>
      <c r="M28" s="1">
        <f>SUM(Output_Sapphire!M39*$D$2,Output_FSL!M54)</f>
        <v>-31.496000000000002</v>
      </c>
      <c r="N28" s="1">
        <f>SUM(Output_Sapphire!N39*$D$2,Output_FSL!N54)</f>
        <v>-23.891999999999999</v>
      </c>
      <c r="O28" s="1">
        <f>SUM(Output_Sapphire!O39*$D$2,Output_FSL!O54)</f>
        <v>-19.513000000000002</v>
      </c>
      <c r="P28" s="1">
        <f>SUM(Output_Sapphire!P39*$D$2,Output_FSL!P54)</f>
        <v>-16.516999999999999</v>
      </c>
      <c r="Q28" s="1">
        <f>SUM(Output_Sapphire!Q39*$D$2,Output_FSL!Q54)</f>
        <v>-15.603000000000002</v>
      </c>
      <c r="R28" s="1">
        <f>SUM(Output_Sapphire!R39*$D$2,Output_FSL!R54)</f>
        <v>-14.263999999999999</v>
      </c>
      <c r="S28" s="1">
        <f>SUM(Output_Sapphire!S39*$D$2,Output_FSL!S54)</f>
        <v>-13.727</v>
      </c>
      <c r="T28" s="1">
        <f>SUM(Output_Sapphire!T39*$D$2,Output_FSL!T54)</f>
        <v>-14.43</v>
      </c>
      <c r="U28" s="1">
        <f>SUM(Output_Sapphire!U39*$D$2,Output_FSL!U54)</f>
        <v>-14.998000000000001</v>
      </c>
      <c r="V28" s="1">
        <f>SUM(Output_Sapphire!V39*$D$2,Output_FSL!V54)</f>
        <v>-15.414000000000001</v>
      </c>
    </row>
    <row r="29" spans="2:22">
      <c r="B29" s="28" t="s">
        <v>1019</v>
      </c>
      <c r="C29" s="28"/>
      <c r="D29" s="28"/>
      <c r="E29" s="28"/>
      <c r="F29" s="28"/>
      <c r="G29" s="28"/>
      <c r="H29" s="28"/>
      <c r="I29" s="48">
        <f>SUM(J29:V29)</f>
        <v>10890.915004757953</v>
      </c>
      <c r="J29" s="47">
        <f>SUM(J26,J28)</f>
        <v>350.81950747626661</v>
      </c>
      <c r="K29" s="47">
        <f t="shared" ref="K29:V29" si="9">SUM(K26,K28)</f>
        <v>480.1743984189531</v>
      </c>
      <c r="L29" s="47">
        <f t="shared" si="9"/>
        <v>601.48248412809289</v>
      </c>
      <c r="M29" s="47">
        <f t="shared" si="9"/>
        <v>680.31079164256471</v>
      </c>
      <c r="N29" s="47">
        <f t="shared" si="9"/>
        <v>745.17907541471095</v>
      </c>
      <c r="O29" s="47">
        <f t="shared" si="9"/>
        <v>803.97017798965578</v>
      </c>
      <c r="P29" s="47">
        <f t="shared" si="9"/>
        <v>871.53294673507355</v>
      </c>
      <c r="Q29" s="47">
        <f t="shared" si="9"/>
        <v>946.24453926094191</v>
      </c>
      <c r="R29" s="47">
        <f t="shared" si="9"/>
        <v>1011.770848935064</v>
      </c>
      <c r="S29" s="47">
        <f t="shared" si="9"/>
        <v>1064.5210138787372</v>
      </c>
      <c r="T29" s="47">
        <f t="shared" si="9"/>
        <v>1095.1638275457469</v>
      </c>
      <c r="U29" s="47">
        <f t="shared" si="9"/>
        <v>1113.8218845347974</v>
      </c>
      <c r="V29" s="47">
        <f t="shared" si="9"/>
        <v>1125.9235087973502</v>
      </c>
    </row>
    <row r="30" spans="2:22"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</row>
    <row r="31" spans="2:22">
      <c r="B31" t="s">
        <v>759</v>
      </c>
      <c r="I31" s="48">
        <f>SUM(J31:V31)</f>
        <v>-2414.7904402251966</v>
      </c>
      <c r="J31" s="23">
        <f>SUM(Output_Sapphire!J42*$D$2,Output_FSL!J57)</f>
        <v>-83.856443512427802</v>
      </c>
      <c r="K31" s="23">
        <f>SUM(Output_Sapphire!K42*$D$2,Output_FSL!K57)</f>
        <v>-110.01932233891021</v>
      </c>
      <c r="L31" s="23">
        <f>SUM(Output_Sapphire!L42*$D$2,Output_FSL!L57)</f>
        <v>-136.39064959152972</v>
      </c>
      <c r="M31" s="23">
        <f>SUM(Output_Sapphire!M42*$D$2,Output_FSL!M57)</f>
        <v>-151.44974959270354</v>
      </c>
      <c r="N31" s="23">
        <f>SUM(Output_Sapphire!N42*$D$2,Output_FSL!N57)</f>
        <v>-165.537005471649</v>
      </c>
      <c r="O31" s="23">
        <f>SUM(Output_Sapphire!O42*$D$2,Output_FSL!O57)</f>
        <v>-177.1332152160191</v>
      </c>
      <c r="P31" s="23">
        <f>SUM(Output_Sapphire!P42*$D$2,Output_FSL!P57)</f>
        <v>-191.76601745237707</v>
      </c>
      <c r="Q31" s="23">
        <f>SUM(Output_Sapphire!Q42*$D$2,Output_FSL!Q57)</f>
        <v>-208.17379863740715</v>
      </c>
      <c r="R31" s="23">
        <f>SUM(Output_Sapphire!R42*$D$2,Output_FSL!R57)</f>
        <v>-222.58958676571399</v>
      </c>
      <c r="S31" s="23">
        <f>SUM(Output_Sapphire!S42*$D$2,Output_FSL!S57)</f>
        <v>-234.19462305332226</v>
      </c>
      <c r="T31" s="23">
        <f>SUM(Output_Sapphire!T42*$D$2,Output_FSL!T57)</f>
        <v>-240.93604206006427</v>
      </c>
      <c r="U31" s="23">
        <f>SUM(Output_Sapphire!U42*$D$2,Output_FSL!U57)</f>
        <v>-245.04081459765541</v>
      </c>
      <c r="V31" s="23">
        <f>SUM(Output_Sapphire!V42*$D$2,Output_FSL!V57)</f>
        <v>-247.70317193541712</v>
      </c>
    </row>
    <row r="32" spans="2:22">
      <c r="B32" s="28" t="s">
        <v>1020</v>
      </c>
      <c r="C32" s="28"/>
      <c r="D32" s="28"/>
      <c r="E32" s="28"/>
      <c r="F32" s="28"/>
      <c r="G32" s="28"/>
      <c r="H32" s="28"/>
      <c r="I32" s="48">
        <f>SUM(J32:V32)</f>
        <v>8476.1245645327599</v>
      </c>
      <c r="J32" s="47">
        <f>SUM(J29,J31)</f>
        <v>266.96306396383881</v>
      </c>
      <c r="K32" s="47">
        <f t="shared" ref="K32:V32" si="10">SUM(K29,K31)</f>
        <v>370.15507608004287</v>
      </c>
      <c r="L32" s="47">
        <f t="shared" si="10"/>
        <v>465.09183453656317</v>
      </c>
      <c r="M32" s="47">
        <f t="shared" si="10"/>
        <v>528.86104204986123</v>
      </c>
      <c r="N32" s="47">
        <f t="shared" si="10"/>
        <v>579.64206994306198</v>
      </c>
      <c r="O32" s="47">
        <f t="shared" si="10"/>
        <v>626.83696277363674</v>
      </c>
      <c r="P32" s="47">
        <f t="shared" si="10"/>
        <v>679.76692928269654</v>
      </c>
      <c r="Q32" s="47">
        <f t="shared" si="10"/>
        <v>738.07074062353479</v>
      </c>
      <c r="R32" s="47">
        <f t="shared" si="10"/>
        <v>789.18126216935002</v>
      </c>
      <c r="S32" s="47">
        <f t="shared" si="10"/>
        <v>830.32639082541493</v>
      </c>
      <c r="T32" s="47">
        <f t="shared" si="10"/>
        <v>854.22778548568272</v>
      </c>
      <c r="U32" s="47">
        <f t="shared" si="10"/>
        <v>868.78106993714198</v>
      </c>
      <c r="V32" s="47">
        <f t="shared" si="10"/>
        <v>878.22033686193311</v>
      </c>
    </row>
    <row r="34" spans="2:22">
      <c r="B34" t="s">
        <v>259</v>
      </c>
      <c r="J34">
        <f>SUM($J$32:J32)*J12</f>
        <v>266.96306396383881</v>
      </c>
      <c r="K34">
        <f>SUM($J$32:K32)*K12</f>
        <v>637.11814004388168</v>
      </c>
      <c r="L34">
        <f>SUM($J$32:L32)*L12</f>
        <v>1102.2099745804449</v>
      </c>
      <c r="M34">
        <f>SUM($J$32:M32)*M12</f>
        <v>1631.0710166303061</v>
      </c>
      <c r="N34">
        <f>SUM($J$32:N32)*N12</f>
        <v>2210.7130865733679</v>
      </c>
      <c r="O34">
        <f>SUM($J$32:O32)*O12</f>
        <v>2837.5500493470045</v>
      </c>
      <c r="P34">
        <f>SUM($J$32:P32)*P12</f>
        <v>3517.3169786297012</v>
      </c>
      <c r="Q34">
        <f>SUM($J$32:Q32)*Q12</f>
        <v>4255.3877192532364</v>
      </c>
      <c r="R34">
        <f>SUM($J$32:R32)*R12</f>
        <v>5044.5689814225861</v>
      </c>
      <c r="S34">
        <f>SUM($J$32:S32)*S12</f>
        <v>5874.895372248001</v>
      </c>
      <c r="T34">
        <f>SUM($J$32:T32)*T12</f>
        <v>6729.1231577336839</v>
      </c>
      <c r="U34">
        <f>SUM($J$32:U32)*U12</f>
        <v>7597.904227670826</v>
      </c>
      <c r="V34">
        <f>SUM($J$32:V32)*V12</f>
        <v>8476.1245645327599</v>
      </c>
    </row>
    <row r="36" spans="2:22">
      <c r="B36" s="407" t="s">
        <v>32</v>
      </c>
      <c r="C36" s="407"/>
      <c r="D36" s="407"/>
      <c r="E36" s="407"/>
      <c r="F36" s="407"/>
      <c r="G36" s="407"/>
      <c r="H36" s="407"/>
      <c r="I36" s="407"/>
      <c r="J36" s="9">
        <f t="shared" ref="J36:V36" si="11">J8</f>
        <v>2024</v>
      </c>
      <c r="K36" s="9">
        <f t="shared" si="11"/>
        <v>2025</v>
      </c>
      <c r="L36" s="9">
        <f t="shared" si="11"/>
        <v>2026</v>
      </c>
      <c r="M36" s="9">
        <f t="shared" si="11"/>
        <v>2027</v>
      </c>
      <c r="N36" s="9">
        <f t="shared" si="11"/>
        <v>2028</v>
      </c>
      <c r="O36" s="9">
        <f t="shared" si="11"/>
        <v>2029</v>
      </c>
      <c r="P36" s="9">
        <f t="shared" si="11"/>
        <v>2030</v>
      </c>
      <c r="Q36" s="9">
        <f t="shared" si="11"/>
        <v>2031</v>
      </c>
      <c r="R36" s="9">
        <f t="shared" si="11"/>
        <v>2032</v>
      </c>
      <c r="S36" s="9">
        <f t="shared" si="11"/>
        <v>2033</v>
      </c>
      <c r="T36" s="9">
        <f t="shared" si="11"/>
        <v>2034</v>
      </c>
      <c r="U36" s="9">
        <f t="shared" si="11"/>
        <v>2035</v>
      </c>
      <c r="V36" s="9">
        <f t="shared" si="11"/>
        <v>2036</v>
      </c>
    </row>
    <row r="37" spans="2:22">
      <c r="B37" s="55" t="s">
        <v>1021</v>
      </c>
      <c r="C37" s="51"/>
      <c r="D37" s="51"/>
      <c r="E37" s="51"/>
      <c r="F37" s="51"/>
      <c r="G37" s="51"/>
      <c r="H37" s="51"/>
      <c r="I37" s="51"/>
      <c r="J37" s="56">
        <f>IFERROR(J20/J18,0)</f>
        <v>0.40659137368530007</v>
      </c>
      <c r="K37" s="56">
        <f t="shared" ref="K37:V37" si="12">IFERROR(K20/K18,0)</f>
        <v>0.43623363591787817</v>
      </c>
      <c r="L37" s="56">
        <f t="shared" si="12"/>
        <v>0.47380372912635682</v>
      </c>
      <c r="M37" s="56">
        <f t="shared" si="12"/>
        <v>0.49312222507288428</v>
      </c>
      <c r="N37" s="56">
        <f t="shared" si="12"/>
        <v>0.5000223541630866</v>
      </c>
      <c r="O37" s="56">
        <f t="shared" si="12"/>
        <v>0.5082349436735466</v>
      </c>
      <c r="P37" s="56">
        <f t="shared" si="12"/>
        <v>0.50861568150601499</v>
      </c>
      <c r="Q37" s="56">
        <f t="shared" si="12"/>
        <v>0.51067486753463298</v>
      </c>
      <c r="R37" s="56">
        <f t="shared" si="12"/>
        <v>0.51423849766164265</v>
      </c>
      <c r="S37" s="56">
        <f t="shared" si="12"/>
        <v>0.51982144801116792</v>
      </c>
      <c r="T37" s="56">
        <f t="shared" si="12"/>
        <v>0.52308867672830672</v>
      </c>
      <c r="U37" s="56">
        <f t="shared" si="12"/>
        <v>0.51801125374077206</v>
      </c>
      <c r="V37" s="56">
        <f t="shared" si="12"/>
        <v>0.51973890479136309</v>
      </c>
    </row>
    <row r="38" spans="2:22">
      <c r="B38" s="55" t="s">
        <v>1022</v>
      </c>
      <c r="C38" s="51"/>
      <c r="D38" s="51"/>
      <c r="E38" s="51"/>
      <c r="F38" s="51"/>
      <c r="G38" s="51"/>
      <c r="H38" s="51"/>
      <c r="I38" s="51"/>
      <c r="J38" s="56">
        <f>IFERROR(J23/J18,0)</f>
        <v>0.30414104736252029</v>
      </c>
      <c r="K38" s="56">
        <f t="shared" ref="K38:V38" si="13">IFERROR(K23/K18,0)</f>
        <v>0.3348430510265728</v>
      </c>
      <c r="L38" s="56">
        <f t="shared" si="13"/>
        <v>0.34736891594493952</v>
      </c>
      <c r="M38" s="56">
        <f t="shared" si="13"/>
        <v>0.35750005626879106</v>
      </c>
      <c r="N38" s="56">
        <f t="shared" si="13"/>
        <v>0.36079804495902423</v>
      </c>
      <c r="O38" s="56">
        <f t="shared" si="13"/>
        <v>0.36671891841428278</v>
      </c>
      <c r="P38" s="56">
        <f t="shared" si="13"/>
        <v>0.36623913671708969</v>
      </c>
      <c r="Q38" s="56">
        <f t="shared" si="13"/>
        <v>0.36980365238642554</v>
      </c>
      <c r="R38" s="56">
        <f t="shared" si="13"/>
        <v>0.3707680566765118</v>
      </c>
      <c r="S38" s="56">
        <f t="shared" si="13"/>
        <v>0.37403916198320608</v>
      </c>
      <c r="T38" s="56">
        <f t="shared" si="13"/>
        <v>0.3745537664761821</v>
      </c>
      <c r="U38" s="56">
        <f t="shared" si="13"/>
        <v>0.37000399525829175</v>
      </c>
      <c r="V38" s="56">
        <f t="shared" si="13"/>
        <v>0.36919542418993295</v>
      </c>
    </row>
    <row r="39" spans="2:22">
      <c r="B39" s="55" t="s">
        <v>990</v>
      </c>
      <c r="C39" s="51"/>
      <c r="D39" s="51"/>
      <c r="E39" s="51"/>
      <c r="F39" s="51"/>
      <c r="G39" s="51"/>
      <c r="H39" s="51"/>
      <c r="I39" s="51"/>
      <c r="J39" s="52">
        <f>IFERROR(J32/J18,0)</f>
        <v>0.11433652970935931</v>
      </c>
      <c r="K39" s="52">
        <f t="shared" ref="K39:V39" si="14">IFERROR(K32/K18,0)</f>
        <v>0.14120495587099577</v>
      </c>
      <c r="L39" s="52">
        <f t="shared" si="14"/>
        <v>0.16064433384763493</v>
      </c>
      <c r="M39" s="52">
        <f t="shared" si="14"/>
        <v>0.17445737296016683</v>
      </c>
      <c r="N39" s="52">
        <f t="shared" si="14"/>
        <v>0.18547302369869778</v>
      </c>
      <c r="O39" s="52">
        <f t="shared" si="14"/>
        <v>0.19523939102626908</v>
      </c>
      <c r="P39" s="52">
        <f t="shared" si="14"/>
        <v>0.20560264317955043</v>
      </c>
      <c r="Q39" s="52">
        <f t="shared" si="14"/>
        <v>0.21241016021895073</v>
      </c>
      <c r="R39" s="52">
        <f t="shared" si="14"/>
        <v>0.22370801043695221</v>
      </c>
      <c r="S39" s="52">
        <f t="shared" si="14"/>
        <v>0.23015892610161745</v>
      </c>
      <c r="T39" s="52">
        <f t="shared" si="14"/>
        <v>0.23332022095542951</v>
      </c>
      <c r="U39" s="52">
        <f t="shared" si="14"/>
        <v>0.23029231607972567</v>
      </c>
      <c r="V39" s="52">
        <f t="shared" si="14"/>
        <v>0.22925907545466115</v>
      </c>
    </row>
    <row r="41" spans="2:22" ht="24" thickBot="1">
      <c r="B41" s="14" t="s">
        <v>1050</v>
      </c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</row>
    <row r="43" spans="2:22" ht="15.75">
      <c r="B43" s="15" t="s">
        <v>1051</v>
      </c>
    </row>
    <row r="44" spans="2:22">
      <c r="B44" s="407" t="s">
        <v>334</v>
      </c>
      <c r="J44" s="1">
        <f>SUM(Output_Sapphire!J55,Output_FSL!J70)</f>
        <v>266.96306396383875</v>
      </c>
      <c r="K44" s="1">
        <f>SUM(Output_Sapphire!K55,Output_FSL!K70)</f>
        <v>370.15507608004299</v>
      </c>
      <c r="L44" s="1">
        <f>SUM(Output_Sapphire!L55,Output_FSL!L70)</f>
        <v>465.0918345365634</v>
      </c>
      <c r="M44" s="1">
        <f>SUM(Output_Sapphire!M55,Output_FSL!M70)</f>
        <v>528.86104204986123</v>
      </c>
      <c r="N44" s="1">
        <f>SUM(Output_Sapphire!N55,Output_FSL!N70)</f>
        <v>579.64206994306164</v>
      </c>
      <c r="O44" s="1">
        <f>SUM(Output_Sapphire!O55,Output_FSL!O70)</f>
        <v>626.83696277363674</v>
      </c>
      <c r="P44" s="1">
        <f>SUM(Output_Sapphire!P55,Output_FSL!P70)</f>
        <v>679.76692928269642</v>
      </c>
      <c r="Q44" s="1">
        <f>SUM(Output_Sapphire!Q55,Output_FSL!Q70)</f>
        <v>738.07074062353445</v>
      </c>
      <c r="R44" s="1">
        <f>SUM(Output_Sapphire!R55,Output_FSL!R70)</f>
        <v>789.18126216934979</v>
      </c>
      <c r="S44" s="1">
        <f>SUM(Output_Sapphire!S55,Output_FSL!S70)</f>
        <v>830.32639082541527</v>
      </c>
      <c r="T44" s="1">
        <f>SUM(Output_Sapphire!T55,Output_FSL!T70)</f>
        <v>854.22778548568249</v>
      </c>
      <c r="U44" s="1">
        <f>SUM(Output_Sapphire!U55,Output_FSL!U70)</f>
        <v>868.78106993714187</v>
      </c>
      <c r="V44" s="1">
        <f>SUM(Output_Sapphire!V55,Output_FSL!V70)</f>
        <v>878.22033686193311</v>
      </c>
    </row>
    <row r="45" spans="2:22">
      <c r="B45" s="407" t="s">
        <v>492</v>
      </c>
      <c r="J45" s="1">
        <f>SUM(Output_Sapphire!J56,Output_FSL!J71)</f>
        <v>295.27306240893529</v>
      </c>
      <c r="K45" s="1">
        <f>SUM(Output_Sapphire!K56,Output_FSL!K71)</f>
        <v>333.79968518200155</v>
      </c>
      <c r="L45" s="1">
        <f>SUM(Output_Sapphire!L56,Output_FSL!L71)</f>
        <v>362.76780390311256</v>
      </c>
      <c r="M45" s="1">
        <f>SUM(Output_Sapphire!M56,Output_FSL!M71)</f>
        <v>371.94134168720859</v>
      </c>
      <c r="N45" s="1">
        <f>SUM(Output_Sapphire!N56,Output_FSL!N71)</f>
        <v>358.49843006333595</v>
      </c>
      <c r="O45" s="1">
        <f>SUM(Output_Sapphire!O56,Output_FSL!O71)</f>
        <v>353.90716215698581</v>
      </c>
      <c r="P45" s="1">
        <f>SUM(Output_Sapphire!P56,Output_FSL!P71)</f>
        <v>322.81606889250872</v>
      </c>
      <c r="Q45" s="1">
        <f>SUM(Output_Sapphire!Q56,Output_FSL!Q71)</f>
        <v>323.125153762742</v>
      </c>
      <c r="R45" s="1">
        <f>SUM(Output_Sapphire!R56,Output_FSL!R71)</f>
        <v>281.93442033038002</v>
      </c>
      <c r="S45" s="1">
        <f>SUM(Output_Sapphire!S56,Output_FSL!S71)</f>
        <v>271.14387222937074</v>
      </c>
      <c r="T45" s="1">
        <f>SUM(Output_Sapphire!T56,Output_FSL!T71)</f>
        <v>261.71566792824603</v>
      </c>
      <c r="U45" s="1">
        <f>SUM(Output_Sapphire!U56,Output_FSL!U71)</f>
        <v>267.02550168395601</v>
      </c>
      <c r="V45" s="1">
        <f>SUM(Output_Sapphire!V56,Output_FSL!V71)</f>
        <v>272.93553211478019</v>
      </c>
    </row>
    <row r="46" spans="2:22">
      <c r="B46" s="407" t="s">
        <v>1052</v>
      </c>
      <c r="J46" s="23">
        <f>SUM(Output_Sapphire!J57,Output_FSL!J72)</f>
        <v>-13.862961100528764</v>
      </c>
      <c r="K46" s="23">
        <f>SUM(Output_Sapphire!K57,Output_FSL!K72)</f>
        <v>-31.403178598627001</v>
      </c>
      <c r="L46" s="23">
        <f>SUM(Output_Sapphire!L57,Output_FSL!L72)</f>
        <v>-31.774807601681196</v>
      </c>
      <c r="M46" s="23">
        <f>SUM(Output_Sapphire!M57,Output_FSL!M72)</f>
        <v>-16.007458995313794</v>
      </c>
      <c r="N46" s="23">
        <f>SUM(Output_Sapphire!N57,Output_FSL!N72)</f>
        <v>-9.4358287416836966</v>
      </c>
      <c r="O46" s="23">
        <f>SUM(Output_Sapphire!O57,Output_FSL!O72)</f>
        <v>-9.6038774114130554</v>
      </c>
      <c r="P46" s="23">
        <f>SUM(Output_Sapphire!P57,Output_FSL!P72)</f>
        <v>-9.0950125029610032</v>
      </c>
      <c r="Q46" s="23">
        <f>SUM(Output_Sapphire!Q57,Output_FSL!Q72)</f>
        <v>-16.784932152496342</v>
      </c>
      <c r="R46" s="23">
        <f>SUM(Output_Sapphire!R57,Output_FSL!R72)</f>
        <v>-5.4710337951103956</v>
      </c>
      <c r="S46" s="23">
        <f>SUM(Output_Sapphire!S57,Output_FSL!S72)</f>
        <v>-8.7682562703503439</v>
      </c>
      <c r="T46" s="23">
        <f>SUM(Output_Sapphire!T57,Output_FSL!T72)</f>
        <v>-5.4473333710221823</v>
      </c>
      <c r="U46" s="23">
        <f>SUM(Output_Sapphire!U57,Output_FSL!U72)</f>
        <v>-9.9286242651281977</v>
      </c>
      <c r="V46" s="23">
        <f>SUM(Output_Sapphire!V57,Output_FSL!V72)</f>
        <v>-5.3396190098074072</v>
      </c>
    </row>
    <row r="47" spans="2:22">
      <c r="B47" s="28" t="s">
        <v>1053</v>
      </c>
      <c r="C47" s="28"/>
      <c r="D47" s="28"/>
      <c r="E47" s="28"/>
      <c r="F47" s="28"/>
      <c r="G47" s="28"/>
      <c r="H47" s="28"/>
      <c r="I47" s="28"/>
      <c r="J47" s="47">
        <f>SUM(J44:J46)</f>
        <v>548.37316527224527</v>
      </c>
      <c r="K47" s="47">
        <f t="shared" ref="K47:V47" si="15">SUM(K44:K46)</f>
        <v>672.55158266341743</v>
      </c>
      <c r="L47" s="47">
        <f t="shared" si="15"/>
        <v>796.08483083799479</v>
      </c>
      <c r="M47" s="47">
        <f t="shared" si="15"/>
        <v>884.79492474175606</v>
      </c>
      <c r="N47" s="47">
        <f t="shared" si="15"/>
        <v>928.70467126471385</v>
      </c>
      <c r="O47" s="47">
        <f t="shared" si="15"/>
        <v>971.14024751920954</v>
      </c>
      <c r="P47" s="47">
        <f t="shared" si="15"/>
        <v>993.48798567224412</v>
      </c>
      <c r="Q47" s="47">
        <f t="shared" si="15"/>
        <v>1044.4109622337801</v>
      </c>
      <c r="R47" s="47">
        <f t="shared" si="15"/>
        <v>1065.6446487046194</v>
      </c>
      <c r="S47" s="47">
        <f t="shared" si="15"/>
        <v>1092.7020067844358</v>
      </c>
      <c r="T47" s="47">
        <f t="shared" si="15"/>
        <v>1110.4961200429066</v>
      </c>
      <c r="U47" s="47">
        <f t="shared" si="15"/>
        <v>1125.8779473559696</v>
      </c>
      <c r="V47" s="47">
        <f t="shared" si="15"/>
        <v>1145.8162499669058</v>
      </c>
    </row>
    <row r="49" spans="2:22" ht="15.75">
      <c r="B49" s="15" t="s">
        <v>1054</v>
      </c>
    </row>
    <row r="50" spans="2:22">
      <c r="B50" s="407" t="s">
        <v>1074</v>
      </c>
      <c r="J50" s="23">
        <f>SUM(Output_Sapphire!J61,Output_FSL!J76)</f>
        <v>0</v>
      </c>
      <c r="K50" s="23">
        <f>SUM(Output_Sapphire!K61,Output_FSL!K76)</f>
        <v>0</v>
      </c>
      <c r="L50" s="23">
        <f>SUM(Output_Sapphire!L61,Output_FSL!L76)</f>
        <v>0</v>
      </c>
      <c r="M50" s="23">
        <f>SUM(Output_Sapphire!M61,Output_FSL!M76)</f>
        <v>0</v>
      </c>
      <c r="N50" s="23">
        <f>SUM(Output_Sapphire!N61,Output_FSL!N76)</f>
        <v>0</v>
      </c>
      <c r="O50" s="23">
        <f>SUM(Output_Sapphire!O61,Output_FSL!O76)</f>
        <v>0</v>
      </c>
      <c r="P50" s="23">
        <f>SUM(Output_Sapphire!P61,Output_FSL!P76)</f>
        <v>0</v>
      </c>
      <c r="Q50" s="23">
        <f>SUM(Output_Sapphire!Q61,Output_FSL!Q76)</f>
        <v>0</v>
      </c>
      <c r="R50" s="23">
        <f>SUM(Output_Sapphire!R61,Output_FSL!R76)</f>
        <v>0</v>
      </c>
      <c r="S50" s="23">
        <f>SUM(Output_Sapphire!S61,Output_FSL!S76)</f>
        <v>0</v>
      </c>
      <c r="T50" s="23">
        <f>SUM(Output_Sapphire!T61,Output_FSL!T76)</f>
        <v>0</v>
      </c>
      <c r="U50" s="23">
        <f>SUM(Output_Sapphire!U61,Output_FSL!U76)</f>
        <v>0</v>
      </c>
      <c r="V50" s="23">
        <f>SUM(Output_Sapphire!V61,Output_FSL!V76)</f>
        <v>0</v>
      </c>
    </row>
    <row r="51" spans="2:22">
      <c r="B51" t="s">
        <v>1056</v>
      </c>
      <c r="J51" s="23">
        <f>SUM(Output_Sapphire!J62,Output_FSL!J77)</f>
        <v>-338.54050000000001</v>
      </c>
      <c r="K51" s="23">
        <f>SUM(Output_Sapphire!K62,Output_FSL!K77)</f>
        <v>-189.23849999999999</v>
      </c>
      <c r="L51" s="23">
        <f>SUM(Output_Sapphire!L62,Output_FSL!L77)</f>
        <v>-556.07202976190479</v>
      </c>
      <c r="M51" s="23">
        <f>SUM(Output_Sapphire!M62,Output_FSL!M77)</f>
        <v>-250.503625</v>
      </c>
      <c r="N51" s="23">
        <f>SUM(Output_Sapphire!N62,Output_FSL!N77)</f>
        <v>-94.1</v>
      </c>
      <c r="O51" s="23">
        <f>SUM(Output_Sapphire!O62,Output_FSL!O77)</f>
        <v>-88</v>
      </c>
      <c r="P51" s="23">
        <f>SUM(Output_Sapphire!P62,Output_FSL!P77)</f>
        <v>-120.7</v>
      </c>
      <c r="Q51" s="23">
        <f>SUM(Output_Sapphire!Q62,Output_FSL!Q77)</f>
        <v>-108.7</v>
      </c>
      <c r="R51" s="23">
        <f>SUM(Output_Sapphire!R62,Output_FSL!R77)</f>
        <v>-80.400000000000006</v>
      </c>
      <c r="S51" s="23">
        <f>SUM(Output_Sapphire!S62,Output_FSL!S77)</f>
        <v>-117.7</v>
      </c>
      <c r="T51" s="23">
        <f>SUM(Output_Sapphire!T62,Output_FSL!T77)</f>
        <v>-120.3</v>
      </c>
      <c r="U51" s="23">
        <f>SUM(Output_Sapphire!U62,Output_FSL!U77)</f>
        <v>-123.3</v>
      </c>
      <c r="V51" s="23">
        <f>SUM(Output_Sapphire!V62,Output_FSL!V77)</f>
        <v>-126.8</v>
      </c>
    </row>
    <row r="52" spans="2:22">
      <c r="B52" s="28" t="s">
        <v>1054</v>
      </c>
      <c r="C52" s="28"/>
      <c r="D52" s="28"/>
      <c r="E52" s="28"/>
      <c r="F52" s="28"/>
      <c r="G52" s="28"/>
      <c r="H52" s="28"/>
      <c r="I52" s="28"/>
      <c r="J52" s="28">
        <f>SUM(J50:J51)</f>
        <v>-338.54050000000001</v>
      </c>
      <c r="K52" s="28">
        <f t="shared" ref="K52:V52" si="16">SUM(K50:K51)</f>
        <v>-189.23849999999999</v>
      </c>
      <c r="L52" s="28">
        <f t="shared" si="16"/>
        <v>-556.07202976190479</v>
      </c>
      <c r="M52" s="28">
        <f t="shared" si="16"/>
        <v>-250.503625</v>
      </c>
      <c r="N52" s="28">
        <f t="shared" si="16"/>
        <v>-94.1</v>
      </c>
      <c r="O52" s="28">
        <f t="shared" si="16"/>
        <v>-88</v>
      </c>
      <c r="P52" s="28">
        <f t="shared" si="16"/>
        <v>-120.7</v>
      </c>
      <c r="Q52" s="28">
        <f t="shared" si="16"/>
        <v>-108.7</v>
      </c>
      <c r="R52" s="28">
        <f t="shared" si="16"/>
        <v>-80.400000000000006</v>
      </c>
      <c r="S52" s="28">
        <f t="shared" si="16"/>
        <v>-117.7</v>
      </c>
      <c r="T52" s="28">
        <f t="shared" si="16"/>
        <v>-120.3</v>
      </c>
      <c r="U52" s="28">
        <f t="shared" si="16"/>
        <v>-123.3</v>
      </c>
      <c r="V52" s="28">
        <f t="shared" si="16"/>
        <v>-126.8</v>
      </c>
    </row>
    <row r="54" spans="2:22" ht="15.75">
      <c r="B54" s="15" t="s">
        <v>1057</v>
      </c>
    </row>
    <row r="55" spans="2:22">
      <c r="B55" s="407" t="s">
        <v>1058</v>
      </c>
      <c r="J55" s="23">
        <f>SUM(Output_Sapphire!J66,Output_FSL!J81)</f>
        <v>0</v>
      </c>
      <c r="K55" s="23">
        <f>SUM(Output_Sapphire!K66,Output_FSL!K81)</f>
        <v>0</v>
      </c>
      <c r="L55" s="23">
        <f>SUM(Output_Sapphire!L66,Output_FSL!L81)</f>
        <v>419.77202976190478</v>
      </c>
      <c r="M55" s="23">
        <f>SUM(Output_Sapphire!M66,Output_FSL!M81)</f>
        <v>160.003625</v>
      </c>
      <c r="N55" s="23">
        <f>SUM(Output_Sapphire!N66,Output_FSL!N81)</f>
        <v>0</v>
      </c>
      <c r="O55" s="23">
        <f>SUM(Output_Sapphire!O66,Output_FSL!O81)</f>
        <v>0</v>
      </c>
      <c r="P55" s="23">
        <f>SUM(Output_Sapphire!P66,Output_FSL!P81)</f>
        <v>0</v>
      </c>
      <c r="Q55" s="23">
        <f>SUM(Output_Sapphire!Q66,Output_FSL!Q81)</f>
        <v>0</v>
      </c>
      <c r="R55" s="23">
        <f>SUM(Output_Sapphire!R66,Output_FSL!R81)</f>
        <v>0</v>
      </c>
      <c r="S55" s="23">
        <f>SUM(Output_Sapphire!S66,Output_FSL!S81)</f>
        <v>0</v>
      </c>
      <c r="T55" s="23">
        <f>SUM(Output_Sapphire!T66,Output_FSL!T81)</f>
        <v>0</v>
      </c>
      <c r="U55" s="23">
        <f>SUM(Output_Sapphire!U66,Output_FSL!U81)</f>
        <v>0</v>
      </c>
      <c r="V55" s="23">
        <f>SUM(Output_Sapphire!V66,Output_FSL!V81)</f>
        <v>0</v>
      </c>
    </row>
    <row r="56" spans="2:22">
      <c r="B56" s="407" t="s">
        <v>1059</v>
      </c>
      <c r="J56" s="23">
        <f>SUM(Output_Sapphire!J67,Output_FSL!J82)</f>
        <v>-72.452465248760063</v>
      </c>
      <c r="K56" s="23">
        <f>SUM(Output_Sapphire!K67,Output_FSL!K82)</f>
        <v>-210.68</v>
      </c>
      <c r="L56" s="23">
        <f>SUM(Output_Sapphire!L67,Output_FSL!L82)</f>
        <v>-24.849</v>
      </c>
      <c r="M56" s="23">
        <f>SUM(Output_Sapphire!M67,Output_FSL!M82)</f>
        <v>-34.289000000000001</v>
      </c>
      <c r="N56" s="23">
        <f>SUM(Output_Sapphire!N67,Output_FSL!N82)</f>
        <v>-61.103999999999999</v>
      </c>
      <c r="O56" s="23">
        <f>SUM(Output_Sapphire!O67,Output_FSL!O82)</f>
        <v>-37.963000000000001</v>
      </c>
      <c r="P56" s="23">
        <f>SUM(Output_Sapphire!P67,Output_FSL!P82)</f>
        <v>-50.898000000000003</v>
      </c>
      <c r="Q56" s="23">
        <f>SUM(Output_Sapphire!Q67,Output_FSL!Q82)</f>
        <v>-21.397000000000013</v>
      </c>
      <c r="R56" s="23">
        <f>SUM(Output_Sapphire!R67,Output_FSL!R82)</f>
        <v>0</v>
      </c>
      <c r="S56" s="23">
        <f>SUM(Output_Sapphire!S67,Output_FSL!S82)</f>
        <v>0</v>
      </c>
      <c r="T56" s="23">
        <f>SUM(Output_Sapphire!T67,Output_FSL!T82)</f>
        <v>0</v>
      </c>
      <c r="U56" s="23">
        <f>SUM(Output_Sapphire!U67,Output_FSL!U82)</f>
        <v>0</v>
      </c>
      <c r="V56" s="23">
        <f>SUM(Output_Sapphire!V67,Output_FSL!V82)</f>
        <v>0</v>
      </c>
    </row>
    <row r="57" spans="2:22">
      <c r="B57" s="407" t="s">
        <v>1060</v>
      </c>
      <c r="J57" s="23">
        <f>SUM(Output_Sapphire!J68,Output_FSL!J83)</f>
        <v>-6.3327025288222183</v>
      </c>
      <c r="K57" s="23">
        <f>SUM(Output_Sapphire!K68,Output_FSL!K83)</f>
        <v>-17.018225208360519</v>
      </c>
      <c r="L57" s="23">
        <f>SUM(Output_Sapphire!L68,Output_FSL!L83)</f>
        <v>-46.998288241660674</v>
      </c>
      <c r="M57" s="23">
        <f>SUM(Output_Sapphire!M68,Output_FSL!M83)</f>
        <v>-66.301598708192316</v>
      </c>
      <c r="N57" s="23">
        <f>SUM(Output_Sapphire!N68,Output_FSL!N83)</f>
        <v>-75.852592345920471</v>
      </c>
      <c r="O57" s="23">
        <f>SUM(Output_Sapphire!O68,Output_FSL!O83)</f>
        <v>-87.991662902149031</v>
      </c>
      <c r="P57" s="23">
        <f>SUM(Output_Sapphire!P68,Output_FSL!P83)</f>
        <v>-92.784292246747853</v>
      </c>
      <c r="Q57" s="23">
        <f>SUM(Output_Sapphire!Q68,Output_FSL!Q83)</f>
        <v>-102.5727358355857</v>
      </c>
      <c r="R57" s="23">
        <f>SUM(Output_Sapphire!R68,Output_FSL!R83)</f>
        <v>-108.11298126246085</v>
      </c>
      <c r="S57" s="23">
        <f>SUM(Output_Sapphire!S68,Output_FSL!S83)</f>
        <v>-118.85405946126525</v>
      </c>
      <c r="T57" s="23">
        <f>SUM(Output_Sapphire!T68,Output_FSL!T83)</f>
        <v>-124.89394650521837</v>
      </c>
      <c r="U57" s="23">
        <f>SUM(Output_Sapphire!U68,Output_FSL!U83)</f>
        <v>-123.50604341940866</v>
      </c>
      <c r="V57" s="23">
        <f>SUM(Output_Sapphire!V68,Output_FSL!V83)</f>
        <v>-128.54587960915791</v>
      </c>
    </row>
    <row r="58" spans="2:22">
      <c r="B58" s="28" t="s">
        <v>1057</v>
      </c>
      <c r="C58" s="28"/>
      <c r="D58" s="28"/>
      <c r="E58" s="28"/>
      <c r="F58" s="28"/>
      <c r="G58" s="28"/>
      <c r="H58" s="28"/>
      <c r="I58" s="28"/>
      <c r="J58" s="47">
        <f>SUM(J55:J57)</f>
        <v>-78.785167777582288</v>
      </c>
      <c r="K58" s="47">
        <f t="shared" ref="K58:V58" si="17">SUM(K55:K57)</f>
        <v>-227.69822520836053</v>
      </c>
      <c r="L58" s="47">
        <f t="shared" si="17"/>
        <v>347.92474152024408</v>
      </c>
      <c r="M58" s="47">
        <f t="shared" si="17"/>
        <v>59.413026291807682</v>
      </c>
      <c r="N58" s="47">
        <f t="shared" si="17"/>
        <v>-136.95659234592046</v>
      </c>
      <c r="O58" s="47">
        <f t="shared" si="17"/>
        <v>-125.95466290214904</v>
      </c>
      <c r="P58" s="47">
        <f t="shared" si="17"/>
        <v>-143.68229224674786</v>
      </c>
      <c r="Q58" s="47">
        <f t="shared" si="17"/>
        <v>-123.96973583558571</v>
      </c>
      <c r="R58" s="47">
        <f t="shared" si="17"/>
        <v>-108.11298126246085</v>
      </c>
      <c r="S58" s="47">
        <f t="shared" si="17"/>
        <v>-118.85405946126525</v>
      </c>
      <c r="T58" s="47">
        <f t="shared" si="17"/>
        <v>-124.89394650521837</v>
      </c>
      <c r="U58" s="47">
        <f t="shared" si="17"/>
        <v>-123.50604341940866</v>
      </c>
      <c r="V58" s="47">
        <f t="shared" si="17"/>
        <v>-128.54587960915791</v>
      </c>
    </row>
    <row r="60" spans="2:22">
      <c r="B60" t="s">
        <v>1061</v>
      </c>
      <c r="J60" s="23">
        <f>SUM(Output_Sapphire!J71,Output_FSL!J86)</f>
        <v>131.04749749466305</v>
      </c>
      <c r="K60" s="23">
        <f>SUM(Output_Sapphire!K71,Output_FSL!K86)</f>
        <v>255.61485745505698</v>
      </c>
      <c r="L60" s="23">
        <f>SUM(Output_Sapphire!L71,Output_FSL!L86)</f>
        <v>587.93754259633408</v>
      </c>
      <c r="M60" s="23">
        <f>SUM(Output_Sapphire!M71,Output_FSL!M86)</f>
        <v>693.70432603356358</v>
      </c>
      <c r="N60" s="23">
        <f>SUM(Output_Sapphire!N71,Output_FSL!N86)</f>
        <v>697.64807891879354</v>
      </c>
      <c r="O60" s="23">
        <f>SUM(Output_Sapphire!O71,Output_FSL!O86)</f>
        <v>757.18558461706039</v>
      </c>
      <c r="P60" s="23">
        <f>SUM(Output_Sapphire!P71,Output_FSL!P86)</f>
        <v>729.10569342549627</v>
      </c>
      <c r="Q60" s="23">
        <f>SUM(Output_Sapphire!Q71,Output_FSL!Q86)</f>
        <v>811.74122639819439</v>
      </c>
      <c r="R60" s="23">
        <f>SUM(Output_Sapphire!R71,Output_FSL!R86)</f>
        <v>877.13166744215846</v>
      </c>
      <c r="S60" s="23">
        <f>SUM(Output_Sapphire!S71,Output_FSL!S86)</f>
        <v>856.14794732317046</v>
      </c>
      <c r="T60" s="23">
        <f>SUM(Output_Sapphire!T71,Output_FSL!T86)</f>
        <v>865.30217353768796</v>
      </c>
      <c r="U60" s="23">
        <f>SUM(Output_Sapphire!U71,Output_FSL!U86)</f>
        <v>879.07190393656106</v>
      </c>
      <c r="V60" s="23">
        <f>SUM(Output_Sapphire!V71,Output_FSL!V86)</f>
        <v>890.47037035774804</v>
      </c>
    </row>
    <row r="61" spans="2:22">
      <c r="B61" t="s">
        <v>57</v>
      </c>
      <c r="J61" s="23">
        <f>SUM(Output_Sapphire!J72,Output_FSL!J87)</f>
        <v>313.36190505028003</v>
      </c>
      <c r="K61" s="23">
        <f>SUM(Output_Sapphire!K72,Output_FSL!K87)</f>
        <v>444.40940254494308</v>
      </c>
      <c r="L61" s="23">
        <f>SUM(Output_Sapphire!L72,Output_FSL!L87)</f>
        <v>700.02426000000003</v>
      </c>
      <c r="M61" s="23">
        <f>SUM(Output_Sapphire!M72,Output_FSL!M87)</f>
        <v>1287.9618025963341</v>
      </c>
      <c r="N61" s="23">
        <f>SUM(Output_Sapphire!N72,Output_FSL!N87)</f>
        <v>1981.6661286298977</v>
      </c>
      <c r="O61" s="23">
        <f>SUM(Output_Sapphire!O72,Output_FSL!O87)</f>
        <v>2679.3142075486912</v>
      </c>
      <c r="P61" s="23">
        <f>SUM(Output_Sapphire!P72,Output_FSL!P87)</f>
        <v>3436.4997921657518</v>
      </c>
      <c r="Q61" s="23">
        <f>SUM(Output_Sapphire!Q72,Output_FSL!Q87)</f>
        <v>4165.605485591248</v>
      </c>
      <c r="R61" s="23">
        <f>SUM(Output_Sapphire!R72,Output_FSL!R87)</f>
        <v>4977.3467119894422</v>
      </c>
      <c r="S61" s="23">
        <f>SUM(Output_Sapphire!S72,Output_FSL!S87)</f>
        <v>5854.4783794316008</v>
      </c>
      <c r="T61" s="23">
        <f>SUM(Output_Sapphire!T72,Output_FSL!T87)</f>
        <v>6710.6263267547711</v>
      </c>
      <c r="U61" s="23">
        <f>SUM(Output_Sapphire!U72,Output_FSL!U87)</f>
        <v>7575.9285002924589</v>
      </c>
      <c r="V61" s="23">
        <f>SUM(Output_Sapphire!V72,Output_FSL!V87)</f>
        <v>8455.0004042290202</v>
      </c>
    </row>
    <row r="62" spans="2:22">
      <c r="B62" s="28" t="s">
        <v>60</v>
      </c>
      <c r="C62" s="28"/>
      <c r="D62" s="28"/>
      <c r="E62" s="28"/>
      <c r="F62" s="28"/>
      <c r="G62" s="28"/>
      <c r="H62" s="28"/>
      <c r="I62" s="28">
        <f>J61</f>
        <v>313.36190505028003</v>
      </c>
      <c r="J62" s="47">
        <f>SUM(J60:J61)</f>
        <v>444.40940254494308</v>
      </c>
      <c r="K62" s="47">
        <f t="shared" ref="K62:V62" si="18">SUM(K60:K61)</f>
        <v>700.02426000000003</v>
      </c>
      <c r="L62" s="47">
        <f t="shared" si="18"/>
        <v>1287.9618025963341</v>
      </c>
      <c r="M62" s="47">
        <f t="shared" si="18"/>
        <v>1981.6661286298977</v>
      </c>
      <c r="N62" s="47">
        <f t="shared" si="18"/>
        <v>2679.3142075486912</v>
      </c>
      <c r="O62" s="47">
        <f t="shared" si="18"/>
        <v>3436.4997921657514</v>
      </c>
      <c r="P62" s="47">
        <f t="shared" si="18"/>
        <v>4165.605485591248</v>
      </c>
      <c r="Q62" s="47">
        <f t="shared" si="18"/>
        <v>4977.3467119894422</v>
      </c>
      <c r="R62" s="47">
        <f t="shared" si="18"/>
        <v>5854.4783794316008</v>
      </c>
      <c r="S62" s="47">
        <f t="shared" si="18"/>
        <v>6710.6263267547711</v>
      </c>
      <c r="T62" s="47">
        <f t="shared" si="18"/>
        <v>7575.9285002924589</v>
      </c>
      <c r="U62" s="47">
        <f t="shared" si="18"/>
        <v>8455.0004042290202</v>
      </c>
      <c r="V62" s="47">
        <f t="shared" si="18"/>
        <v>9345.470774586769</v>
      </c>
    </row>
    <row r="64" spans="2:22">
      <c r="I64" s="34">
        <f>SUM(J64:V64)</f>
        <v>0</v>
      </c>
      <c r="J64" s="34">
        <f>IF(J62&gt;0,0,1)</f>
        <v>0</v>
      </c>
      <c r="K64" s="34">
        <f t="shared" ref="K64:V64" si="19">IF(K62&gt;0,0,1)</f>
        <v>0</v>
      </c>
      <c r="L64" s="34">
        <f t="shared" si="19"/>
        <v>0</v>
      </c>
      <c r="M64" s="34">
        <f t="shared" si="19"/>
        <v>0</v>
      </c>
      <c r="N64" s="34">
        <f t="shared" si="19"/>
        <v>0</v>
      </c>
      <c r="O64" s="34">
        <f t="shared" si="19"/>
        <v>0</v>
      </c>
      <c r="P64" s="34">
        <f t="shared" si="19"/>
        <v>0</v>
      </c>
      <c r="Q64" s="34">
        <f t="shared" si="19"/>
        <v>0</v>
      </c>
      <c r="R64" s="34">
        <f t="shared" si="19"/>
        <v>0</v>
      </c>
      <c r="S64" s="34">
        <f t="shared" si="19"/>
        <v>0</v>
      </c>
      <c r="T64" s="34">
        <f t="shared" si="19"/>
        <v>0</v>
      </c>
      <c r="U64" s="34">
        <f t="shared" si="19"/>
        <v>0</v>
      </c>
      <c r="V64" s="34">
        <f t="shared" si="19"/>
        <v>0</v>
      </c>
    </row>
    <row r="66" spans="2:22" ht="24" outlineLevel="1" thickBot="1">
      <c r="B66" s="14" t="s">
        <v>1062</v>
      </c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</row>
    <row r="67" spans="2:22" outlineLevel="1"/>
    <row r="68" spans="2:22" ht="15.75" outlineLevel="1">
      <c r="B68" s="15" t="s">
        <v>1063</v>
      </c>
    </row>
    <row r="69" spans="2:22" outlineLevel="1">
      <c r="B69" s="407" t="s">
        <v>1064</v>
      </c>
      <c r="I69">
        <f>SUM(Output_Sapphire!I80,Output_FSL!I95)</f>
        <v>313.36190505028003</v>
      </c>
      <c r="J69">
        <f>SUM(Output_Sapphire!J80,Output_FSL!J95)</f>
        <v>444.40940254494308</v>
      </c>
      <c r="K69">
        <f>SUM(Output_Sapphire!K80,Output_FSL!K95)</f>
        <v>700.02426000000003</v>
      </c>
      <c r="L69">
        <f>SUM(Output_Sapphire!L80,Output_FSL!L95)</f>
        <v>1287.9618025963341</v>
      </c>
      <c r="M69">
        <f>SUM(Output_Sapphire!M80,Output_FSL!M95)</f>
        <v>1981.6661286298977</v>
      </c>
      <c r="N69">
        <f>SUM(Output_Sapphire!N80,Output_FSL!N95)</f>
        <v>2679.3142075486912</v>
      </c>
      <c r="O69">
        <f>SUM(Output_Sapphire!O80,Output_FSL!O95)</f>
        <v>3436.4997921657518</v>
      </c>
      <c r="P69">
        <f>SUM(Output_Sapphire!P80,Output_FSL!P95)</f>
        <v>4165.605485591248</v>
      </c>
      <c r="Q69">
        <f>SUM(Output_Sapphire!Q80,Output_FSL!Q95)</f>
        <v>4977.3467119894422</v>
      </c>
      <c r="R69">
        <f>SUM(Output_Sapphire!R80,Output_FSL!R95)</f>
        <v>5854.4783794316008</v>
      </c>
      <c r="S69">
        <f>SUM(Output_Sapphire!S80,Output_FSL!S95)</f>
        <v>6710.6263267547711</v>
      </c>
      <c r="T69">
        <f>SUM(Output_Sapphire!T80,Output_FSL!T95)</f>
        <v>7575.9285002924589</v>
      </c>
      <c r="U69">
        <f>SUM(Output_Sapphire!U80,Output_FSL!U95)</f>
        <v>8455.0004042290202</v>
      </c>
      <c r="V69">
        <f>SUM(Output_Sapphire!V80,Output_FSL!V95)</f>
        <v>9345.4707745867672</v>
      </c>
    </row>
    <row r="70" spans="2:22" outlineLevel="1">
      <c r="B70" s="407" t="s">
        <v>204</v>
      </c>
      <c r="I70" s="22">
        <f>SUM(Output_Sapphire!I81,Output_FSL!I96)</f>
        <v>0.51981068748259995</v>
      </c>
      <c r="J70" s="200">
        <f>SUM(Output_Sapphire!J81,Output_FSL!J96)</f>
        <v>0.51981068748259995</v>
      </c>
      <c r="K70" s="200">
        <f>SUM(Output_Sapphire!K81,Output_FSL!K96)</f>
        <v>0.51981068748259995</v>
      </c>
      <c r="L70" s="200">
        <f>SUM(Output_Sapphire!L81,Output_FSL!L96)</f>
        <v>0.51981068748259995</v>
      </c>
      <c r="M70" s="200">
        <f>SUM(Output_Sapphire!M81,Output_FSL!M96)</f>
        <v>0.51981068748259995</v>
      </c>
      <c r="N70" s="200">
        <f>SUM(Output_Sapphire!N81,Output_FSL!N96)</f>
        <v>0.51981068748259995</v>
      </c>
      <c r="O70" s="200">
        <f>SUM(Output_Sapphire!O81,Output_FSL!O96)</f>
        <v>0.51981068748259995</v>
      </c>
      <c r="P70" s="200">
        <f>SUM(Output_Sapphire!P81,Output_FSL!P96)</f>
        <v>0.51981068748259995</v>
      </c>
      <c r="Q70" s="200">
        <f>SUM(Output_Sapphire!Q81,Output_FSL!Q96)</f>
        <v>0.51981068748259995</v>
      </c>
      <c r="R70" s="200">
        <f>SUM(Output_Sapphire!R81,Output_FSL!R96)</f>
        <v>0.51981068748259995</v>
      </c>
      <c r="S70" s="200">
        <f>SUM(Output_Sapphire!S81,Output_FSL!S96)</f>
        <v>0.51981068748259995</v>
      </c>
      <c r="T70" s="200">
        <f>SUM(Output_Sapphire!T81,Output_FSL!T96)</f>
        <v>0</v>
      </c>
      <c r="U70" s="200">
        <f>SUM(Output_Sapphire!U81,Output_FSL!U96)</f>
        <v>0</v>
      </c>
      <c r="V70" s="200">
        <f>SUM(Output_Sapphire!V81,Output_FSL!V96)</f>
        <v>0</v>
      </c>
    </row>
    <row r="71" spans="2:22" outlineLevel="1">
      <c r="B71" s="407" t="s">
        <v>304</v>
      </c>
      <c r="I71">
        <f>SUM(Output_Sapphire!I82,Output_FSL!I97)</f>
        <v>269.09534246575345</v>
      </c>
      <c r="J71">
        <f>SUM(Output_Sapphire!J82,Output_FSL!J97)</f>
        <v>287.0800782674566</v>
      </c>
      <c r="K71">
        <f>SUM(Output_Sapphire!K82,Output_FSL!K97)</f>
        <v>326.38199723606641</v>
      </c>
      <c r="L71">
        <f>SUM(Output_Sapphire!L82,Output_FSL!L97)</f>
        <v>361.90197228190078</v>
      </c>
      <c r="M71">
        <f>SUM(Output_Sapphire!M82,Output_FSL!M97)</f>
        <v>378.99076021753882</v>
      </c>
      <c r="N71">
        <f>SUM(Output_Sapphire!N82,Output_FSL!N97)</f>
        <v>390.20888242117735</v>
      </c>
      <c r="O71">
        <f>SUM(Output_Sapphire!O82,Output_FSL!O97)</f>
        <v>401.50579911067268</v>
      </c>
      <c r="P71">
        <f>SUM(Output_Sapphire!P82,Output_FSL!P97)</f>
        <v>414.36180702125887</v>
      </c>
      <c r="Q71">
        <f>SUM(Output_Sapphire!Q82,Output_FSL!Q97)</f>
        <v>437.36504090593445</v>
      </c>
      <c r="R71">
        <f>SUM(Output_Sapphire!R82,Output_FSL!R97)</f>
        <v>443.54898981968984</v>
      </c>
      <c r="S71">
        <f>SUM(Output_Sapphire!S82,Output_FSL!S97)</f>
        <v>454.23640320509628</v>
      </c>
      <c r="T71">
        <f>SUM(Output_Sapphire!T82,Output_FSL!T97)</f>
        <v>143.3320233220081</v>
      </c>
      <c r="U71">
        <f>SUM(Output_Sapphire!U82,Output_FSL!U97)</f>
        <v>144.3962912419548</v>
      </c>
      <c r="V71">
        <f>SUM(Output_Sapphire!V82,Output_FSL!V97)</f>
        <v>149.05198970962346</v>
      </c>
    </row>
    <row r="72" spans="2:22" outlineLevel="1">
      <c r="B72" s="407" t="s">
        <v>1065</v>
      </c>
      <c r="I72">
        <f>SUM(Output_Sapphire!I83,Output_FSL!I98)</f>
        <v>2305.1363189329963</v>
      </c>
      <c r="J72">
        <f>SUM(Output_Sapphire!J83,Output_FSL!J98)</f>
        <v>2348.403756524061</v>
      </c>
      <c r="K72">
        <f>SUM(Output_Sapphire!K83,Output_FSL!K98)</f>
        <v>2203.8425713420593</v>
      </c>
      <c r="L72">
        <f>SUM(Output_Sapphire!L83,Output_FSL!L98)</f>
        <v>2397.1467972008513</v>
      </c>
      <c r="M72">
        <f>SUM(Output_Sapphire!M83,Output_FSL!M98)</f>
        <v>2275.7090805136431</v>
      </c>
      <c r="N72">
        <f>SUM(Output_Sapphire!N83,Output_FSL!N98)</f>
        <v>2011.3106504503069</v>
      </c>
      <c r="O72">
        <f>SUM(Output_Sapphire!O83,Output_FSL!O98)</f>
        <v>1745.4034882933211</v>
      </c>
      <c r="P72">
        <f>SUM(Output_Sapphire!P83,Output_FSL!P98)</f>
        <v>1543.2874194008123</v>
      </c>
      <c r="Q72">
        <f>SUM(Output_Sapphire!Q83,Output_FSL!Q98)</f>
        <v>1328.8622656380703</v>
      </c>
      <c r="R72">
        <f>SUM(Output_Sapphire!R83,Output_FSL!R98)</f>
        <v>1127.3278453076905</v>
      </c>
      <c r="S72">
        <f>SUM(Output_Sapphire!S83,Output_FSL!S98)</f>
        <v>973.88397307831985</v>
      </c>
      <c r="T72">
        <f>SUM(Output_Sapphire!T83,Output_FSL!T98)</f>
        <v>832.46830515007377</v>
      </c>
      <c r="U72">
        <f>SUM(Output_Sapphire!U83,Output_FSL!U98)</f>
        <v>688.74280346611772</v>
      </c>
      <c r="V72">
        <f>SUM(Output_Sapphire!V83,Output_FSL!V98)</f>
        <v>542.60727135133754</v>
      </c>
    </row>
    <row r="73" spans="2:22" outlineLevel="1">
      <c r="B73" s="407" t="s">
        <v>318</v>
      </c>
      <c r="I73">
        <f>SUM(Output_Sapphire!I84,Output_FSL!I99)</f>
        <v>1446.3512824034046</v>
      </c>
      <c r="J73">
        <f>SUM(Output_Sapphire!J84,Output_FSL!J99)</f>
        <v>1446.3512824034046</v>
      </c>
      <c r="K73">
        <f>SUM(Output_Sapphire!K84,Output_FSL!K99)</f>
        <v>1446.3512824034046</v>
      </c>
      <c r="L73">
        <f>SUM(Output_Sapphire!L84,Output_FSL!L99)</f>
        <v>1446.3512824034046</v>
      </c>
      <c r="M73">
        <f>SUM(Output_Sapphire!M84,Output_FSL!M99)</f>
        <v>1446.3512824034046</v>
      </c>
      <c r="N73">
        <f>SUM(Output_Sapphire!N84,Output_FSL!N99)</f>
        <v>1446.3512824034046</v>
      </c>
      <c r="O73">
        <f>SUM(Output_Sapphire!O84,Output_FSL!O99)</f>
        <v>1446.3512824034046</v>
      </c>
      <c r="P73">
        <f>SUM(Output_Sapphire!P84,Output_FSL!P99)</f>
        <v>1446.3512824034046</v>
      </c>
      <c r="Q73">
        <f>SUM(Output_Sapphire!Q84,Output_FSL!Q99)</f>
        <v>1446.3512824034046</v>
      </c>
      <c r="R73">
        <f>SUM(Output_Sapphire!R84,Output_FSL!R99)</f>
        <v>1446.3512824034046</v>
      </c>
      <c r="S73">
        <f>SUM(Output_Sapphire!S84,Output_FSL!S99)</f>
        <v>1446.3512824034046</v>
      </c>
      <c r="T73">
        <f>SUM(Output_Sapphire!T84,Output_FSL!T99)</f>
        <v>1446.3512824034046</v>
      </c>
      <c r="U73">
        <f>SUM(Output_Sapphire!U84,Output_FSL!U99)</f>
        <v>1446.3512824034046</v>
      </c>
      <c r="V73">
        <f>SUM(Output_Sapphire!V84,Output_FSL!V99)</f>
        <v>1446.3512824034046</v>
      </c>
    </row>
    <row r="74" spans="2:22" outlineLevel="1">
      <c r="B74" s="28" t="s">
        <v>174</v>
      </c>
      <c r="C74" s="28"/>
      <c r="D74" s="28"/>
      <c r="E74" s="28"/>
      <c r="F74" s="28"/>
      <c r="G74" s="28"/>
      <c r="H74" s="28"/>
      <c r="I74" s="28">
        <f t="shared" ref="I74:V74" si="20">SUM(I69:I73)</f>
        <v>4334.4646595399172</v>
      </c>
      <c r="J74" s="28">
        <f t="shared" si="20"/>
        <v>4526.7643304273479</v>
      </c>
      <c r="K74" s="28">
        <f t="shared" si="20"/>
        <v>4677.1199216690129</v>
      </c>
      <c r="L74" s="28">
        <f t="shared" si="20"/>
        <v>5493.8816651699726</v>
      </c>
      <c r="M74" s="28">
        <f t="shared" si="20"/>
        <v>6083.2370624519663</v>
      </c>
      <c r="N74" s="28">
        <f t="shared" si="20"/>
        <v>6527.704833511063</v>
      </c>
      <c r="O74" s="28">
        <f t="shared" si="20"/>
        <v>7030.2801726606322</v>
      </c>
      <c r="P74" s="28">
        <f t="shared" si="20"/>
        <v>7570.1258051042059</v>
      </c>
      <c r="Q74" s="28">
        <f t="shared" si="20"/>
        <v>8190.4451116243345</v>
      </c>
      <c r="R74" s="28">
        <f t="shared" si="20"/>
        <v>8872.2263076498675</v>
      </c>
      <c r="S74" s="28">
        <f t="shared" si="20"/>
        <v>9585.6177961290741</v>
      </c>
      <c r="T74" s="28">
        <f t="shared" si="20"/>
        <v>9998.0801111679448</v>
      </c>
      <c r="U74" s="28">
        <f t="shared" si="20"/>
        <v>10734.490781340497</v>
      </c>
      <c r="V74" s="28">
        <f t="shared" si="20"/>
        <v>11483.481318051132</v>
      </c>
    </row>
    <row r="75" spans="2:22" outlineLevel="1"/>
    <row r="76" spans="2:22" ht="15.75" outlineLevel="1">
      <c r="B76" s="15" t="s">
        <v>1066</v>
      </c>
      <c r="J76" s="199"/>
      <c r="K76" s="199"/>
      <c r="L76" s="199"/>
      <c r="M76" s="199"/>
      <c r="N76" s="199"/>
      <c r="O76" s="199"/>
      <c r="P76" s="199"/>
      <c r="Q76" s="199"/>
      <c r="R76" s="199"/>
      <c r="S76" s="199"/>
      <c r="T76" s="199"/>
      <c r="U76" s="199"/>
      <c r="V76" s="199"/>
    </row>
    <row r="77" spans="2:22" outlineLevel="1">
      <c r="B77" s="407" t="s">
        <v>240</v>
      </c>
      <c r="I77" s="6">
        <f>SUM(Output_Sapphire!I88,Output_FSL!I103)</f>
        <v>109.44732844865831</v>
      </c>
      <c r="J77">
        <f>SUM(Output_Sapphire!J88,Output_FSL!J103)</f>
        <v>113.56910314983274</v>
      </c>
      <c r="K77">
        <f>SUM(Output_Sapphire!K88,Output_FSL!K103)</f>
        <v>121.46784351981552</v>
      </c>
      <c r="L77">
        <f>SUM(Output_Sapphire!L88,Output_FSL!L103)</f>
        <v>125.21301096396876</v>
      </c>
      <c r="M77">
        <f>SUM(Output_Sapphire!M88,Output_FSL!M103)</f>
        <v>126.294339904293</v>
      </c>
      <c r="N77">
        <f>SUM(Output_Sapphire!N88,Output_FSL!N103)</f>
        <v>128.07663336624785</v>
      </c>
      <c r="O77">
        <f>SUM(Output_Sapphire!O88,Output_FSL!O103)</f>
        <v>129.76967264433009</v>
      </c>
      <c r="P77">
        <f>SUM(Output_Sapphire!P88,Output_FSL!P103)</f>
        <v>133.5306680519553</v>
      </c>
      <c r="Q77">
        <f>SUM(Output_Sapphire!Q88,Output_FSL!Q103)</f>
        <v>139.74896978413452</v>
      </c>
      <c r="R77">
        <f>SUM(Output_Sapphire!R88,Output_FSL!R103)</f>
        <v>140.46188490277945</v>
      </c>
      <c r="S77">
        <f>SUM(Output_Sapphire!S88,Output_FSL!S103)</f>
        <v>142.38104201783557</v>
      </c>
      <c r="T77">
        <f>SUM(Output_Sapphire!T88,Output_FSL!T103)</f>
        <v>16.22951807624262</v>
      </c>
      <c r="U77">
        <f>SUM(Output_Sapphire!U88,Output_FSL!U103)</f>
        <v>16.965161731061112</v>
      </c>
      <c r="V77">
        <f>SUM(Output_Sapphire!V88,Output_FSL!V103)</f>
        <v>17.781241188922369</v>
      </c>
    </row>
    <row r="78" spans="2:22" outlineLevel="1">
      <c r="B78" s="407" t="s">
        <v>1067</v>
      </c>
      <c r="I78" s="6">
        <f>SUM(Output_Sapphire!I89,Output_FSL!I104)</f>
        <v>513.63246524876013</v>
      </c>
      <c r="J78">
        <f>SUM(Output_Sapphire!J89,Output_FSL!J104)</f>
        <v>441.18</v>
      </c>
      <c r="K78">
        <f>SUM(Output_Sapphire!K89,Output_FSL!K104)</f>
        <v>230.5</v>
      </c>
      <c r="L78">
        <f>SUM(Output_Sapphire!L89,Output_FSL!L104)</f>
        <v>205.65100000000001</v>
      </c>
      <c r="M78">
        <f>SUM(Output_Sapphire!M89,Output_FSL!M104)</f>
        <v>171.36200000000002</v>
      </c>
      <c r="N78">
        <f>SUM(Output_Sapphire!N89,Output_FSL!N104)</f>
        <v>110.25800000000002</v>
      </c>
      <c r="O78">
        <f>SUM(Output_Sapphire!O89,Output_FSL!O104)</f>
        <v>72.295000000000016</v>
      </c>
      <c r="P78">
        <f>SUM(Output_Sapphire!P89,Output_FSL!P104)</f>
        <v>21.397000000000013</v>
      </c>
      <c r="Q78">
        <f>SUM(Output_Sapphire!Q89,Output_FSL!Q104)</f>
        <v>0</v>
      </c>
      <c r="R78">
        <f>SUM(Output_Sapphire!R89,Output_FSL!R104)</f>
        <v>0</v>
      </c>
      <c r="S78">
        <f>SUM(Output_Sapphire!S89,Output_FSL!S104)</f>
        <v>0</v>
      </c>
      <c r="T78">
        <f>SUM(Output_Sapphire!T89,Output_FSL!T104)</f>
        <v>0</v>
      </c>
      <c r="U78">
        <f>SUM(Output_Sapphire!U89,Output_FSL!U104)</f>
        <v>0</v>
      </c>
      <c r="V78">
        <f>SUM(Output_Sapphire!V89,Output_FSL!V104)</f>
        <v>0</v>
      </c>
    </row>
    <row r="79" spans="2:22" outlineLevel="1">
      <c r="B79" s="407" t="s">
        <v>246</v>
      </c>
      <c r="I79" s="6">
        <f>SUM(Output_Sapphire!I90,Output_FSL!I105)</f>
        <v>220.81112159136956</v>
      </c>
      <c r="J79" s="88">
        <f>SUM(Output_Sapphire!J90,Output_FSL!J105)</f>
        <v>220.81112159136956</v>
      </c>
      <c r="K79" s="88">
        <f>SUM(Output_Sapphire!K90,Output_FSL!K105)</f>
        <v>220.81112159136956</v>
      </c>
      <c r="L79" s="88">
        <f>SUM(Output_Sapphire!L90,Output_FSL!L105)</f>
        <v>220.81112159136956</v>
      </c>
      <c r="M79" s="88">
        <f>SUM(Output_Sapphire!M90,Output_FSL!M105)</f>
        <v>220.81112159136956</v>
      </c>
      <c r="N79" s="88">
        <f>SUM(Output_Sapphire!N90,Output_FSL!N105)</f>
        <v>220.81112159136956</v>
      </c>
      <c r="O79" s="88">
        <f>SUM(Output_Sapphire!O90,Output_FSL!O105)</f>
        <v>220.81112159136956</v>
      </c>
      <c r="P79" s="88">
        <f>SUM(Output_Sapphire!P90,Output_FSL!P105)</f>
        <v>220.81112159136956</v>
      </c>
      <c r="Q79" s="88">
        <f>SUM(Output_Sapphire!Q90,Output_FSL!Q105)</f>
        <v>220.81112159136956</v>
      </c>
      <c r="R79" s="88">
        <f>SUM(Output_Sapphire!R90,Output_FSL!R105)</f>
        <v>220.81112159136956</v>
      </c>
      <c r="S79" s="88">
        <f>SUM(Output_Sapphire!S90,Output_FSL!S105)</f>
        <v>220.81112159136956</v>
      </c>
      <c r="T79" s="88">
        <f>SUM(Output_Sapphire!T90,Output_FSL!T105)</f>
        <v>220.81112159136956</v>
      </c>
      <c r="U79" s="88">
        <f>SUM(Output_Sapphire!U90,Output_FSL!U105)</f>
        <v>220.81112159136956</v>
      </c>
      <c r="V79" s="88">
        <f>SUM(Output_Sapphire!V90,Output_FSL!V105)</f>
        <v>220.81112159136956</v>
      </c>
    </row>
    <row r="80" spans="2:22" outlineLevel="1">
      <c r="B80" s="28" t="s">
        <v>1068</v>
      </c>
      <c r="C80" s="28"/>
      <c r="D80" s="28"/>
      <c r="E80" s="28"/>
      <c r="F80" s="28"/>
      <c r="G80" s="28"/>
      <c r="H80" s="28"/>
      <c r="I80" s="28">
        <f>SUM(I77:I79)</f>
        <v>843.89091528878794</v>
      </c>
      <c r="J80" s="28">
        <f>SUM(J77:J79)</f>
        <v>775.56022474120232</v>
      </c>
      <c r="K80" s="28">
        <f t="shared" ref="K80:V80" si="21">SUM(K77:K79)</f>
        <v>572.77896511118502</v>
      </c>
      <c r="L80" s="28">
        <f t="shared" si="21"/>
        <v>551.67513255533834</v>
      </c>
      <c r="M80" s="28">
        <f t="shared" si="21"/>
        <v>518.46746149566252</v>
      </c>
      <c r="N80" s="28">
        <f t="shared" si="21"/>
        <v>459.14575495761744</v>
      </c>
      <c r="O80" s="28">
        <f t="shared" si="21"/>
        <v>422.87579423569969</v>
      </c>
      <c r="P80" s="28">
        <f t="shared" si="21"/>
        <v>375.73878964332488</v>
      </c>
      <c r="Q80" s="28">
        <f t="shared" si="21"/>
        <v>360.56009137550404</v>
      </c>
      <c r="R80" s="28">
        <f t="shared" si="21"/>
        <v>361.273006494149</v>
      </c>
      <c r="S80" s="28">
        <f t="shared" si="21"/>
        <v>363.19216360920512</v>
      </c>
      <c r="T80" s="28">
        <f t="shared" si="21"/>
        <v>237.04063966761217</v>
      </c>
      <c r="U80" s="28">
        <f t="shared" si="21"/>
        <v>237.77628332243066</v>
      </c>
      <c r="V80" s="28">
        <f t="shared" si="21"/>
        <v>238.59236278029192</v>
      </c>
    </row>
    <row r="81" spans="2:22" outlineLevel="1">
      <c r="B81" s="407"/>
    </row>
    <row r="82" spans="2:22" ht="15.75" outlineLevel="1">
      <c r="B82" s="15" t="s">
        <v>255</v>
      </c>
    </row>
    <row r="83" spans="2:22" outlineLevel="1">
      <c r="B83" s="407" t="s">
        <v>255</v>
      </c>
      <c r="I83" s="16">
        <f>SUM(Output_Sapphire!I94,Output_FSL!I109)</f>
        <v>1949.3755999999998</v>
      </c>
      <c r="J83">
        <f>SUM(Output_Sapphire!J94,Output_FSL!J109)</f>
        <v>1949.3755999999998</v>
      </c>
      <c r="K83">
        <f>SUM(Output_Sapphire!K94,Output_FSL!K109)</f>
        <v>1949.3755999999998</v>
      </c>
      <c r="L83">
        <f>SUM(Output_Sapphire!L94,Output_FSL!L109)</f>
        <v>2369.1476297619047</v>
      </c>
      <c r="M83">
        <f>SUM(Output_Sapphire!M94,Output_FSL!M109)</f>
        <v>2529.151254761905</v>
      </c>
      <c r="N83">
        <f>SUM(Output_Sapphire!N94,Output_FSL!N109)</f>
        <v>2529.151254761905</v>
      </c>
      <c r="O83">
        <f>SUM(Output_Sapphire!O94,Output_FSL!O109)</f>
        <v>2529.151254761905</v>
      </c>
      <c r="P83">
        <f>SUM(Output_Sapphire!P94,Output_FSL!P109)</f>
        <v>2529.151254761905</v>
      </c>
      <c r="Q83">
        <f>SUM(Output_Sapphire!Q94,Output_FSL!Q109)</f>
        <v>2529.151254761905</v>
      </c>
      <c r="R83">
        <f>SUM(Output_Sapphire!R94,Output_FSL!R109)</f>
        <v>2529.151254761905</v>
      </c>
      <c r="S83">
        <f>SUM(Output_Sapphire!S94,Output_FSL!S109)</f>
        <v>2529.151254761905</v>
      </c>
      <c r="T83">
        <f>SUM(Output_Sapphire!T94,Output_FSL!T109)</f>
        <v>2529.151254761905</v>
      </c>
      <c r="U83">
        <f>SUM(Output_Sapphire!U94,Output_FSL!U109)</f>
        <v>2529.151254761905</v>
      </c>
      <c r="V83">
        <f>SUM(Output_Sapphire!V94,Output_FSL!V109)</f>
        <v>2529.151254761905</v>
      </c>
    </row>
    <row r="84" spans="2:22" outlineLevel="1">
      <c r="B84" s="407" t="s">
        <v>1071</v>
      </c>
      <c r="I84" s="16">
        <f>SUM(Output_Sapphire!I95,Output_FSL!I110)</f>
        <v>1061.7070000000001</v>
      </c>
      <c r="J84">
        <f>SUM(Output_Sapphire!J95,Output_FSL!J110)</f>
        <v>1061.7070000000001</v>
      </c>
      <c r="K84">
        <f>SUM(Output_Sapphire!K95,Output_FSL!K110)</f>
        <v>1061.7070000000001</v>
      </c>
      <c r="L84">
        <f>SUM(Output_Sapphire!L95,Output_FSL!L110)</f>
        <v>1061.7070000000001</v>
      </c>
      <c r="M84">
        <f>SUM(Output_Sapphire!M95,Output_FSL!M110)</f>
        <v>1061.7070000000001</v>
      </c>
      <c r="N84">
        <f>SUM(Output_Sapphire!N95,Output_FSL!N110)</f>
        <v>1061.7070000000001</v>
      </c>
      <c r="O84">
        <f>SUM(Output_Sapphire!O95,Output_FSL!O110)</f>
        <v>1061.7070000000001</v>
      </c>
      <c r="P84">
        <f>SUM(Output_Sapphire!P95,Output_FSL!P110)</f>
        <v>1061.7070000000001</v>
      </c>
      <c r="Q84">
        <f>SUM(Output_Sapphire!Q95,Output_FSL!Q110)</f>
        <v>1061.7070000000001</v>
      </c>
      <c r="R84">
        <f>SUM(Output_Sapphire!R95,Output_FSL!R110)</f>
        <v>1061.7070000000001</v>
      </c>
      <c r="S84">
        <f>SUM(Output_Sapphire!S95,Output_FSL!S110)</f>
        <v>1061.7070000000001</v>
      </c>
      <c r="T84">
        <f>SUM(Output_Sapphire!T95,Output_FSL!T110)</f>
        <v>1061.7070000000001</v>
      </c>
      <c r="U84">
        <f>SUM(Output_Sapphire!U95,Output_FSL!U110)</f>
        <v>1061.7070000000001</v>
      </c>
      <c r="V84">
        <f>SUM(Output_Sapphire!V95,Output_FSL!V110)</f>
        <v>1061.7070000000001</v>
      </c>
    </row>
    <row r="85" spans="2:22" outlineLevel="1">
      <c r="B85" s="407" t="s">
        <v>259</v>
      </c>
      <c r="I85" s="6">
        <f>SUM(Output_Sapphire!I96,Output_FSL!I111)</f>
        <v>479.4250123488099</v>
      </c>
      <c r="J85">
        <f>SUM(Output_Sapphire!J96,Output_FSL!J111)</f>
        <v>740.05537378382644</v>
      </c>
      <c r="K85">
        <f>SUM(Output_Sapphire!K96,Output_FSL!K111)</f>
        <v>1093.1922246555089</v>
      </c>
      <c r="L85">
        <f>SUM(Output_Sapphire!L96,Output_FSL!L111)</f>
        <v>1511.2857709504115</v>
      </c>
      <c r="M85">
        <f>SUM(Output_Sapphire!M96,Output_FSL!M111)</f>
        <v>1973.8452142920805</v>
      </c>
      <c r="N85">
        <f>SUM(Output_Sapphire!N96,Output_FSL!N111)</f>
        <v>2477.6346918892218</v>
      </c>
      <c r="O85">
        <f>SUM(Output_Sapphire!O96,Output_FSL!O111)</f>
        <v>3016.4799917607097</v>
      </c>
      <c r="P85">
        <f>SUM(Output_Sapphire!P96,Output_FSL!P111)</f>
        <v>3603.462628796658</v>
      </c>
      <c r="Q85">
        <f>SUM(Output_Sapphire!Q96,Output_FSL!Q111)</f>
        <v>4238.9606335846065</v>
      </c>
      <c r="R85">
        <f>SUM(Output_Sapphire!R96,Output_FSL!R111)</f>
        <v>4920.028914491495</v>
      </c>
      <c r="S85">
        <f>SUM(Output_Sapphire!S96,Output_FSL!S111)</f>
        <v>5631.5012458556448</v>
      </c>
      <c r="T85">
        <f>SUM(Output_Sapphire!T96,Output_FSL!T111)</f>
        <v>6360.8350848361088</v>
      </c>
      <c r="U85">
        <f>SUM(Output_Sapphire!U96,Output_FSL!U111)</f>
        <v>7106.1101113538407</v>
      </c>
      <c r="V85">
        <f>SUM(Output_Sapphire!V96,Output_FSL!V111)</f>
        <v>7855.7845686066157</v>
      </c>
    </row>
    <row r="86" spans="2:22" outlineLevel="1">
      <c r="B86" s="28" t="s">
        <v>262</v>
      </c>
      <c r="C86" s="28"/>
      <c r="D86" s="28"/>
      <c r="E86" s="28"/>
      <c r="F86" s="28"/>
      <c r="G86" s="28"/>
      <c r="H86" s="28"/>
      <c r="I86" s="28">
        <f t="shared" ref="I86:V86" si="22">SUM(I83:I85)</f>
        <v>3490.5076123488097</v>
      </c>
      <c r="J86" s="28">
        <f t="shared" si="22"/>
        <v>3751.1379737838261</v>
      </c>
      <c r="K86" s="28">
        <f t="shared" si="22"/>
        <v>4104.2748246555084</v>
      </c>
      <c r="L86" s="28">
        <f t="shared" si="22"/>
        <v>4942.1404007123165</v>
      </c>
      <c r="M86" s="28">
        <f t="shared" si="22"/>
        <v>5564.7034690539858</v>
      </c>
      <c r="N86" s="28">
        <f t="shared" si="22"/>
        <v>6068.4929466511276</v>
      </c>
      <c r="O86" s="28">
        <f t="shared" si="22"/>
        <v>6607.338246522615</v>
      </c>
      <c r="P86" s="28">
        <f t="shared" si="22"/>
        <v>7194.3208835585629</v>
      </c>
      <c r="Q86" s="28">
        <f t="shared" si="22"/>
        <v>7829.8188883465118</v>
      </c>
      <c r="R86" s="28">
        <f t="shared" si="22"/>
        <v>8510.8871692534012</v>
      </c>
      <c r="S86" s="28">
        <f t="shared" si="22"/>
        <v>9222.3595006175492</v>
      </c>
      <c r="T86" s="28">
        <f t="shared" si="22"/>
        <v>9951.6933395980141</v>
      </c>
      <c r="U86" s="28">
        <f t="shared" si="22"/>
        <v>10696.968366115747</v>
      </c>
      <c r="V86" s="28">
        <f t="shared" si="22"/>
        <v>11446.642823368522</v>
      </c>
    </row>
    <row r="87" spans="2:22" outlineLevel="1"/>
    <row r="88" spans="2:22" outlineLevel="1">
      <c r="B88" t="s">
        <v>1070</v>
      </c>
      <c r="I88" s="34">
        <f>ROUNDDOWN(SUM(J88:S88),2)</f>
        <v>0</v>
      </c>
      <c r="J88" s="34">
        <f>ROUNDDOWN(SUM(J74,-J80-J86),1)*$J$12</f>
        <v>0</v>
      </c>
      <c r="K88" s="34">
        <f t="shared" ref="K88:S88" si="23">ROUNDDOWN(SUM(K74,-K80-K86),1)</f>
        <v>0</v>
      </c>
      <c r="L88" s="34">
        <f t="shared" si="23"/>
        <v>0</v>
      </c>
      <c r="M88" s="34">
        <f t="shared" si="23"/>
        <v>0</v>
      </c>
      <c r="N88" s="34">
        <f t="shared" si="23"/>
        <v>0</v>
      </c>
      <c r="O88" s="34">
        <f t="shared" si="23"/>
        <v>0</v>
      </c>
      <c r="P88" s="34">
        <f t="shared" si="23"/>
        <v>0</v>
      </c>
      <c r="Q88" s="34">
        <f t="shared" si="23"/>
        <v>0</v>
      </c>
      <c r="R88" s="34">
        <f t="shared" si="23"/>
        <v>0</v>
      </c>
      <c r="S88" s="34">
        <f t="shared" si="23"/>
        <v>0</v>
      </c>
      <c r="T88" s="34"/>
      <c r="U88" s="34"/>
      <c r="V88" s="34"/>
    </row>
    <row r="89" spans="2:22" outlineLevel="1">
      <c r="B89" t="s">
        <v>330</v>
      </c>
      <c r="I89" s="34">
        <f>ROUNDDOWN(SUM(J89:S89),2)</f>
        <v>0</v>
      </c>
      <c r="J89" s="34">
        <f t="shared" ref="J89:S89" si="24">ROUNDDOWN(MIN(J69,0),2)</f>
        <v>0</v>
      </c>
      <c r="K89" s="34">
        <f t="shared" si="24"/>
        <v>0</v>
      </c>
      <c r="L89" s="34">
        <f t="shared" si="24"/>
        <v>0</v>
      </c>
      <c r="M89" s="34">
        <f t="shared" si="24"/>
        <v>0</v>
      </c>
      <c r="N89" s="34">
        <f t="shared" si="24"/>
        <v>0</v>
      </c>
      <c r="O89" s="34">
        <f t="shared" si="24"/>
        <v>0</v>
      </c>
      <c r="P89" s="34">
        <f t="shared" si="24"/>
        <v>0</v>
      </c>
      <c r="Q89" s="34">
        <f t="shared" si="24"/>
        <v>0</v>
      </c>
      <c r="R89" s="34">
        <f t="shared" si="24"/>
        <v>0</v>
      </c>
      <c r="S89" s="34">
        <f t="shared" si="24"/>
        <v>0</v>
      </c>
      <c r="T89" s="34"/>
      <c r="U89" s="34"/>
      <c r="V89" s="34"/>
    </row>
    <row r="90" spans="2:22" outlineLevel="1">
      <c r="I90" s="23">
        <f>I88-H88</f>
        <v>0</v>
      </c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</row>
    <row r="91" spans="2:22" outlineLevel="1">
      <c r="I91">
        <f>I88</f>
        <v>0</v>
      </c>
      <c r="J91" s="22"/>
    </row>
    <row r="94" spans="2:22" ht="24" thickBot="1">
      <c r="B94" s="14" t="s">
        <v>183</v>
      </c>
      <c r="C94" s="14"/>
      <c r="D94" s="14"/>
      <c r="E94" s="14"/>
      <c r="F94" s="14"/>
      <c r="G94" s="14"/>
      <c r="H94" s="14"/>
      <c r="I94" s="14"/>
      <c r="J94" s="14"/>
      <c r="K94" s="126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</row>
    <row r="96" spans="2:22">
      <c r="B96" s="407" t="s">
        <v>434</v>
      </c>
      <c r="J96">
        <f t="shared" ref="J96:V96" si="25">J26</f>
        <v>414.86241299392759</v>
      </c>
      <c r="K96">
        <f t="shared" si="25"/>
        <v>543.95884859672276</v>
      </c>
      <c r="L96">
        <f t="shared" si="25"/>
        <v>642.92248412809295</v>
      </c>
      <c r="M96">
        <f t="shared" si="25"/>
        <v>711.80679164256469</v>
      </c>
      <c r="N96">
        <f t="shared" si="25"/>
        <v>769.071075414711</v>
      </c>
      <c r="O96">
        <f t="shared" si="25"/>
        <v>823.48317798965581</v>
      </c>
      <c r="P96">
        <f t="shared" si="25"/>
        <v>888.0499467350736</v>
      </c>
      <c r="Q96">
        <f t="shared" si="25"/>
        <v>961.84753926094186</v>
      </c>
      <c r="R96">
        <f t="shared" si="25"/>
        <v>1026.034848935064</v>
      </c>
      <c r="S96">
        <f t="shared" si="25"/>
        <v>1078.2480138787373</v>
      </c>
      <c r="T96">
        <f t="shared" si="25"/>
        <v>1109.593827545747</v>
      </c>
      <c r="U96">
        <f t="shared" si="25"/>
        <v>1128.8198845347974</v>
      </c>
      <c r="V96">
        <f t="shared" si="25"/>
        <v>1141.3375087973502</v>
      </c>
    </row>
    <row r="97" spans="2:22">
      <c r="B97" s="407" t="s">
        <v>759</v>
      </c>
      <c r="J97">
        <f>-IF(J96&lt;0,0,J96*22%)</f>
        <v>-91.269730858664076</v>
      </c>
      <c r="K97">
        <f t="shared" ref="K97:V97" si="26">-IF(K96&lt;0,0,K96*22%)</f>
        <v>-119.67094669127901</v>
      </c>
      <c r="L97">
        <f t="shared" si="26"/>
        <v>-141.44294650818046</v>
      </c>
      <c r="M97">
        <f t="shared" si="26"/>
        <v>-156.59749416136424</v>
      </c>
      <c r="N97">
        <f t="shared" si="26"/>
        <v>-169.19563659123642</v>
      </c>
      <c r="O97">
        <f t="shared" si="26"/>
        <v>-181.16629915772427</v>
      </c>
      <c r="P97">
        <f t="shared" si="26"/>
        <v>-195.37098828171619</v>
      </c>
      <c r="Q97">
        <f t="shared" si="26"/>
        <v>-211.6064586374072</v>
      </c>
      <c r="R97">
        <f t="shared" si="26"/>
        <v>-225.72766676571408</v>
      </c>
      <c r="S97">
        <f t="shared" si="26"/>
        <v>-237.21456305332222</v>
      </c>
      <c r="T97">
        <f t="shared" si="26"/>
        <v>-244.11064206006435</v>
      </c>
      <c r="U97">
        <f t="shared" si="26"/>
        <v>-248.34037459765543</v>
      </c>
      <c r="V97">
        <f t="shared" si="26"/>
        <v>-251.09425193541705</v>
      </c>
    </row>
    <row r="98" spans="2:22">
      <c r="B98" s="437" t="s">
        <v>760</v>
      </c>
      <c r="J98">
        <f t="shared" ref="J98:V98" si="27">-J25</f>
        <v>295.27306240893529</v>
      </c>
      <c r="K98">
        <f t="shared" si="27"/>
        <v>333.79968518200155</v>
      </c>
      <c r="L98">
        <f t="shared" si="27"/>
        <v>362.76780390311256</v>
      </c>
      <c r="M98">
        <f t="shared" si="27"/>
        <v>371.94134168720859</v>
      </c>
      <c r="N98">
        <f t="shared" si="27"/>
        <v>358.49843006333595</v>
      </c>
      <c r="O98">
        <f t="shared" si="27"/>
        <v>353.90716215698581</v>
      </c>
      <c r="P98">
        <f t="shared" si="27"/>
        <v>322.81606889250872</v>
      </c>
      <c r="Q98">
        <f t="shared" si="27"/>
        <v>323.125153762742</v>
      </c>
      <c r="R98">
        <f t="shared" si="27"/>
        <v>281.93442033038002</v>
      </c>
      <c r="S98">
        <f t="shared" si="27"/>
        <v>271.14387222937074</v>
      </c>
      <c r="T98">
        <f t="shared" si="27"/>
        <v>261.71566792824603</v>
      </c>
      <c r="U98">
        <f t="shared" si="27"/>
        <v>267.02550168395601</v>
      </c>
      <c r="V98">
        <f t="shared" si="27"/>
        <v>272.93553211478019</v>
      </c>
    </row>
    <row r="99" spans="2:22">
      <c r="B99" s="407" t="s">
        <v>219</v>
      </c>
      <c r="J99">
        <f>Output_Consol_IDR!J51</f>
        <v>-338.54050000000001</v>
      </c>
      <c r="K99">
        <f>Output_Consol_IDR!K51</f>
        <v>-189.23849999999999</v>
      </c>
      <c r="L99">
        <f>Output_Consol_IDR!L51</f>
        <v>-556.07202976190479</v>
      </c>
      <c r="M99">
        <f>Output_Consol_IDR!M51</f>
        <v>-250.503625</v>
      </c>
      <c r="N99">
        <f>Output_Consol_IDR!N51</f>
        <v>-94.1</v>
      </c>
      <c r="O99">
        <f>Output_Consol_IDR!O51</f>
        <v>-88</v>
      </c>
      <c r="P99">
        <f>Output_Consol_IDR!P51</f>
        <v>-120.7</v>
      </c>
      <c r="Q99">
        <f>Output_Consol_IDR!Q51</f>
        <v>-108.7</v>
      </c>
      <c r="R99">
        <f>Output_Consol_IDR!R51</f>
        <v>-80.400000000000006</v>
      </c>
      <c r="S99">
        <f>Output_Consol_IDR!S51</f>
        <v>-117.7</v>
      </c>
      <c r="T99">
        <f>Output_Consol_IDR!T51</f>
        <v>-120.3</v>
      </c>
      <c r="U99">
        <f>Output_Consol_IDR!U51</f>
        <v>-123.3</v>
      </c>
      <c r="V99">
        <f>Output_Consol_IDR!V51</f>
        <v>-126.8</v>
      </c>
    </row>
    <row r="100" spans="2:22">
      <c r="B100" s="407" t="s">
        <v>311</v>
      </c>
      <c r="J100">
        <f>J46</f>
        <v>-13.862961100528764</v>
      </c>
      <c r="K100">
        <f t="shared" ref="K100:V100" si="28">K46</f>
        <v>-31.403178598627001</v>
      </c>
      <c r="L100">
        <f t="shared" si="28"/>
        <v>-31.774807601681196</v>
      </c>
      <c r="M100">
        <f t="shared" si="28"/>
        <v>-16.007458995313794</v>
      </c>
      <c r="N100">
        <f t="shared" si="28"/>
        <v>-9.4358287416836966</v>
      </c>
      <c r="O100">
        <f t="shared" si="28"/>
        <v>-9.6038774114130554</v>
      </c>
      <c r="P100">
        <f t="shared" si="28"/>
        <v>-9.0950125029610032</v>
      </c>
      <c r="Q100">
        <f t="shared" si="28"/>
        <v>-16.784932152496342</v>
      </c>
      <c r="R100">
        <f t="shared" si="28"/>
        <v>-5.4710337951103956</v>
      </c>
      <c r="S100">
        <f t="shared" si="28"/>
        <v>-8.7682562703503439</v>
      </c>
      <c r="T100">
        <f t="shared" si="28"/>
        <v>-5.4473333710221823</v>
      </c>
      <c r="U100">
        <f t="shared" si="28"/>
        <v>-9.9286242651281977</v>
      </c>
      <c r="V100">
        <f t="shared" si="28"/>
        <v>-5.3396190098074072</v>
      </c>
    </row>
    <row r="101" spans="2:22">
      <c r="B101" s="28" t="s">
        <v>761</v>
      </c>
      <c r="C101" s="28"/>
      <c r="D101" s="28"/>
      <c r="E101" s="28"/>
      <c r="F101" s="28"/>
      <c r="G101" s="28"/>
      <c r="H101" s="28"/>
      <c r="I101" s="28"/>
      <c r="J101" s="47">
        <f>SUM(J96:J100)</f>
        <v>266.46228344367006</v>
      </c>
      <c r="K101" s="47">
        <f t="shared" ref="K101:V101" si="29">SUM(K96:K100)</f>
        <v>537.44590848881819</v>
      </c>
      <c r="L101" s="47">
        <f t="shared" si="29"/>
        <v>276.40050415943909</v>
      </c>
      <c r="M101" s="47">
        <f t="shared" si="29"/>
        <v>660.63955517309523</v>
      </c>
      <c r="N101" s="47">
        <f t="shared" si="29"/>
        <v>854.8380401451268</v>
      </c>
      <c r="O101" s="47">
        <f t="shared" si="29"/>
        <v>898.62016357750429</v>
      </c>
      <c r="P101" s="47">
        <f t="shared" si="29"/>
        <v>885.70001484290503</v>
      </c>
      <c r="Q101" s="47">
        <f t="shared" si="29"/>
        <v>947.88130223378016</v>
      </c>
      <c r="R101" s="47">
        <f t="shared" si="29"/>
        <v>996.3705687046197</v>
      </c>
      <c r="S101" s="47">
        <f t="shared" si="29"/>
        <v>985.70906678443544</v>
      </c>
      <c r="T101" s="47">
        <f t="shared" si="29"/>
        <v>1001.4515200429065</v>
      </c>
      <c r="U101" s="47">
        <f t="shared" si="29"/>
        <v>1014.2763873559699</v>
      </c>
      <c r="V101" s="47">
        <f t="shared" si="29"/>
        <v>1031.039169966906</v>
      </c>
    </row>
    <row r="103" spans="2:22">
      <c r="B103" t="s">
        <v>52</v>
      </c>
      <c r="F103" s="19" t="e">
        <f>#REF!</f>
        <v>#REF!</v>
      </c>
    </row>
    <row r="104" spans="2:22">
      <c r="B104" s="28" t="s">
        <v>762</v>
      </c>
      <c r="C104" s="28"/>
      <c r="D104" s="28"/>
      <c r="E104" s="28"/>
      <c r="F104" s="28"/>
      <c r="G104" s="28"/>
      <c r="H104" s="28"/>
      <c r="I104" s="28"/>
      <c r="J104" s="47">
        <f>SUM(J101,J103)</f>
        <v>266.46228344367006</v>
      </c>
      <c r="K104" s="47">
        <f t="shared" ref="K104:V104" si="30">SUM(K101,K103)</f>
        <v>537.44590848881819</v>
      </c>
      <c r="L104" s="47">
        <f t="shared" si="30"/>
        <v>276.40050415943909</v>
      </c>
      <c r="M104" s="47">
        <f t="shared" si="30"/>
        <v>660.63955517309523</v>
      </c>
      <c r="N104" s="47">
        <f t="shared" si="30"/>
        <v>854.8380401451268</v>
      </c>
      <c r="O104" s="47">
        <f t="shared" si="30"/>
        <v>898.62016357750429</v>
      </c>
      <c r="P104" s="47">
        <f t="shared" si="30"/>
        <v>885.70001484290503</v>
      </c>
      <c r="Q104" s="47">
        <f t="shared" si="30"/>
        <v>947.88130223378016</v>
      </c>
      <c r="R104" s="47">
        <f t="shared" si="30"/>
        <v>996.3705687046197</v>
      </c>
      <c r="S104" s="47">
        <f t="shared" si="30"/>
        <v>985.70906678443544</v>
      </c>
      <c r="T104" s="47">
        <f t="shared" si="30"/>
        <v>1001.4515200429065</v>
      </c>
      <c r="U104" s="47">
        <f t="shared" si="30"/>
        <v>1014.2763873559699</v>
      </c>
      <c r="V104" s="47">
        <f t="shared" si="30"/>
        <v>1031.039169966906</v>
      </c>
    </row>
    <row r="106" spans="2:22">
      <c r="B106" t="s">
        <v>763</v>
      </c>
      <c r="J106">
        <f>SUM($J$104:J104)</f>
        <v>266.46228344367006</v>
      </c>
      <c r="K106">
        <f>SUM($J$104:K104)</f>
        <v>803.90819193248831</v>
      </c>
      <c r="L106">
        <f>SUM($J$104:L104)</f>
        <v>1080.3086960919275</v>
      </c>
      <c r="M106">
        <f>SUM($J$104:M104)</f>
        <v>1740.9482512650227</v>
      </c>
      <c r="N106">
        <f>SUM($J$104:N104)</f>
        <v>2595.7862914101497</v>
      </c>
      <c r="O106">
        <f>SUM($J$104:O104)</f>
        <v>3494.4064549876539</v>
      </c>
      <c r="P106">
        <f>SUM($J$104:P104)</f>
        <v>4380.106469830559</v>
      </c>
      <c r="Q106">
        <f>SUM($J$104:Q104)</f>
        <v>5327.987772064339</v>
      </c>
      <c r="R106">
        <f>SUM($J$104:R104)</f>
        <v>6324.3583407689584</v>
      </c>
      <c r="S106">
        <f>SUM($J$104:S104)</f>
        <v>7310.0674075533934</v>
      </c>
      <c r="T106">
        <f>SUM($J$104:T104)</f>
        <v>8311.5189275963003</v>
      </c>
      <c r="U106">
        <f>SUM($J$104:U104)</f>
        <v>9325.7953149522709</v>
      </c>
      <c r="V106">
        <f>SUM($J$104:V104)</f>
        <v>10356.834484919176</v>
      </c>
    </row>
    <row r="107" spans="2:22">
      <c r="B107" t="s">
        <v>764</v>
      </c>
      <c r="I107">
        <f>SUM(J107:V107)</f>
        <v>0</v>
      </c>
      <c r="J107" s="13">
        <f>IF(J106&lt;0,1,0)</f>
        <v>0</v>
      </c>
      <c r="K107" s="13">
        <f t="shared" ref="K107:V107" si="31">IF(K106&lt;0,1,0)</f>
        <v>0</v>
      </c>
      <c r="L107" s="13">
        <f t="shared" si="31"/>
        <v>0</v>
      </c>
      <c r="M107" s="13">
        <f t="shared" si="31"/>
        <v>0</v>
      </c>
      <c r="N107" s="13">
        <f t="shared" si="31"/>
        <v>0</v>
      </c>
      <c r="O107" s="13">
        <f t="shared" si="31"/>
        <v>0</v>
      </c>
      <c r="P107" s="13">
        <f t="shared" si="31"/>
        <v>0</v>
      </c>
      <c r="Q107" s="13">
        <f t="shared" si="31"/>
        <v>0</v>
      </c>
      <c r="R107" s="13">
        <f t="shared" si="31"/>
        <v>0</v>
      </c>
      <c r="S107" s="13">
        <f t="shared" si="31"/>
        <v>0</v>
      </c>
      <c r="T107" s="13">
        <f t="shared" si="31"/>
        <v>0</v>
      </c>
      <c r="U107" s="13">
        <f t="shared" si="31"/>
        <v>0</v>
      </c>
      <c r="V107" s="13">
        <f t="shared" si="31"/>
        <v>0</v>
      </c>
    </row>
    <row r="108" spans="2:22">
      <c r="B108" t="s">
        <v>765</v>
      </c>
      <c r="J108" s="13">
        <f>IF(AND(I107=1,J107=0),IF(MAX(J106,0),1),0)</f>
        <v>0</v>
      </c>
      <c r="K108" s="13">
        <f t="shared" ref="K108:V108" si="32">IF(AND(J107=1,K107=0),IF(MAX(K106,0),1),0)</f>
        <v>0</v>
      </c>
      <c r="L108" s="13">
        <f t="shared" si="32"/>
        <v>0</v>
      </c>
      <c r="M108" s="13">
        <f t="shared" si="32"/>
        <v>0</v>
      </c>
      <c r="N108" s="13">
        <f t="shared" si="32"/>
        <v>0</v>
      </c>
      <c r="O108" s="13">
        <f t="shared" si="32"/>
        <v>0</v>
      </c>
      <c r="P108" s="13">
        <f t="shared" si="32"/>
        <v>0</v>
      </c>
      <c r="Q108" s="13">
        <f t="shared" si="32"/>
        <v>0</v>
      </c>
      <c r="R108" s="13">
        <f t="shared" si="32"/>
        <v>0</v>
      </c>
      <c r="S108" s="13">
        <f t="shared" si="32"/>
        <v>0</v>
      </c>
      <c r="T108" s="13">
        <f t="shared" si="32"/>
        <v>0</v>
      </c>
      <c r="U108" s="13">
        <f t="shared" si="32"/>
        <v>0</v>
      </c>
      <c r="V108" s="13">
        <f t="shared" si="32"/>
        <v>0</v>
      </c>
    </row>
    <row r="109" spans="2:22">
      <c r="B109" t="s">
        <v>766</v>
      </c>
      <c r="I109" s="22">
        <f>SUM(J109:V109)</f>
        <v>0</v>
      </c>
      <c r="J109" s="22">
        <f>IF(J108=1,-I106/J104,0)</f>
        <v>0</v>
      </c>
      <c r="K109" s="22">
        <f>IF(K108=1,-J106/K104,0)</f>
        <v>0</v>
      </c>
      <c r="L109" s="22">
        <f>IF(L108=1,-K106/L104,0)</f>
        <v>0</v>
      </c>
      <c r="M109" s="22">
        <f>IF(M108=1,-L106/M104,0)</f>
        <v>0</v>
      </c>
      <c r="N109" s="22">
        <f>IF(N108=1,-M106/N104,0)</f>
        <v>0</v>
      </c>
      <c r="O109" s="22">
        <f t="shared" ref="O109:V109" si="33">IF(O108=1,-N106/O104,0)</f>
        <v>0</v>
      </c>
      <c r="P109" s="22">
        <f t="shared" si="33"/>
        <v>0</v>
      </c>
      <c r="Q109" s="22">
        <f t="shared" si="33"/>
        <v>0</v>
      </c>
      <c r="R109" s="22">
        <f t="shared" si="33"/>
        <v>0</v>
      </c>
      <c r="S109" s="22">
        <f t="shared" si="33"/>
        <v>0</v>
      </c>
      <c r="T109" s="22">
        <f t="shared" si="33"/>
        <v>0</v>
      </c>
      <c r="U109" s="22">
        <f t="shared" si="33"/>
        <v>0</v>
      </c>
      <c r="V109" s="22">
        <f t="shared" si="33"/>
        <v>0</v>
      </c>
    </row>
    <row r="112" spans="2:22" ht="15.75">
      <c r="B112" s="15" t="s">
        <v>767</v>
      </c>
    </row>
    <row r="113" spans="2:10">
      <c r="B113" s="44" t="s">
        <v>54</v>
      </c>
      <c r="F113" s="21"/>
      <c r="J113" s="45" t="e">
        <f>XIRR(K104:V104,K7:V7)</f>
        <v>#NUM!</v>
      </c>
    </row>
    <row r="114" spans="2:10">
      <c r="B114" s="44" t="s">
        <v>768</v>
      </c>
      <c r="F114" s="22"/>
      <c r="J114" s="46">
        <f>SUM(I107,I109)</f>
        <v>0</v>
      </c>
    </row>
    <row r="115" spans="2:10">
      <c r="B115" s="407"/>
    </row>
  </sheetData>
  <conditionalFormatting sqref="J11:V11">
    <cfRule type="cellIs" dxfId="7" priority="4" operator="equal">
      <formula>1</formula>
    </cfRule>
  </conditionalFormatting>
  <conditionalFormatting sqref="K12:V12">
    <cfRule type="cellIs" dxfId="6" priority="3" operator="equal">
      <formula>1</formula>
    </cfRule>
  </conditionalFormatting>
  <conditionalFormatting sqref="J12">
    <cfRule type="cellIs" dxfId="5" priority="2" operator="equal">
      <formula>1</formula>
    </cfRule>
  </conditionalFormatting>
  <conditionalFormatting sqref="J107:V108">
    <cfRule type="cellIs" dxfId="4" priority="1" operator="equal">
      <formula>1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FE7FB-4E70-4071-B5E1-478E6DAC8D71}">
  <sheetPr codeName="Sheet15">
    <tabColor theme="1" tint="0.499984740745262"/>
  </sheetPr>
  <dimension ref="B1:V115"/>
  <sheetViews>
    <sheetView showGridLines="0" zoomScale="75" workbookViewId="0">
      <pane xSplit="9" ySplit="14" topLeftCell="J15" activePane="bottomRight" state="frozen"/>
      <selection pane="topRight" activeCell="H90" sqref="H90"/>
      <selection pane="bottomLeft" activeCell="H90" sqref="H90"/>
      <selection pane="bottomRight" activeCell="J15" sqref="J15"/>
    </sheetView>
  </sheetViews>
  <sheetFormatPr defaultColWidth="0" defaultRowHeight="15" outlineLevelRow="1"/>
  <cols>
    <col min="1" max="1" width="3" customWidth="1"/>
    <col min="2" max="4" width="9.140625" customWidth="1"/>
    <col min="5" max="5" width="15.28515625" customWidth="1"/>
    <col min="6" max="6" width="15.42578125" bestFit="1" customWidth="1"/>
    <col min="7" max="7" width="15.28515625" customWidth="1"/>
    <col min="8" max="8" width="35.42578125" customWidth="1"/>
    <col min="9" max="22" width="14.7109375" customWidth="1"/>
    <col min="23" max="23" width="10.5703125" customWidth="1"/>
  </cols>
  <sheetData>
    <row r="1" spans="2:22" s="3" customFormat="1" ht="23.25">
      <c r="B1" s="4" t="s">
        <v>1072</v>
      </c>
    </row>
    <row r="2" spans="2:22" ht="15.75">
      <c r="B2" s="5" t="s">
        <v>1073</v>
      </c>
      <c r="D2" s="6">
        <v>1</v>
      </c>
    </row>
    <row r="4" spans="2:22">
      <c r="B4" t="s">
        <v>29</v>
      </c>
      <c r="D4" s="6">
        <v>1</v>
      </c>
    </row>
    <row r="6" spans="2:22">
      <c r="B6" t="s">
        <v>30</v>
      </c>
      <c r="J6" s="7">
        <f>I7+1</f>
        <v>45292</v>
      </c>
      <c r="K6" s="7">
        <f t="shared" ref="K6:V6" si="0">J7+1</f>
        <v>45658</v>
      </c>
      <c r="L6" s="7">
        <f t="shared" si="0"/>
        <v>46023</v>
      </c>
      <c r="M6" s="7">
        <f t="shared" si="0"/>
        <v>46388</v>
      </c>
      <c r="N6" s="7">
        <f t="shared" si="0"/>
        <v>46753</v>
      </c>
      <c r="O6" s="7">
        <f t="shared" si="0"/>
        <v>47119</v>
      </c>
      <c r="P6" s="7">
        <f t="shared" si="0"/>
        <v>47484</v>
      </c>
      <c r="Q6" s="7">
        <f t="shared" si="0"/>
        <v>47849</v>
      </c>
      <c r="R6" s="7">
        <f t="shared" si="0"/>
        <v>48214</v>
      </c>
      <c r="S6" s="7">
        <f t="shared" si="0"/>
        <v>48580</v>
      </c>
      <c r="T6" s="7">
        <f t="shared" si="0"/>
        <v>48945</v>
      </c>
      <c r="U6" s="7">
        <f t="shared" si="0"/>
        <v>49310</v>
      </c>
      <c r="V6" s="7">
        <f t="shared" si="0"/>
        <v>49675</v>
      </c>
    </row>
    <row r="7" spans="2:22">
      <c r="B7" t="s">
        <v>31</v>
      </c>
      <c r="I7" s="8">
        <f>'Output_Standalone (IDR)'!I7</f>
        <v>45291</v>
      </c>
      <c r="J7" s="7">
        <f>EOMONTH(J6,12-1)</f>
        <v>45657</v>
      </c>
      <c r="K7" s="7">
        <f t="shared" ref="K7:V7" si="1">EOMONTH(K6,12-1)</f>
        <v>46022</v>
      </c>
      <c r="L7" s="7">
        <f t="shared" si="1"/>
        <v>46387</v>
      </c>
      <c r="M7" s="7">
        <f t="shared" si="1"/>
        <v>46752</v>
      </c>
      <c r="N7" s="7">
        <f t="shared" si="1"/>
        <v>47118</v>
      </c>
      <c r="O7" s="7">
        <f t="shared" si="1"/>
        <v>47483</v>
      </c>
      <c r="P7" s="7">
        <f t="shared" si="1"/>
        <v>47848</v>
      </c>
      <c r="Q7" s="7">
        <f t="shared" si="1"/>
        <v>48213</v>
      </c>
      <c r="R7" s="7">
        <f t="shared" si="1"/>
        <v>48579</v>
      </c>
      <c r="S7" s="7">
        <f t="shared" si="1"/>
        <v>48944</v>
      </c>
      <c r="T7" s="7">
        <f t="shared" si="1"/>
        <v>49309</v>
      </c>
      <c r="U7" s="7">
        <f t="shared" si="1"/>
        <v>49674</v>
      </c>
      <c r="V7" s="7">
        <f t="shared" si="1"/>
        <v>50040</v>
      </c>
    </row>
    <row r="8" spans="2:22">
      <c r="B8" t="s">
        <v>32</v>
      </c>
      <c r="J8" s="9">
        <f>YEAR(J7)</f>
        <v>2024</v>
      </c>
      <c r="K8" s="9">
        <f t="shared" ref="K8:V8" si="2">YEAR(K7)</f>
        <v>2025</v>
      </c>
      <c r="L8" s="9">
        <f t="shared" si="2"/>
        <v>2026</v>
      </c>
      <c r="M8" s="9">
        <f t="shared" si="2"/>
        <v>2027</v>
      </c>
      <c r="N8" s="9">
        <f t="shared" si="2"/>
        <v>2028</v>
      </c>
      <c r="O8" s="9">
        <f t="shared" si="2"/>
        <v>2029</v>
      </c>
      <c r="P8" s="9">
        <f t="shared" si="2"/>
        <v>2030</v>
      </c>
      <c r="Q8" s="9">
        <f t="shared" si="2"/>
        <v>2031</v>
      </c>
      <c r="R8" s="9">
        <f t="shared" si="2"/>
        <v>2032</v>
      </c>
      <c r="S8" s="9">
        <f t="shared" si="2"/>
        <v>2033</v>
      </c>
      <c r="T8" s="9">
        <f t="shared" si="2"/>
        <v>2034</v>
      </c>
      <c r="U8" s="9">
        <f t="shared" si="2"/>
        <v>2035</v>
      </c>
      <c r="V8" s="9">
        <f t="shared" si="2"/>
        <v>2036</v>
      </c>
    </row>
    <row r="9" spans="2:22">
      <c r="B9" t="s">
        <v>33</v>
      </c>
      <c r="J9" s="10">
        <f>J7-J6+1</f>
        <v>366</v>
      </c>
      <c r="K9" s="10">
        <f t="shared" ref="K9:V9" si="3">K7-K6+1</f>
        <v>365</v>
      </c>
      <c r="L9" s="10">
        <f t="shared" si="3"/>
        <v>365</v>
      </c>
      <c r="M9" s="10">
        <f t="shared" si="3"/>
        <v>365</v>
      </c>
      <c r="N9" s="10">
        <f t="shared" si="3"/>
        <v>366</v>
      </c>
      <c r="O9" s="10">
        <f t="shared" si="3"/>
        <v>365</v>
      </c>
      <c r="P9" s="10">
        <f t="shared" si="3"/>
        <v>365</v>
      </c>
      <c r="Q9" s="10">
        <f t="shared" si="3"/>
        <v>365</v>
      </c>
      <c r="R9" s="10">
        <f t="shared" si="3"/>
        <v>366</v>
      </c>
      <c r="S9" s="10">
        <f t="shared" si="3"/>
        <v>365</v>
      </c>
      <c r="T9" s="10">
        <f t="shared" si="3"/>
        <v>365</v>
      </c>
      <c r="U9" s="10">
        <f t="shared" si="3"/>
        <v>365</v>
      </c>
      <c r="V9" s="10">
        <f t="shared" si="3"/>
        <v>366</v>
      </c>
    </row>
    <row r="10" spans="2:22">
      <c r="E10" s="11" t="s">
        <v>34</v>
      </c>
      <c r="F10" s="11" t="s">
        <v>35</v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</row>
    <row r="11" spans="2:22">
      <c r="B11" s="407" t="s">
        <v>36</v>
      </c>
      <c r="E11" s="12">
        <f>'Output_Standalone (IDR)'!E11</f>
        <v>45291</v>
      </c>
      <c r="F11" s="12">
        <f>'Output_Standalone (IDR)'!F11</f>
        <v>45291</v>
      </c>
      <c r="J11" s="13">
        <f t="shared" ref="J11:V11" si="4">IF(J7=$F$11,1,0)</f>
        <v>0</v>
      </c>
      <c r="K11" s="13">
        <f t="shared" si="4"/>
        <v>0</v>
      </c>
      <c r="L11" s="13">
        <f t="shared" si="4"/>
        <v>0</v>
      </c>
      <c r="M11" s="13">
        <f t="shared" si="4"/>
        <v>0</v>
      </c>
      <c r="N11" s="13">
        <f t="shared" si="4"/>
        <v>0</v>
      </c>
      <c r="O11" s="13">
        <f t="shared" si="4"/>
        <v>0</v>
      </c>
      <c r="P11" s="13">
        <f t="shared" si="4"/>
        <v>0</v>
      </c>
      <c r="Q11" s="13">
        <f t="shared" si="4"/>
        <v>0</v>
      </c>
      <c r="R11" s="13">
        <f t="shared" si="4"/>
        <v>0</v>
      </c>
      <c r="S11" s="13">
        <f t="shared" si="4"/>
        <v>0</v>
      </c>
      <c r="T11" s="13">
        <f t="shared" si="4"/>
        <v>0</v>
      </c>
      <c r="U11" s="13">
        <f t="shared" si="4"/>
        <v>0</v>
      </c>
      <c r="V11" s="13">
        <f t="shared" si="4"/>
        <v>0</v>
      </c>
    </row>
    <row r="12" spans="2:22">
      <c r="B12" t="s">
        <v>37</v>
      </c>
      <c r="E12" s="12">
        <f>'Output_Standalone (IDR)'!E12</f>
        <v>45292</v>
      </c>
      <c r="F12" s="12">
        <f>'Output_Standalone (IDR)'!F12</f>
        <v>50040</v>
      </c>
      <c r="J12" s="13">
        <f>IF(J11=1,0,IF(J7&gt;$F$12,0,1))</f>
        <v>1</v>
      </c>
      <c r="K12" s="13">
        <f>IF(K11=1,0,IF(K7&gt;$F$12,0,1))</f>
        <v>1</v>
      </c>
      <c r="L12" s="13">
        <f t="shared" ref="L12:V12" si="5">IF(L11=1,0,IF(L7&gt;$F$12,0,1))</f>
        <v>1</v>
      </c>
      <c r="M12" s="13">
        <f t="shared" si="5"/>
        <v>1</v>
      </c>
      <c r="N12" s="13">
        <f t="shared" si="5"/>
        <v>1</v>
      </c>
      <c r="O12" s="13">
        <f t="shared" si="5"/>
        <v>1</v>
      </c>
      <c r="P12" s="13">
        <f t="shared" si="5"/>
        <v>1</v>
      </c>
      <c r="Q12" s="13">
        <f t="shared" si="5"/>
        <v>1</v>
      </c>
      <c r="R12" s="13">
        <f t="shared" si="5"/>
        <v>1</v>
      </c>
      <c r="S12" s="13">
        <f t="shared" si="5"/>
        <v>1</v>
      </c>
      <c r="T12" s="13">
        <f t="shared" si="5"/>
        <v>1</v>
      </c>
      <c r="U12" s="13">
        <f t="shared" si="5"/>
        <v>1</v>
      </c>
      <c r="V12" s="13">
        <f t="shared" si="5"/>
        <v>1</v>
      </c>
    </row>
    <row r="13" spans="2:22">
      <c r="F13" s="7"/>
    </row>
    <row r="14" spans="2:22">
      <c r="B14" t="s">
        <v>38</v>
      </c>
      <c r="J14">
        <f>SUM($J$12:J12)</f>
        <v>1</v>
      </c>
      <c r="K14">
        <f>SUM($J$12:K12)</f>
        <v>2</v>
      </c>
      <c r="L14">
        <f>SUM($J$12:L12)</f>
        <v>3</v>
      </c>
      <c r="M14">
        <f>SUM($J$12:M12)</f>
        <v>4</v>
      </c>
      <c r="N14">
        <f>SUM($J$12:N12)</f>
        <v>5</v>
      </c>
      <c r="O14">
        <f>SUM($J$12:O12)</f>
        <v>6</v>
      </c>
      <c r="P14">
        <f>SUM($J$12:P12)</f>
        <v>7</v>
      </c>
      <c r="Q14">
        <f>SUM($J$12:Q12)</f>
        <v>8</v>
      </c>
      <c r="R14">
        <f>SUM($J$12:R12)</f>
        <v>9</v>
      </c>
      <c r="S14">
        <f>SUM($J$12:S12)</f>
        <v>10</v>
      </c>
      <c r="T14">
        <f>SUM($J$12:T12)</f>
        <v>11</v>
      </c>
      <c r="U14">
        <f>SUM($J$12:U12)</f>
        <v>12</v>
      </c>
      <c r="V14">
        <f>SUM($J$12:V12)</f>
        <v>13</v>
      </c>
    </row>
    <row r="16" spans="2:22" ht="24" thickBot="1">
      <c r="B16" s="14" t="s">
        <v>1049</v>
      </c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</row>
    <row r="18" spans="2:22">
      <c r="B18" s="407" t="s">
        <v>623</v>
      </c>
      <c r="I18" s="48">
        <f>SUM(J18:V18)</f>
        <v>2606.7895926874417</v>
      </c>
      <c r="J18" s="1">
        <f>SUM(Output_Sapphire!J29*$D$2,Output_FSL!J44)/USD_IDR*Thousands</f>
        <v>143.55294414849763</v>
      </c>
      <c r="K18" s="1">
        <f>SUM(Output_Sapphire!K29*$D$2,Output_FSL!K44)/USD_IDR*Thousands</f>
        <v>161.16832871013321</v>
      </c>
      <c r="L18" s="1">
        <f>SUM(Output_Sapphire!L29*$D$2,Output_FSL!L44)/USD_IDR*Thousands</f>
        <v>177.99968560015546</v>
      </c>
      <c r="M18" s="1">
        <f>SUM(Output_Sapphire!M29*$D$2,Output_FSL!M44)/USD_IDR*Thousands</f>
        <v>186.37951631574504</v>
      </c>
      <c r="N18" s="1">
        <f>SUM(Output_Sapphire!N29*$D$2,Output_FSL!N44)/USD_IDR*Thousands</f>
        <v>192.14322637722572</v>
      </c>
      <c r="O18" s="1">
        <f>SUM(Output_Sapphire!O29*$D$2,Output_FSL!O44)/USD_IDR*Thousands</f>
        <v>197.39360819127032</v>
      </c>
      <c r="P18" s="1">
        <f>SUM(Output_Sapphire!P29*$D$2,Output_FSL!P44)/USD_IDR*Thousands</f>
        <v>203.27186468935955</v>
      </c>
      <c r="Q18" s="1">
        <f>SUM(Output_Sapphire!Q29*$D$2,Output_FSL!Q44)/USD_IDR*Thousands</f>
        <v>213.63314537782711</v>
      </c>
      <c r="R18" s="1">
        <f>SUM(Output_Sapphire!R29*$D$2,Output_FSL!R44)/USD_IDR*Thousands</f>
        <v>216.89081569014104</v>
      </c>
      <c r="S18" s="1">
        <f>SUM(Output_Sapphire!S29*$D$2,Output_FSL!S44)/USD_IDR*Thousands</f>
        <v>221.80276281020616</v>
      </c>
      <c r="T18" s="1">
        <f>SUM(Output_Sapphire!T29*$D$2,Output_FSL!T44)/USD_IDR*Thousands</f>
        <v>225.09572498894417</v>
      </c>
      <c r="U18" s="1">
        <f>SUM(Output_Sapphire!U29*$D$2,Output_FSL!U44)/USD_IDR*Thousands</f>
        <v>231.94063094348942</v>
      </c>
      <c r="V18" s="1">
        <f>SUM(Output_Sapphire!V29*$D$2,Output_FSL!V44)/USD_IDR*Thousands</f>
        <v>235.51733884444744</v>
      </c>
    </row>
    <row r="19" spans="2:22">
      <c r="B19" s="407" t="s">
        <v>473</v>
      </c>
      <c r="I19" s="48">
        <f>SUM(J19:V19)</f>
        <v>-1305.8559410956566</v>
      </c>
      <c r="J19" s="23">
        <f>SUM(Output_Sapphire!J30*$D$2,Output_FSL!J45)/USD_IDR*Thousands</f>
        <v>-85.185555390590807</v>
      </c>
      <c r="K19" s="23">
        <f>SUM(Output_Sapphire!K30*$D$2,Output_FSL!K45)/USD_IDR*Thousands</f>
        <v>-90.861282682104047</v>
      </c>
      <c r="L19" s="23">
        <f>SUM(Output_Sapphire!L30*$D$2,Output_FSL!L45)/USD_IDR*Thousands</f>
        <v>-93.662770779482727</v>
      </c>
      <c r="M19" s="23">
        <f>SUM(Output_Sapphire!M30*$D$2,Output_FSL!M45)/USD_IDR*Thousands</f>
        <v>-94.471634522116901</v>
      </c>
      <c r="N19" s="23">
        <f>SUM(Output_Sapphire!N30*$D$2,Output_FSL!N45)/USD_IDR*Thousands</f>
        <v>-96.06731798759445</v>
      </c>
      <c r="O19" s="23">
        <f>SUM(Output_Sapphire!O30*$D$2,Output_FSL!O45)/USD_IDR*Thousands</f>
        <v>-97.071278850661912</v>
      </c>
      <c r="P19" s="23">
        <f>SUM(Output_Sapphire!P30*$D$2,Output_FSL!P45)/USD_IDR*Thousands</f>
        <v>-99.884606699382488</v>
      </c>
      <c r="Q19" s="23">
        <f>SUM(Output_Sapphire!Q30*$D$2,Output_FSL!Q45)/USD_IDR*Thousands</f>
        <v>-104.53606716099824</v>
      </c>
      <c r="R19" s="23">
        <f>SUM(Output_Sapphire!R30*$D$2,Output_FSL!R45)/USD_IDR*Thousands</f>
        <v>-105.35720847303469</v>
      </c>
      <c r="S19" s="23">
        <f>SUM(Output_Sapphire!S30*$D$2,Output_FSL!S45)/USD_IDR*Thousands</f>
        <v>-106.50492947332717</v>
      </c>
      <c r="T19" s="23">
        <f>SUM(Output_Sapphire!T30*$D$2,Output_FSL!T45)/USD_IDR*Thousands</f>
        <v>-107.35070006727851</v>
      </c>
      <c r="U19" s="23">
        <f>SUM(Output_Sapphire!U30*$D$2,Output_FSL!U45)/USD_IDR*Thousands</f>
        <v>-111.79277391502676</v>
      </c>
      <c r="V19" s="23">
        <f>SUM(Output_Sapphire!V30*$D$2,Output_FSL!V45)/USD_IDR*Thousands</f>
        <v>-113.10981509405798</v>
      </c>
    </row>
    <row r="20" spans="2:22">
      <c r="B20" s="28" t="s">
        <v>1017</v>
      </c>
      <c r="C20" s="28"/>
      <c r="D20" s="28"/>
      <c r="E20" s="28"/>
      <c r="F20" s="28"/>
      <c r="G20" s="28"/>
      <c r="H20" s="28"/>
      <c r="I20" s="49">
        <f>SUM(J20:V20)</f>
        <v>1300.9336515917853</v>
      </c>
      <c r="J20" s="47">
        <f>SUM(J18:J19)</f>
        <v>58.367388757906824</v>
      </c>
      <c r="K20" s="47">
        <f t="shared" ref="K20:V20" si="6">SUM(K18:K19)</f>
        <v>70.307046028029163</v>
      </c>
      <c r="L20" s="47">
        <f t="shared" si="6"/>
        <v>84.336914820672732</v>
      </c>
      <c r="M20" s="47">
        <f t="shared" si="6"/>
        <v>91.907881793628135</v>
      </c>
      <c r="N20" s="47">
        <f t="shared" si="6"/>
        <v>96.075908389631266</v>
      </c>
      <c r="O20" s="47">
        <f t="shared" si="6"/>
        <v>100.32232934060841</v>
      </c>
      <c r="P20" s="47">
        <f t="shared" si="6"/>
        <v>103.38725798997706</v>
      </c>
      <c r="Q20" s="47">
        <f t="shared" si="6"/>
        <v>109.09707821682886</v>
      </c>
      <c r="R20" s="47">
        <f t="shared" si="6"/>
        <v>111.53360721710635</v>
      </c>
      <c r="S20" s="47">
        <f t="shared" si="6"/>
        <v>115.29783333687899</v>
      </c>
      <c r="T20" s="47">
        <f t="shared" si="6"/>
        <v>117.74502492166566</v>
      </c>
      <c r="U20" s="47">
        <f t="shared" si="6"/>
        <v>120.14785702846267</v>
      </c>
      <c r="V20" s="47">
        <f t="shared" si="6"/>
        <v>122.40752375038946</v>
      </c>
    </row>
    <row r="22" spans="2:22">
      <c r="B22" t="s">
        <v>852</v>
      </c>
      <c r="I22" s="48">
        <f>SUM(J22:V22)</f>
        <v>-359.22322658121391</v>
      </c>
      <c r="J22" s="1">
        <f>SUM(Output_Sapphire!J33*$D$2,Output_FSL!J48)/USD_IDR*Thousands</f>
        <v>-14.707045972609368</v>
      </c>
      <c r="K22" s="1">
        <f>SUM(Output_Sapphire!K33*$D$2,Output_FSL!K48)/USD_IDR*Thousands</f>
        <v>-16.340951113874574</v>
      </c>
      <c r="L22" s="1">
        <f>SUM(Output_Sapphire!L33*$D$2,Output_FSL!L48)/USD_IDR*Thousands</f>
        <v>-22.505356995206675</v>
      </c>
      <c r="M22" s="1">
        <f>SUM(Output_Sapphire!M33*$D$2,Output_FSL!M48)/USD_IDR*Thousands</f>
        <v>-25.277194223399217</v>
      </c>
      <c r="N22" s="1">
        <f>SUM(Output_Sapphire!N33*$D$2,Output_FSL!N48)/USD_IDR*Thousands</f>
        <v>-26.751007960609027</v>
      </c>
      <c r="O22" s="1">
        <f>SUM(Output_Sapphire!O33*$D$2,Output_FSL!O48)/USD_IDR*Thousands</f>
        <v>-27.93435884281304</v>
      </c>
      <c r="P22" s="1">
        <f>SUM(Output_Sapphire!P33*$D$2,Output_FSL!P48)/USD_IDR*Thousands</f>
        <v>-28.941145747272966</v>
      </c>
      <c r="Q22" s="1">
        <f>SUM(Output_Sapphire!Q33*$D$2,Output_FSL!Q48)/USD_IDR*Thousands</f>
        <v>-30.094760785308175</v>
      </c>
      <c r="R22" s="1">
        <f>SUM(Output_Sapphire!R33*$D$2,Output_FSL!R48)/USD_IDR*Thousands</f>
        <v>-31.117420972689267</v>
      </c>
      <c r="S22" s="1">
        <f>SUM(Output_Sapphire!S33*$D$2,Output_FSL!S48)/USD_IDR*Thousands</f>
        <v>-32.334913809789668</v>
      </c>
      <c r="T22" s="1">
        <f>SUM(Output_Sapphire!T33*$D$2,Output_FSL!T48)/USD_IDR*Thousands</f>
        <v>-33.434573309369753</v>
      </c>
      <c r="U22" s="1">
        <f>SUM(Output_Sapphire!U33*$D$2,Output_FSL!U48)/USD_IDR*Thousands</f>
        <v>-34.328896916642613</v>
      </c>
      <c r="V22" s="1">
        <f>SUM(Output_Sapphire!V33*$D$2,Output_FSL!V48)/USD_IDR*Thousands</f>
        <v>-35.455599931629536</v>
      </c>
    </row>
    <row r="23" spans="2:22">
      <c r="B23" s="28" t="s">
        <v>139</v>
      </c>
      <c r="C23" s="28"/>
      <c r="D23" s="28"/>
      <c r="E23" s="28"/>
      <c r="F23" s="28"/>
      <c r="G23" s="28"/>
      <c r="H23" s="28"/>
      <c r="I23" s="49">
        <f>SUM(J23:V23)</f>
        <v>941.71042501057173</v>
      </c>
      <c r="J23" s="47">
        <f>SUM(J20,J22)</f>
        <v>43.660342785297459</v>
      </c>
      <c r="K23" s="47">
        <f t="shared" ref="K23:V23" si="7">SUM(K20,K22)</f>
        <v>53.966094914154588</v>
      </c>
      <c r="L23" s="47">
        <f t="shared" si="7"/>
        <v>61.831557825466056</v>
      </c>
      <c r="M23" s="47">
        <f t="shared" si="7"/>
        <v>66.630687570228915</v>
      </c>
      <c r="N23" s="47">
        <f t="shared" si="7"/>
        <v>69.324900429022236</v>
      </c>
      <c r="O23" s="47">
        <f t="shared" si="7"/>
        <v>72.387970497795365</v>
      </c>
      <c r="P23" s="47">
        <f t="shared" si="7"/>
        <v>74.446112242704089</v>
      </c>
      <c r="Q23" s="47">
        <f t="shared" si="7"/>
        <v>79.00231743152068</v>
      </c>
      <c r="R23" s="47">
        <f t="shared" si="7"/>
        <v>80.416186244417077</v>
      </c>
      <c r="S23" s="47">
        <f t="shared" si="7"/>
        <v>82.962919527089326</v>
      </c>
      <c r="T23" s="47">
        <f t="shared" si="7"/>
        <v>84.310451612295907</v>
      </c>
      <c r="U23" s="47">
        <f t="shared" si="7"/>
        <v>85.818960111820047</v>
      </c>
      <c r="V23" s="47">
        <f t="shared" si="7"/>
        <v>86.951923818759923</v>
      </c>
    </row>
    <row r="25" spans="2:22">
      <c r="B25" t="s">
        <v>1018</v>
      </c>
      <c r="I25" s="49">
        <f>SUM(J25:V25)</f>
        <v>-250.65377819511613</v>
      </c>
      <c r="J25" s="1">
        <f>SUM(Output_Sapphire!J36*$D$2,Output_FSL!J51)/USD_IDR*Thousands</f>
        <v>-18.153892555114371</v>
      </c>
      <c r="K25" s="1">
        <f>SUM(Output_Sapphire!K36*$D$2,Output_FSL!K51)/USD_IDR*Thousands</f>
        <v>-20.522575172579256</v>
      </c>
      <c r="L25" s="1">
        <f>SUM(Output_Sapphire!L36*$D$2,Output_FSL!L51)/USD_IDR*Thousands</f>
        <v>-22.303584623615897</v>
      </c>
      <c r="M25" s="1">
        <f>SUM(Output_Sapphire!M36*$D$2,Output_FSL!M51)/USD_IDR*Thousands</f>
        <v>-22.867589405915069</v>
      </c>
      <c r="N25" s="1">
        <f>SUM(Output_Sapphire!N36*$D$2,Output_FSL!N51)/USD_IDR*Thousands</f>
        <v>-22.041096222768886</v>
      </c>
      <c r="O25" s="1">
        <f>SUM(Output_Sapphire!O36*$D$2,Output_FSL!O51)/USD_IDR*Thousands</f>
        <v>-21.758817224530329</v>
      </c>
      <c r="P25" s="1">
        <f>SUM(Output_Sapphire!P36*$D$2,Output_FSL!P51)/USD_IDR*Thousands</f>
        <v>-19.847283669997459</v>
      </c>
      <c r="Q25" s="1">
        <f>SUM(Output_Sapphire!Q36*$D$2,Output_FSL!Q51)/USD_IDR*Thousands</f>
        <v>-19.866286736104644</v>
      </c>
      <c r="R25" s="1">
        <f>SUM(Output_Sapphire!R36*$D$2,Output_FSL!R51)/USD_IDR*Thousands</f>
        <v>-17.333810041830926</v>
      </c>
      <c r="S25" s="1">
        <f>SUM(Output_Sapphire!S36*$D$2,Output_FSL!S51)/USD_IDR*Thousands</f>
        <v>-16.670388701467616</v>
      </c>
      <c r="T25" s="1">
        <f>SUM(Output_Sapphire!T36*$D$2,Output_FSL!T51)/USD_IDR*Thousands</f>
        <v>-16.090726586427671</v>
      </c>
      <c r="U25" s="1">
        <f>SUM(Output_Sapphire!U36*$D$2,Output_FSL!U51)/USD_IDR*Thousands</f>
        <v>-16.417184241251523</v>
      </c>
      <c r="V25" s="1">
        <f>SUM(Output_Sapphire!V36*$D$2,Output_FSL!V51)/USD_IDR*Thousands</f>
        <v>-16.78054301351246</v>
      </c>
    </row>
    <row r="26" spans="2:22">
      <c r="B26" s="28" t="s">
        <v>434</v>
      </c>
      <c r="C26" s="28"/>
      <c r="D26" s="28"/>
      <c r="E26" s="28"/>
      <c r="F26" s="28"/>
      <c r="G26" s="28"/>
      <c r="H26" s="28"/>
      <c r="I26" s="49">
        <f>SUM(J26:V26)</f>
        <v>691.05664681545557</v>
      </c>
      <c r="J26" s="47">
        <f>SUM(J23,J25)</f>
        <v>25.506450230183088</v>
      </c>
      <c r="K26" s="47">
        <f t="shared" ref="K26:V26" si="8">SUM(K23,K25)</f>
        <v>33.443519741575329</v>
      </c>
      <c r="L26" s="47">
        <f t="shared" si="8"/>
        <v>39.527973201850159</v>
      </c>
      <c r="M26" s="47">
        <f t="shared" si="8"/>
        <v>43.763098164313845</v>
      </c>
      <c r="N26" s="47">
        <f t="shared" si="8"/>
        <v>47.28380420625335</v>
      </c>
      <c r="O26" s="47">
        <f t="shared" si="8"/>
        <v>50.629153273265032</v>
      </c>
      <c r="P26" s="47">
        <f t="shared" si="8"/>
        <v>54.59882857270663</v>
      </c>
      <c r="Q26" s="47">
        <f t="shared" si="8"/>
        <v>59.136030695416039</v>
      </c>
      <c r="R26" s="47">
        <f t="shared" si="8"/>
        <v>63.082376202586147</v>
      </c>
      <c r="S26" s="47">
        <f t="shared" si="8"/>
        <v>66.292530825621711</v>
      </c>
      <c r="T26" s="47">
        <f t="shared" si="8"/>
        <v>68.219725025868229</v>
      </c>
      <c r="U26" s="47">
        <f t="shared" si="8"/>
        <v>69.401775870568528</v>
      </c>
      <c r="V26" s="47">
        <f t="shared" si="8"/>
        <v>70.171380805247466</v>
      </c>
    </row>
    <row r="27" spans="2:22"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</row>
    <row r="28" spans="2:22">
      <c r="B28" t="s">
        <v>881</v>
      </c>
      <c r="I28" s="48">
        <f>SUM(J28:V28)</f>
        <v>-21.464577663414122</v>
      </c>
      <c r="J28" s="1">
        <f>SUM(Output_Sapphire!J39*$D$2,Output_FSL!J54)/USD_IDR*Thousands</f>
        <v>-3.9374672928165384</v>
      </c>
      <c r="K28" s="1">
        <f>SUM(Output_Sapphire!K39*$D$2,Output_FSL!K54)/USD_IDR*Thousands</f>
        <v>-3.9215770167703443</v>
      </c>
      <c r="L28" s="1">
        <f>SUM(Output_Sapphire!L39*$D$2,Output_FSL!L54)/USD_IDR*Thousands</f>
        <v>-2.5478020288964034</v>
      </c>
      <c r="M28" s="1">
        <f>SUM(Output_Sapphire!M39*$D$2,Output_FSL!M54)/USD_IDR*Thousands</f>
        <v>-1.9364279126959731</v>
      </c>
      <c r="N28" s="1">
        <f>SUM(Output_Sapphire!N39*$D$2,Output_FSL!N54)/USD_IDR*Thousands</f>
        <v>-1.4689209960036889</v>
      </c>
      <c r="O28" s="1">
        <f>SUM(Output_Sapphire!O39*$D$2,Output_FSL!O54)/USD_IDR*Thousands</f>
        <v>-1.1996925914540424</v>
      </c>
      <c r="P28" s="1">
        <f>SUM(Output_Sapphire!P39*$D$2,Output_FSL!P54)/USD_IDR*Thousands</f>
        <v>-1.015493390716262</v>
      </c>
      <c r="Q28" s="1">
        <f>SUM(Output_Sapphire!Q39*$D$2,Output_FSL!Q54)/USD_IDR*Thousands</f>
        <v>-0.95929910851521683</v>
      </c>
      <c r="R28" s="1">
        <f>SUM(Output_Sapphire!R39*$D$2,Output_FSL!R54)/USD_IDR*Thousands</f>
        <v>-0.87697509990777733</v>
      </c>
      <c r="S28" s="1">
        <f>SUM(Output_Sapphire!S39*$D$2,Output_FSL!S54)/USD_IDR*Thousands</f>
        <v>-0.84395942207193364</v>
      </c>
      <c r="T28" s="1">
        <f>SUM(Output_Sapphire!T39*$D$2,Output_FSL!T54)/USD_IDR*Thousands</f>
        <v>-0.88718106363356908</v>
      </c>
      <c r="U28" s="1">
        <f>SUM(Output_Sapphire!U39*$D$2,Output_FSL!U54)/USD_IDR*Thousands</f>
        <v>-0.9221026744543499</v>
      </c>
      <c r="V28" s="1">
        <f>SUM(Output_Sapphire!V39*$D$2,Output_FSL!V54)/USD_IDR*Thousands</f>
        <v>-0.94767906547802039</v>
      </c>
    </row>
    <row r="29" spans="2:22">
      <c r="B29" s="28" t="s">
        <v>1019</v>
      </c>
      <c r="C29" s="28"/>
      <c r="D29" s="28"/>
      <c r="E29" s="28"/>
      <c r="F29" s="28"/>
      <c r="G29" s="28"/>
      <c r="H29" s="28"/>
      <c r="I29" s="48">
        <f>SUM(J29:V29)</f>
        <v>669.5920691520414</v>
      </c>
      <c r="J29" s="47">
        <f>SUM(J26,J28)</f>
        <v>21.568982937366549</v>
      </c>
      <c r="K29" s="47">
        <f t="shared" ref="K29:V29" si="9">SUM(K26,K28)</f>
        <v>29.521942724804987</v>
      </c>
      <c r="L29" s="47">
        <f t="shared" si="9"/>
        <v>36.980171172953753</v>
      </c>
      <c r="M29" s="47">
        <f t="shared" si="9"/>
        <v>41.82667025161787</v>
      </c>
      <c r="N29" s="47">
        <f t="shared" si="9"/>
        <v>45.814883210249661</v>
      </c>
      <c r="O29" s="47">
        <f t="shared" si="9"/>
        <v>49.429460681810987</v>
      </c>
      <c r="P29" s="47">
        <f t="shared" si="9"/>
        <v>53.583335181990371</v>
      </c>
      <c r="Q29" s="47">
        <f t="shared" si="9"/>
        <v>58.176731586900821</v>
      </c>
      <c r="R29" s="47">
        <f t="shared" si="9"/>
        <v>62.205401102678373</v>
      </c>
      <c r="S29" s="47">
        <f t="shared" si="9"/>
        <v>65.448571403549778</v>
      </c>
      <c r="T29" s="47">
        <f t="shared" si="9"/>
        <v>67.332543962234666</v>
      </c>
      <c r="U29" s="47">
        <f t="shared" si="9"/>
        <v>68.479673196114177</v>
      </c>
      <c r="V29" s="47">
        <f t="shared" si="9"/>
        <v>69.223701739769439</v>
      </c>
    </row>
    <row r="30" spans="2:22"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</row>
    <row r="31" spans="2:22">
      <c r="B31" t="s">
        <v>759</v>
      </c>
      <c r="I31" s="48">
        <f>SUM(J31:V31)</f>
        <v>-148.46544360437727</v>
      </c>
      <c r="J31" s="23">
        <f>SUM(Output_Sapphire!J42*$D$2,Output_FSL!J57)/USD_IDR*Thousands</f>
        <v>-5.155637473865835</v>
      </c>
      <c r="K31" s="23">
        <f>SUM(Output_Sapphire!K42*$D$2,Output_FSL!K57)/USD_IDR*Thousands</f>
        <v>-6.764175981488485</v>
      </c>
      <c r="L31" s="23">
        <f>SUM(Output_Sapphire!L42*$D$2,Output_FSL!L57)/USD_IDR*Thousands</f>
        <v>-8.3855302546283266</v>
      </c>
      <c r="M31" s="23">
        <f>SUM(Output_Sapphire!M42*$D$2,Output_FSL!M57)/USD_IDR*Thousands</f>
        <v>-9.3113894615864456</v>
      </c>
      <c r="N31" s="23">
        <f>SUM(Output_Sapphire!N42*$D$2,Output_FSL!N57)/USD_IDR*Thousands</f>
        <v>-10.177498030842237</v>
      </c>
      <c r="O31" s="23">
        <f>SUM(Output_Sapphire!O42*$D$2,Output_FSL!O57)/USD_IDR*Thousands</f>
        <v>-10.890452826069419</v>
      </c>
      <c r="P31" s="23">
        <f>SUM(Output_Sapphire!P42*$D$2,Output_FSL!P57)/USD_IDR*Thousands</f>
        <v>-11.790102517822138</v>
      </c>
      <c r="Q31" s="23">
        <f>SUM(Output_Sapphire!Q42*$D$2,Output_FSL!Q57)/USD_IDR*Thousands</f>
        <v>-12.798880949118177</v>
      </c>
      <c r="R31" s="23">
        <f>SUM(Output_Sapphire!R42*$D$2,Output_FSL!R57)/USD_IDR*Thousands</f>
        <v>-13.685188242589239</v>
      </c>
      <c r="S31" s="23">
        <f>SUM(Output_Sapphire!S42*$D$2,Output_FSL!S57)/USD_IDR*Thousands</f>
        <v>-14.398685708780958</v>
      </c>
      <c r="T31" s="23">
        <f>SUM(Output_Sapphire!T42*$D$2,Output_FSL!T57)/USD_IDR*Thousands</f>
        <v>-14.813159671691624</v>
      </c>
      <c r="U31" s="23">
        <f>SUM(Output_Sapphire!U42*$D$2,Output_FSL!U57)/USD_IDR*Thousands</f>
        <v>-15.065528103145123</v>
      </c>
      <c r="V31" s="23">
        <f>SUM(Output_Sapphire!V42*$D$2,Output_FSL!V57)/USD_IDR*Thousands</f>
        <v>-15.229214382749285</v>
      </c>
    </row>
    <row r="32" spans="2:22">
      <c r="B32" s="28" t="s">
        <v>1020</v>
      </c>
      <c r="C32" s="28"/>
      <c r="D32" s="28"/>
      <c r="E32" s="28"/>
      <c r="F32" s="28"/>
      <c r="G32" s="28"/>
      <c r="H32" s="28"/>
      <c r="I32" s="48">
        <f>SUM(J32:V32)</f>
        <v>521.12662554766416</v>
      </c>
      <c r="J32" s="47">
        <f>SUM(J29,J31)</f>
        <v>16.413345463500715</v>
      </c>
      <c r="K32" s="47">
        <f t="shared" ref="K32:V32" si="10">SUM(K29,K31)</f>
        <v>22.757766743316502</v>
      </c>
      <c r="L32" s="47">
        <f t="shared" si="10"/>
        <v>28.594640918325425</v>
      </c>
      <c r="M32" s="47">
        <f t="shared" si="10"/>
        <v>32.515280790031426</v>
      </c>
      <c r="N32" s="47">
        <f t="shared" si="10"/>
        <v>35.637385179407424</v>
      </c>
      <c r="O32" s="47">
        <f t="shared" si="10"/>
        <v>38.539007855741566</v>
      </c>
      <c r="P32" s="47">
        <f t="shared" si="10"/>
        <v>41.793232664168229</v>
      </c>
      <c r="Q32" s="47">
        <f t="shared" si="10"/>
        <v>45.377850637782643</v>
      </c>
      <c r="R32" s="47">
        <f t="shared" si="10"/>
        <v>48.520212860089131</v>
      </c>
      <c r="S32" s="47">
        <f t="shared" si="10"/>
        <v>51.049885694768818</v>
      </c>
      <c r="T32" s="47">
        <f t="shared" si="10"/>
        <v>52.519384290543044</v>
      </c>
      <c r="U32" s="47">
        <f t="shared" si="10"/>
        <v>53.414145092969051</v>
      </c>
      <c r="V32" s="47">
        <f t="shared" si="10"/>
        <v>53.994487357020155</v>
      </c>
    </row>
    <row r="34" spans="2:22">
      <c r="B34" t="s">
        <v>259</v>
      </c>
      <c r="J34">
        <f>SUM($J$32:J32)*J12</f>
        <v>16.413345463500715</v>
      </c>
      <c r="K34">
        <f>SUM($J$32:K32)*K12</f>
        <v>39.171112206817213</v>
      </c>
      <c r="L34">
        <f>SUM($J$32:L32)*L12</f>
        <v>67.765753125142638</v>
      </c>
      <c r="M34">
        <f>SUM($J$32:M32)*M12</f>
        <v>100.28103391517406</v>
      </c>
      <c r="N34">
        <f>SUM($J$32:N32)*N12</f>
        <v>135.91841909458148</v>
      </c>
      <c r="O34">
        <f>SUM($J$32:O32)*O12</f>
        <v>174.45742695032305</v>
      </c>
      <c r="P34">
        <f>SUM($J$32:P32)*P12</f>
        <v>216.25065961449127</v>
      </c>
      <c r="Q34">
        <f>SUM($J$32:Q32)*Q12</f>
        <v>261.62851025227394</v>
      </c>
      <c r="R34">
        <f>SUM($J$32:R32)*R12</f>
        <v>310.14872311236309</v>
      </c>
      <c r="S34">
        <f>SUM($J$32:S32)*S12</f>
        <v>361.1986088071319</v>
      </c>
      <c r="T34">
        <f>SUM($J$32:T32)*T12</f>
        <v>413.71799309767493</v>
      </c>
      <c r="U34">
        <f>SUM($J$32:U32)*U12</f>
        <v>467.13213819064401</v>
      </c>
      <c r="V34">
        <f>SUM($J$32:V32)*V12</f>
        <v>521.12662554766416</v>
      </c>
    </row>
    <row r="36" spans="2:22">
      <c r="B36" s="407" t="s">
        <v>32</v>
      </c>
      <c r="C36" s="407"/>
      <c r="D36" s="407"/>
      <c r="E36" s="407"/>
      <c r="F36" s="407"/>
      <c r="G36" s="407"/>
      <c r="H36" s="407"/>
      <c r="I36" s="407"/>
      <c r="J36" s="9">
        <f t="shared" ref="J36:V36" si="11">J8</f>
        <v>2024</v>
      </c>
      <c r="K36" s="9">
        <f t="shared" si="11"/>
        <v>2025</v>
      </c>
      <c r="L36" s="9">
        <f t="shared" si="11"/>
        <v>2026</v>
      </c>
      <c r="M36" s="9">
        <f t="shared" si="11"/>
        <v>2027</v>
      </c>
      <c r="N36" s="9">
        <f t="shared" si="11"/>
        <v>2028</v>
      </c>
      <c r="O36" s="9">
        <f t="shared" si="11"/>
        <v>2029</v>
      </c>
      <c r="P36" s="9">
        <f t="shared" si="11"/>
        <v>2030</v>
      </c>
      <c r="Q36" s="9">
        <f t="shared" si="11"/>
        <v>2031</v>
      </c>
      <c r="R36" s="9">
        <f t="shared" si="11"/>
        <v>2032</v>
      </c>
      <c r="S36" s="9">
        <f t="shared" si="11"/>
        <v>2033</v>
      </c>
      <c r="T36" s="9">
        <f t="shared" si="11"/>
        <v>2034</v>
      </c>
      <c r="U36" s="9">
        <f t="shared" si="11"/>
        <v>2035</v>
      </c>
      <c r="V36" s="9">
        <f t="shared" si="11"/>
        <v>2036</v>
      </c>
    </row>
    <row r="37" spans="2:22">
      <c r="B37" s="55" t="s">
        <v>1021</v>
      </c>
      <c r="C37" s="51"/>
      <c r="D37" s="51"/>
      <c r="E37" s="51"/>
      <c r="F37" s="51"/>
      <c r="G37" s="51"/>
      <c r="H37" s="51"/>
      <c r="I37" s="51"/>
      <c r="J37" s="56">
        <f>IFERROR(J20/J18,0)</f>
        <v>0.40659137368530018</v>
      </c>
      <c r="K37" s="56">
        <f t="shared" ref="K37:V37" si="12">IFERROR(K20/K18,0)</f>
        <v>0.43623363591787817</v>
      </c>
      <c r="L37" s="56">
        <f t="shared" si="12"/>
        <v>0.47380372912635682</v>
      </c>
      <c r="M37" s="56">
        <f t="shared" si="12"/>
        <v>0.49312222507288428</v>
      </c>
      <c r="N37" s="56">
        <f t="shared" si="12"/>
        <v>0.50002235416308649</v>
      </c>
      <c r="O37" s="56">
        <f t="shared" si="12"/>
        <v>0.5082349436735466</v>
      </c>
      <c r="P37" s="56">
        <f t="shared" si="12"/>
        <v>0.50861568150601488</v>
      </c>
      <c r="Q37" s="56">
        <f t="shared" si="12"/>
        <v>0.51067486753463309</v>
      </c>
      <c r="R37" s="56">
        <f t="shared" si="12"/>
        <v>0.51423849766164265</v>
      </c>
      <c r="S37" s="56">
        <f t="shared" si="12"/>
        <v>0.51982144801116792</v>
      </c>
      <c r="T37" s="56">
        <f t="shared" si="12"/>
        <v>0.52308867672830672</v>
      </c>
      <c r="U37" s="56">
        <f t="shared" si="12"/>
        <v>0.51801125374077206</v>
      </c>
      <c r="V37" s="56">
        <f t="shared" si="12"/>
        <v>0.51973890479136309</v>
      </c>
    </row>
    <row r="38" spans="2:22">
      <c r="B38" s="55" t="s">
        <v>1022</v>
      </c>
      <c r="C38" s="51"/>
      <c r="D38" s="51"/>
      <c r="E38" s="51"/>
      <c r="F38" s="51"/>
      <c r="G38" s="51"/>
      <c r="H38" s="51"/>
      <c r="I38" s="51"/>
      <c r="J38" s="56">
        <f>IFERROR(J23/J18,0)</f>
        <v>0.30414104736252034</v>
      </c>
      <c r="K38" s="56">
        <f t="shared" ref="K38:V38" si="13">IFERROR(K23/K18,0)</f>
        <v>0.3348430510265728</v>
      </c>
      <c r="L38" s="56">
        <f t="shared" si="13"/>
        <v>0.34736891594493946</v>
      </c>
      <c r="M38" s="56">
        <f t="shared" si="13"/>
        <v>0.35750005626879106</v>
      </c>
      <c r="N38" s="56">
        <f t="shared" si="13"/>
        <v>0.36079804495902412</v>
      </c>
      <c r="O38" s="56">
        <f t="shared" si="13"/>
        <v>0.36671891841428278</v>
      </c>
      <c r="P38" s="56">
        <f t="shared" si="13"/>
        <v>0.36623913671708958</v>
      </c>
      <c r="Q38" s="56">
        <f t="shared" si="13"/>
        <v>0.36980365238642549</v>
      </c>
      <c r="R38" s="56">
        <f t="shared" si="13"/>
        <v>0.37076805667651175</v>
      </c>
      <c r="S38" s="56">
        <f t="shared" si="13"/>
        <v>0.37403916198320603</v>
      </c>
      <c r="T38" s="56">
        <f t="shared" si="13"/>
        <v>0.3745537664761821</v>
      </c>
      <c r="U38" s="56">
        <f t="shared" si="13"/>
        <v>0.3700039952582917</v>
      </c>
      <c r="V38" s="56">
        <f t="shared" si="13"/>
        <v>0.36919542418993284</v>
      </c>
    </row>
    <row r="39" spans="2:22">
      <c r="B39" s="55" t="s">
        <v>990</v>
      </c>
      <c r="C39" s="51"/>
      <c r="D39" s="51"/>
      <c r="E39" s="51"/>
      <c r="F39" s="51"/>
      <c r="G39" s="51"/>
      <c r="H39" s="51"/>
      <c r="I39" s="51"/>
      <c r="J39" s="52">
        <f>IFERROR(J32/J18,0)</f>
        <v>0.11433652970935944</v>
      </c>
      <c r="K39" s="52">
        <f t="shared" ref="K39:V39" si="14">IFERROR(K32/K18,0)</f>
        <v>0.14120495587099577</v>
      </c>
      <c r="L39" s="52">
        <f t="shared" si="14"/>
        <v>0.16064433384763491</v>
      </c>
      <c r="M39" s="52">
        <f t="shared" si="14"/>
        <v>0.17445737296016681</v>
      </c>
      <c r="N39" s="52">
        <f t="shared" si="14"/>
        <v>0.1854730236986977</v>
      </c>
      <c r="O39" s="52">
        <f t="shared" si="14"/>
        <v>0.19523939102626903</v>
      </c>
      <c r="P39" s="52">
        <f t="shared" si="14"/>
        <v>0.20560264317955035</v>
      </c>
      <c r="Q39" s="52">
        <f t="shared" si="14"/>
        <v>0.21241016021895071</v>
      </c>
      <c r="R39" s="52">
        <f t="shared" si="14"/>
        <v>0.22370801043695213</v>
      </c>
      <c r="S39" s="52">
        <f t="shared" si="14"/>
        <v>0.23015892610161742</v>
      </c>
      <c r="T39" s="52">
        <f t="shared" si="14"/>
        <v>0.23332022095542948</v>
      </c>
      <c r="U39" s="52">
        <f t="shared" si="14"/>
        <v>0.23029231607972561</v>
      </c>
      <c r="V39" s="52">
        <f t="shared" si="14"/>
        <v>0.22925907545466107</v>
      </c>
    </row>
    <row r="41" spans="2:22" ht="24" thickBot="1">
      <c r="B41" s="14" t="s">
        <v>1050</v>
      </c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</row>
    <row r="43" spans="2:22" ht="15.75">
      <c r="B43" s="15" t="s">
        <v>1051</v>
      </c>
    </row>
    <row r="44" spans="2:22">
      <c r="B44" s="407" t="s">
        <v>334</v>
      </c>
      <c r="J44" s="1">
        <f>J32</f>
        <v>16.413345463500715</v>
      </c>
      <c r="K44" s="1">
        <f t="shared" ref="K44:V44" si="15">K32</f>
        <v>22.757766743316502</v>
      </c>
      <c r="L44" s="1">
        <f t="shared" si="15"/>
        <v>28.594640918325425</v>
      </c>
      <c r="M44" s="1">
        <f t="shared" si="15"/>
        <v>32.515280790031426</v>
      </c>
      <c r="N44" s="1">
        <f t="shared" si="15"/>
        <v>35.637385179407424</v>
      </c>
      <c r="O44" s="1">
        <f t="shared" si="15"/>
        <v>38.539007855741566</v>
      </c>
      <c r="P44" s="1">
        <f t="shared" si="15"/>
        <v>41.793232664168229</v>
      </c>
      <c r="Q44" s="1">
        <f t="shared" si="15"/>
        <v>45.377850637782643</v>
      </c>
      <c r="R44" s="1">
        <f t="shared" si="15"/>
        <v>48.520212860089131</v>
      </c>
      <c r="S44" s="1">
        <f t="shared" si="15"/>
        <v>51.049885694768818</v>
      </c>
      <c r="T44" s="1">
        <f t="shared" si="15"/>
        <v>52.519384290543044</v>
      </c>
      <c r="U44" s="1">
        <f t="shared" si="15"/>
        <v>53.414145092969051</v>
      </c>
      <c r="V44" s="1">
        <f t="shared" si="15"/>
        <v>53.994487357020155</v>
      </c>
    </row>
    <row r="45" spans="2:22">
      <c r="B45" s="407" t="s">
        <v>492</v>
      </c>
      <c r="J45" s="1">
        <f>-J25</f>
        <v>18.153892555114371</v>
      </c>
      <c r="K45" s="1">
        <f t="shared" ref="K45:V45" si="16">-K25</f>
        <v>20.522575172579256</v>
      </c>
      <c r="L45" s="1">
        <f t="shared" si="16"/>
        <v>22.303584623615897</v>
      </c>
      <c r="M45" s="1">
        <f t="shared" si="16"/>
        <v>22.867589405915069</v>
      </c>
      <c r="N45" s="1">
        <f t="shared" si="16"/>
        <v>22.041096222768886</v>
      </c>
      <c r="O45" s="1">
        <f t="shared" si="16"/>
        <v>21.758817224530329</v>
      </c>
      <c r="P45" s="1">
        <f t="shared" si="16"/>
        <v>19.847283669997459</v>
      </c>
      <c r="Q45" s="1">
        <f t="shared" si="16"/>
        <v>19.866286736104644</v>
      </c>
      <c r="R45" s="1">
        <f t="shared" si="16"/>
        <v>17.333810041830926</v>
      </c>
      <c r="S45" s="1">
        <f t="shared" si="16"/>
        <v>16.670388701467616</v>
      </c>
      <c r="T45" s="1">
        <f t="shared" si="16"/>
        <v>16.090726586427671</v>
      </c>
      <c r="U45" s="1">
        <f t="shared" si="16"/>
        <v>16.417184241251523</v>
      </c>
      <c r="V45" s="1">
        <f t="shared" si="16"/>
        <v>16.78054301351246</v>
      </c>
    </row>
    <row r="46" spans="2:22">
      <c r="B46" s="407" t="s">
        <v>1052</v>
      </c>
      <c r="J46" s="23">
        <f>SUM(Output_Sapphire!J57*$D$2,Output_FSL!J72)/USD_IDR*Thousands</f>
        <v>-0.85231854291600151</v>
      </c>
      <c r="K46" s="23">
        <f>SUM(Output_Sapphire!K57*$D$2,Output_FSL!K72)/USD_IDR*Thousands</f>
        <v>-1.9307210942900093</v>
      </c>
      <c r="L46" s="23">
        <f>SUM(Output_Sapphire!L57*$D$2,Output_FSL!L72)/USD_IDR*Thousands</f>
        <v>-1.9535694805829202</v>
      </c>
      <c r="M46" s="23">
        <f>SUM(Output_Sapphire!M57*$D$2,Output_FSL!M72)/USD_IDR*Thousands</f>
        <v>-0.98416593884499193</v>
      </c>
      <c r="N46" s="23">
        <f>SUM(Output_Sapphire!N57*$D$2,Output_FSL!N72)/USD_IDR*Thousands</f>
        <v>-0.58013087867714086</v>
      </c>
      <c r="O46" s="23">
        <f>SUM(Output_Sapphire!O57*$D$2,Output_FSL!O72)/USD_IDR*Thousands</f>
        <v>-0.59046279811946234</v>
      </c>
      <c r="P46" s="23">
        <f>SUM(Output_Sapphire!P57*$D$2,Output_FSL!P72)/USD_IDR*Thousands</f>
        <v>-0.55917691380024603</v>
      </c>
      <c r="Q46" s="23">
        <f>SUM(Output_Sapphire!Q57*$D$2,Output_FSL!Q72)/USD_IDR*Thousands</f>
        <v>-1.0319663173990987</v>
      </c>
      <c r="R46" s="23">
        <f>SUM(Output_Sapphire!R57*$D$2,Output_FSL!R72)/USD_IDR*Thousands</f>
        <v>-0.33636850876793084</v>
      </c>
      <c r="S46" s="23">
        <f>SUM(Output_Sapphire!S57*$D$2,Output_FSL!S72)/USD_IDR*Thousands</f>
        <v>-0.53908738213036234</v>
      </c>
      <c r="T46" s="23">
        <f>SUM(Output_Sapphire!T57*$D$2,Output_FSL!T72)/USD_IDR*Thousands</f>
        <v>-0.33491136618642375</v>
      </c>
      <c r="U46" s="23">
        <f>SUM(Output_Sapphire!U57*$D$2,Output_FSL!U72)/USD_IDR*Thousands</f>
        <v>-0.61042878974043635</v>
      </c>
      <c r="V46" s="23">
        <f>SUM(Output_Sapphire!V57*$D$2,Output_FSL!V72)/USD_IDR*Thousands</f>
        <v>-0.32828890315446713</v>
      </c>
    </row>
    <row r="47" spans="2:22">
      <c r="B47" s="28" t="s">
        <v>1053</v>
      </c>
      <c r="C47" s="28"/>
      <c r="D47" s="28"/>
      <c r="E47" s="28"/>
      <c r="F47" s="28"/>
      <c r="G47" s="28"/>
      <c r="H47" s="28"/>
      <c r="I47" s="28"/>
      <c r="J47" s="47">
        <f>SUM(J44:J46)</f>
        <v>33.714919475699084</v>
      </c>
      <c r="K47" s="47">
        <f t="shared" ref="K47:V47" si="17">SUM(K44:K46)</f>
        <v>41.349620821605754</v>
      </c>
      <c r="L47" s="47">
        <f t="shared" si="17"/>
        <v>48.944656061358401</v>
      </c>
      <c r="M47" s="47">
        <f t="shared" si="17"/>
        <v>54.3987042571015</v>
      </c>
      <c r="N47" s="47">
        <f t="shared" si="17"/>
        <v>57.098350523499171</v>
      </c>
      <c r="O47" s="47">
        <f t="shared" si="17"/>
        <v>59.707362282152431</v>
      </c>
      <c r="P47" s="47">
        <f t="shared" si="17"/>
        <v>61.081339420365445</v>
      </c>
      <c r="Q47" s="47">
        <f t="shared" si="17"/>
        <v>64.212171056488188</v>
      </c>
      <c r="R47" s="47">
        <f t="shared" si="17"/>
        <v>65.517654393152128</v>
      </c>
      <c r="S47" s="47">
        <f t="shared" si="17"/>
        <v>67.181187014106072</v>
      </c>
      <c r="T47" s="47">
        <f t="shared" si="17"/>
        <v>68.27519951078429</v>
      </c>
      <c r="U47" s="47">
        <f t="shared" si="17"/>
        <v>69.220900544480131</v>
      </c>
      <c r="V47" s="47">
        <f t="shared" si="17"/>
        <v>70.446741467378146</v>
      </c>
    </row>
    <row r="49" spans="2:22" ht="15.75">
      <c r="B49" s="15" t="s">
        <v>1054</v>
      </c>
    </row>
    <row r="50" spans="2:22">
      <c r="B50" s="407" t="s">
        <v>1074</v>
      </c>
      <c r="J50" s="23">
        <f>Output_Consol_IDR!J50/USD_IDR*Thousands</f>
        <v>0</v>
      </c>
      <c r="K50" s="23">
        <f>Output_Consol_IDR!K50/USD_IDR*Thousands</f>
        <v>0</v>
      </c>
      <c r="L50" s="23">
        <f>Output_Consol_IDR!L50/USD_IDR*Thousands</f>
        <v>0</v>
      </c>
      <c r="M50" s="23">
        <f>Output_Consol_IDR!M50/USD_IDR*Thousands</f>
        <v>0</v>
      </c>
      <c r="N50" s="23">
        <f>Output_Consol_IDR!N50/USD_IDR*Thousands</f>
        <v>0</v>
      </c>
      <c r="O50" s="23">
        <f>Output_Consol_IDR!O50/USD_IDR*Thousands</f>
        <v>0</v>
      </c>
      <c r="P50" s="23">
        <f>Output_Consol_IDR!P50/USD_IDR*Thousands</f>
        <v>0</v>
      </c>
      <c r="Q50" s="23">
        <f>Output_Consol_IDR!Q50/USD_IDR*Thousands</f>
        <v>0</v>
      </c>
      <c r="R50" s="23">
        <f>Output_Consol_IDR!R50/USD_IDR*Thousands</f>
        <v>0</v>
      </c>
      <c r="S50" s="23">
        <f>Output_Consol_IDR!S50/USD_IDR*Thousands</f>
        <v>0</v>
      </c>
      <c r="T50" s="23">
        <f>Output_Consol_IDR!T50/USD_IDR*Thousands</f>
        <v>0</v>
      </c>
      <c r="U50" s="23">
        <f>Output_Consol_IDR!U50/USD_IDR*Thousands</f>
        <v>0</v>
      </c>
      <c r="V50" s="23">
        <f>Output_Consol_IDR!V50/USD_IDR*Thousands</f>
        <v>0</v>
      </c>
    </row>
    <row r="51" spans="2:22">
      <c r="B51" t="s">
        <v>1056</v>
      </c>
      <c r="J51" s="23">
        <f>SUM(Output_Sapphire!J62*$D$2,Output_FSL!J77)/USD_IDR*Thousands</f>
        <v>-20.814048570550263</v>
      </c>
      <c r="K51" s="23">
        <f>SUM(Output_Sapphire!K62*$D$2,Output_FSL!K77)/USD_IDR*Thousands</f>
        <v>-11.63470642483861</v>
      </c>
      <c r="L51" s="23">
        <f>SUM(Output_Sapphire!L62*$D$2,Output_FSL!L77)/USD_IDR*Thousands</f>
        <v>-34.188258823357195</v>
      </c>
      <c r="M51" s="23">
        <f>SUM(Output_Sapphire!M62*$D$2,Output_FSL!M77)/USD_IDR*Thousands</f>
        <v>-15.401391023670458</v>
      </c>
      <c r="N51" s="23">
        <f>SUM(Output_Sapphire!N62*$D$2,Output_FSL!N77)/USD_IDR*Thousands</f>
        <v>-5.7854288349216105</v>
      </c>
      <c r="O51" s="23">
        <f>SUM(Output_Sapphire!O62*$D$2,Output_FSL!O77)/USD_IDR*Thousands</f>
        <v>-5.4103904088533659</v>
      </c>
      <c r="P51" s="23">
        <f>SUM(Output_Sapphire!P62*$D$2,Output_FSL!P77)/USD_IDR*Thousands</f>
        <v>-7.4208422994159235</v>
      </c>
      <c r="Q51" s="23">
        <f>SUM(Output_Sapphire!Q62*$D$2,Output_FSL!Q77)/USD_IDR*Thousands</f>
        <v>-6.6830617891177377</v>
      </c>
      <c r="R51" s="23">
        <f>SUM(Output_Sapphire!R62*$D$2,Output_FSL!R77)/USD_IDR*Thousands</f>
        <v>-4.9431294189978487</v>
      </c>
      <c r="S51" s="23">
        <f>SUM(Output_Sapphire!S62*$D$2,Output_FSL!S77)/USD_IDR*Thousands</f>
        <v>-7.2363971718413778</v>
      </c>
      <c r="T51" s="23">
        <f>SUM(Output_Sapphire!T62*$D$2,Output_FSL!T77)/USD_IDR*Thousands</f>
        <v>-7.3962496157393174</v>
      </c>
      <c r="U51" s="23">
        <f>SUM(Output_Sapphire!U62*$D$2,Output_FSL!U77)/USD_IDR*Thousands</f>
        <v>-7.5806947433138641</v>
      </c>
      <c r="V51" s="23">
        <f>SUM(Output_Sapphire!V62*$D$2,Output_FSL!V77)/USD_IDR*Thousands</f>
        <v>-7.7958807254841682</v>
      </c>
    </row>
    <row r="52" spans="2:22">
      <c r="B52" s="28" t="s">
        <v>1054</v>
      </c>
      <c r="C52" s="28"/>
      <c r="D52" s="28"/>
      <c r="E52" s="28"/>
      <c r="F52" s="28"/>
      <c r="G52" s="28"/>
      <c r="H52" s="28"/>
      <c r="I52" s="28"/>
      <c r="J52" s="28">
        <f>SUM(J51)</f>
        <v>-20.814048570550263</v>
      </c>
      <c r="K52" s="28">
        <f t="shared" ref="K52:V52" si="18">SUM(K51)</f>
        <v>-11.63470642483861</v>
      </c>
      <c r="L52" s="28">
        <f t="shared" si="18"/>
        <v>-34.188258823357195</v>
      </c>
      <c r="M52" s="28">
        <f t="shared" si="18"/>
        <v>-15.401391023670458</v>
      </c>
      <c r="N52" s="28">
        <f t="shared" si="18"/>
        <v>-5.7854288349216105</v>
      </c>
      <c r="O52" s="28">
        <f t="shared" si="18"/>
        <v>-5.4103904088533659</v>
      </c>
      <c r="P52" s="28">
        <f t="shared" si="18"/>
        <v>-7.4208422994159235</v>
      </c>
      <c r="Q52" s="28">
        <f t="shared" si="18"/>
        <v>-6.6830617891177377</v>
      </c>
      <c r="R52" s="28">
        <f t="shared" si="18"/>
        <v>-4.9431294189978487</v>
      </c>
      <c r="S52" s="28">
        <f t="shared" si="18"/>
        <v>-7.2363971718413778</v>
      </c>
      <c r="T52" s="28">
        <f t="shared" si="18"/>
        <v>-7.3962496157393174</v>
      </c>
      <c r="U52" s="28">
        <f t="shared" si="18"/>
        <v>-7.5806947433138641</v>
      </c>
      <c r="V52" s="28">
        <f t="shared" si="18"/>
        <v>-7.7958807254841682</v>
      </c>
    </row>
    <row r="54" spans="2:22" ht="15.75">
      <c r="B54" s="15" t="s">
        <v>1057</v>
      </c>
    </row>
    <row r="55" spans="2:22">
      <c r="B55" s="407" t="s">
        <v>1058</v>
      </c>
      <c r="J55" s="23">
        <f>SUM(Output_Sapphire!J66*$D$2,Output_FSL!J81)/USD_IDR*Thousands</f>
        <v>0</v>
      </c>
      <c r="K55" s="23">
        <f>SUM(Output_Sapphire!K66*$D$2,Output_FSL!K81)/USD_IDR*Thousands</f>
        <v>0</v>
      </c>
      <c r="L55" s="23">
        <f>SUM(Output_Sapphire!L66*$D$2,Output_FSL!L81)/USD_IDR*Thousands</f>
        <v>25.80830186055363</v>
      </c>
      <c r="M55" s="23">
        <f>SUM(Output_Sapphire!M66*$D$2,Output_FSL!M81)/USD_IDR*Thousands</f>
        <v>9.8372963418383037</v>
      </c>
      <c r="N55" s="23">
        <f>SUM(Output_Sapphire!N66*$D$2,Output_FSL!N81)/USD_IDR*Thousands</f>
        <v>0</v>
      </c>
      <c r="O55" s="23">
        <f>SUM(Output_Sapphire!O66*$D$2,Output_FSL!O81)/USD_IDR*Thousands</f>
        <v>0</v>
      </c>
      <c r="P55" s="23">
        <f>SUM(Output_Sapphire!P66*$D$2,Output_FSL!P81)/USD_IDR*Thousands</f>
        <v>0</v>
      </c>
      <c r="Q55" s="23">
        <f>SUM(Output_Sapphire!Q66*$D$2,Output_FSL!Q81)/USD_IDR*Thousands</f>
        <v>0</v>
      </c>
      <c r="R55" s="23">
        <f>SUM(Output_Sapphire!R66*$D$2,Output_FSL!R81)/USD_IDR*Thousands</f>
        <v>0</v>
      </c>
      <c r="S55" s="23">
        <f>SUM(Output_Sapphire!S66*$D$2,Output_FSL!S81)/USD_IDR*Thousands</f>
        <v>0</v>
      </c>
      <c r="T55" s="23">
        <f>SUM(Output_Sapphire!T66*$D$2,Output_FSL!T81)/USD_IDR*Thousands</f>
        <v>0</v>
      </c>
      <c r="U55" s="23">
        <f>SUM(Output_Sapphire!U66*$D$2,Output_FSL!U81)/USD_IDR*Thousands</f>
        <v>0</v>
      </c>
      <c r="V55" s="23">
        <f>SUM(Output_Sapphire!V66*$D$2,Output_FSL!V81)/USD_IDR*Thousands</f>
        <v>0</v>
      </c>
    </row>
    <row r="56" spans="2:22">
      <c r="B56" s="407" t="s">
        <v>1059</v>
      </c>
      <c r="J56" s="23">
        <f>SUM(Output_Sapphire!J67*$D$2,Output_FSL!J82)/USD_IDR*Thousands</f>
        <v>-4.4545013986326509</v>
      </c>
      <c r="K56" s="23">
        <f>SUM(Output_Sapphire!K67*$D$2,Output_FSL!K82)/USD_IDR*Thousands</f>
        <v>-12.952966492468491</v>
      </c>
      <c r="L56" s="23">
        <f>SUM(Output_Sapphire!L67*$D$2,Output_FSL!L82)/USD_IDR*Thousands</f>
        <v>-1.5277589916999692</v>
      </c>
      <c r="M56" s="23">
        <f>SUM(Output_Sapphire!M67*$D$2,Output_FSL!M82)/USD_IDR*Thousands</f>
        <v>-2.1081463264678759</v>
      </c>
      <c r="N56" s="23">
        <f>SUM(Output_Sapphire!N67*$D$2,Output_FSL!N82)/USD_IDR*Thousands</f>
        <v>-3.7567783584383645</v>
      </c>
      <c r="O56" s="23">
        <f>SUM(Output_Sapphire!O67*$D$2,Output_FSL!O82)/USD_IDR*Thousands</f>
        <v>-2.3340301260375038</v>
      </c>
      <c r="P56" s="23">
        <f>SUM(Output_Sapphire!P67*$D$2,Output_FSL!P82)/USD_IDR*Thousands</f>
        <v>-3.1292960344297573</v>
      </c>
      <c r="Q56" s="23">
        <f>SUM(Output_Sapphire!Q67*$D$2,Output_FSL!Q82)/USD_IDR*Thousands</f>
        <v>-1.3155241315708583</v>
      </c>
      <c r="R56" s="23">
        <f>SUM(Output_Sapphire!R67*$D$2,Output_FSL!R82)/USD_IDR*Thousands</f>
        <v>0</v>
      </c>
      <c r="S56" s="23">
        <f>SUM(Output_Sapphire!S67*$D$2,Output_FSL!S82)/USD_IDR*Thousands</f>
        <v>0</v>
      </c>
      <c r="T56" s="23">
        <f>SUM(Output_Sapphire!T67*$D$2,Output_FSL!T82)/USD_IDR*Thousands</f>
        <v>0</v>
      </c>
      <c r="U56" s="23">
        <f>SUM(Output_Sapphire!U67*$D$2,Output_FSL!U82)/USD_IDR*Thousands</f>
        <v>0</v>
      </c>
      <c r="V56" s="23">
        <f>SUM(Output_Sapphire!V67*$D$2,Output_FSL!V82)/USD_IDR*Thousands</f>
        <v>0</v>
      </c>
    </row>
    <row r="57" spans="2:22">
      <c r="B57" s="407" t="s">
        <v>1060</v>
      </c>
      <c r="J57" s="23">
        <f>SUM(Output_Sapphire!J68*$D$2,Output_FSL!J83)/USD_IDR*Thousands</f>
        <v>-0.38934537527342256</v>
      </c>
      <c r="K57" s="23">
        <f>SUM(Output_Sapphire!K68*$D$2,Output_FSL!K83)/USD_IDR*Thousands</f>
        <v>-1.0463095732161403</v>
      </c>
      <c r="L57" s="23">
        <f>SUM(Output_Sapphire!L68*$D$2,Output_FSL!L83)/USD_IDR*Thousands</f>
        <v>-2.8895350901728047</v>
      </c>
      <c r="M57" s="23">
        <f>SUM(Output_Sapphire!M68*$D$2,Output_FSL!M83)/USD_IDR*Thousands</f>
        <v>-4.0763356107096413</v>
      </c>
      <c r="N57" s="23">
        <f>SUM(Output_Sapphire!N68*$D$2,Output_FSL!N83)/USD_IDR*Thousands</f>
        <v>-4.6635470240344592</v>
      </c>
      <c r="O57" s="23">
        <f>SUM(Output_Sapphire!O68*$D$2,Output_FSL!O83)/USD_IDR*Thousands</f>
        <v>-5.4098778298277921</v>
      </c>
      <c r="P57" s="23">
        <f>SUM(Output_Sapphire!P68*$D$2,Output_FSL!P83)/USD_IDR*Thousands</f>
        <v>-5.7045368734551403</v>
      </c>
      <c r="Q57" s="23">
        <f>SUM(Output_Sapphire!Q68*$D$2,Output_FSL!Q83)/USD_IDR*Thousands</f>
        <v>-6.306347115621624</v>
      </c>
      <c r="R57" s="23">
        <f>SUM(Output_Sapphire!R68*$D$2,Output_FSL!R83)/USD_IDR*Thousands</f>
        <v>-6.6469708738063851</v>
      </c>
      <c r="S57" s="23">
        <f>SUM(Output_Sapphire!S68*$D$2,Output_FSL!S83)/USD_IDR*Thousands</f>
        <v>-7.3073507200286043</v>
      </c>
      <c r="T57" s="23">
        <f>SUM(Output_Sapphire!T68*$D$2,Output_FSL!T83)/USD_IDR*Thousands</f>
        <v>-7.6786932988145322</v>
      </c>
      <c r="U57" s="23">
        <f>SUM(Output_Sapphire!U68*$D$2,Output_FSL!U83)/USD_IDR*Thousands</f>
        <v>-7.5933626449067724</v>
      </c>
      <c r="V57" s="23">
        <f>SUM(Output_Sapphire!V68*$D$2,Output_FSL!V83)/USD_IDR*Thousands</f>
        <v>-7.9032203878978118</v>
      </c>
    </row>
    <row r="58" spans="2:22">
      <c r="B58" s="28" t="s">
        <v>1057</v>
      </c>
      <c r="C58" s="28"/>
      <c r="D58" s="28"/>
      <c r="E58" s="28"/>
      <c r="F58" s="28"/>
      <c r="G58" s="28"/>
      <c r="H58" s="28"/>
      <c r="I58" s="28"/>
      <c r="J58" s="47">
        <f>SUM(J55:J57)</f>
        <v>-4.8438467739060735</v>
      </c>
      <c r="K58" s="47">
        <f t="shared" ref="K58:V58" si="19">SUM(K55:K57)</f>
        <v>-13.999276065684631</v>
      </c>
      <c r="L58" s="47">
        <f t="shared" si="19"/>
        <v>21.391007778680859</v>
      </c>
      <c r="M58" s="47">
        <f t="shared" si="19"/>
        <v>3.652814404660786</v>
      </c>
      <c r="N58" s="47">
        <f t="shared" si="19"/>
        <v>-8.4203253824728233</v>
      </c>
      <c r="O58" s="47">
        <f t="shared" si="19"/>
        <v>-7.7439079558652963</v>
      </c>
      <c r="P58" s="47">
        <f t="shared" si="19"/>
        <v>-8.8338329078848972</v>
      </c>
      <c r="Q58" s="47">
        <f t="shared" si="19"/>
        <v>-7.6218712471924821</v>
      </c>
      <c r="R58" s="47">
        <f t="shared" si="19"/>
        <v>-6.6469708738063851</v>
      </c>
      <c r="S58" s="47">
        <f t="shared" si="19"/>
        <v>-7.3073507200286043</v>
      </c>
      <c r="T58" s="47">
        <f t="shared" si="19"/>
        <v>-7.6786932988145322</v>
      </c>
      <c r="U58" s="47">
        <f t="shared" si="19"/>
        <v>-7.5933626449067724</v>
      </c>
      <c r="V58" s="47">
        <f t="shared" si="19"/>
        <v>-7.9032203878978118</v>
      </c>
    </row>
    <row r="60" spans="2:22">
      <c r="B60" t="s">
        <v>1061</v>
      </c>
      <c r="J60" s="23">
        <f t="shared" ref="J60:V60" si="20">SUM(J47,J52,J58)</f>
        <v>8.0570241312427484</v>
      </c>
      <c r="K60" s="23">
        <f t="shared" si="20"/>
        <v>15.715638331082511</v>
      </c>
      <c r="L60" s="23">
        <f t="shared" si="20"/>
        <v>36.147405016682065</v>
      </c>
      <c r="M60" s="23">
        <f t="shared" si="20"/>
        <v>42.650127638091831</v>
      </c>
      <c r="N60" s="23">
        <f t="shared" si="20"/>
        <v>42.892596306104736</v>
      </c>
      <c r="O60" s="23">
        <f t="shared" si="20"/>
        <v>46.553063917433768</v>
      </c>
      <c r="P60" s="23">
        <f t="shared" si="20"/>
        <v>44.826664213064625</v>
      </c>
      <c r="Q60" s="23">
        <f t="shared" si="20"/>
        <v>49.907238020177971</v>
      </c>
      <c r="R60" s="23">
        <f t="shared" si="20"/>
        <v>53.927554100347891</v>
      </c>
      <c r="S60" s="23">
        <f t="shared" si="20"/>
        <v>52.637439122236096</v>
      </c>
      <c r="T60" s="23">
        <f t="shared" si="20"/>
        <v>53.200256596230446</v>
      </c>
      <c r="U60" s="23">
        <f t="shared" si="20"/>
        <v>54.046843156259499</v>
      </c>
      <c r="V60" s="23">
        <f t="shared" si="20"/>
        <v>54.747640353996168</v>
      </c>
    </row>
    <row r="61" spans="2:22">
      <c r="B61" t="s">
        <v>57</v>
      </c>
      <c r="J61" s="23">
        <f>I62</f>
        <v>0</v>
      </c>
      <c r="K61" s="23">
        <f t="shared" ref="K61:V61" si="21">J62</f>
        <v>8.0570241312427484</v>
      </c>
      <c r="L61" s="23">
        <f t="shared" si="21"/>
        <v>23.772662462325258</v>
      </c>
      <c r="M61" s="23">
        <f t="shared" si="21"/>
        <v>59.920067479007322</v>
      </c>
      <c r="N61" s="23">
        <f t="shared" si="21"/>
        <v>102.57019511709916</v>
      </c>
      <c r="O61" s="23">
        <f t="shared" si="21"/>
        <v>145.4627914232039</v>
      </c>
      <c r="P61" s="23">
        <f t="shared" si="21"/>
        <v>192.01585534063767</v>
      </c>
      <c r="Q61" s="23">
        <f t="shared" si="21"/>
        <v>236.84251955370229</v>
      </c>
      <c r="R61" s="23">
        <f t="shared" si="21"/>
        <v>286.74975757388029</v>
      </c>
      <c r="S61" s="23">
        <f t="shared" si="21"/>
        <v>340.67731167422818</v>
      </c>
      <c r="T61" s="23">
        <f t="shared" si="21"/>
        <v>393.3147507964643</v>
      </c>
      <c r="U61" s="23">
        <f t="shared" si="21"/>
        <v>446.51500739269477</v>
      </c>
      <c r="V61" s="23">
        <f t="shared" si="21"/>
        <v>500.56185054895428</v>
      </c>
    </row>
    <row r="62" spans="2:22">
      <c r="B62" s="28" t="s">
        <v>60</v>
      </c>
      <c r="C62" s="28"/>
      <c r="D62" s="28"/>
      <c r="E62" s="28"/>
      <c r="F62" s="28"/>
      <c r="G62" s="28"/>
      <c r="H62" s="28"/>
      <c r="I62" s="28">
        <v>0</v>
      </c>
      <c r="J62" s="47">
        <f>SUM(J60:J61)</f>
        <v>8.0570241312427484</v>
      </c>
      <c r="K62" s="47">
        <f t="shared" ref="K62:V62" si="22">SUM(K60:K61)</f>
        <v>23.772662462325258</v>
      </c>
      <c r="L62" s="47">
        <f t="shared" si="22"/>
        <v>59.920067479007322</v>
      </c>
      <c r="M62" s="47">
        <f t="shared" si="22"/>
        <v>102.57019511709916</v>
      </c>
      <c r="N62" s="47">
        <f t="shared" si="22"/>
        <v>145.4627914232039</v>
      </c>
      <c r="O62" s="47">
        <f t="shared" si="22"/>
        <v>192.01585534063767</v>
      </c>
      <c r="P62" s="47">
        <f t="shared" si="22"/>
        <v>236.84251955370229</v>
      </c>
      <c r="Q62" s="47">
        <f t="shared" si="22"/>
        <v>286.74975757388029</v>
      </c>
      <c r="R62" s="47">
        <f t="shared" si="22"/>
        <v>340.67731167422818</v>
      </c>
      <c r="S62" s="47">
        <f t="shared" si="22"/>
        <v>393.3147507964643</v>
      </c>
      <c r="T62" s="47">
        <f t="shared" si="22"/>
        <v>446.51500739269477</v>
      </c>
      <c r="U62" s="47">
        <f t="shared" si="22"/>
        <v>500.56185054895428</v>
      </c>
      <c r="V62" s="47">
        <f t="shared" si="22"/>
        <v>555.30949090295042</v>
      </c>
    </row>
    <row r="64" spans="2:22">
      <c r="I64" s="34">
        <f>SUM(J64:V64)</f>
        <v>0</v>
      </c>
      <c r="J64" s="34">
        <f>IF(J62&gt;0,0,1)</f>
        <v>0</v>
      </c>
      <c r="K64" s="34">
        <f t="shared" ref="K64:V64" si="23">IF(K62&gt;0,0,1)</f>
        <v>0</v>
      </c>
      <c r="L64" s="34">
        <f t="shared" si="23"/>
        <v>0</v>
      </c>
      <c r="M64" s="34">
        <f t="shared" si="23"/>
        <v>0</v>
      </c>
      <c r="N64" s="34">
        <f t="shared" si="23"/>
        <v>0</v>
      </c>
      <c r="O64" s="34">
        <f t="shared" si="23"/>
        <v>0</v>
      </c>
      <c r="P64" s="34">
        <f t="shared" si="23"/>
        <v>0</v>
      </c>
      <c r="Q64" s="34">
        <f t="shared" si="23"/>
        <v>0</v>
      </c>
      <c r="R64" s="34">
        <f t="shared" si="23"/>
        <v>0</v>
      </c>
      <c r="S64" s="34">
        <f t="shared" si="23"/>
        <v>0</v>
      </c>
      <c r="T64" s="34">
        <f t="shared" si="23"/>
        <v>0</v>
      </c>
      <c r="U64" s="34">
        <f t="shared" si="23"/>
        <v>0</v>
      </c>
      <c r="V64" s="34">
        <f t="shared" si="23"/>
        <v>0</v>
      </c>
    </row>
    <row r="66" spans="2:22" ht="24" outlineLevel="1" thickBot="1">
      <c r="B66" s="14" t="s">
        <v>1062</v>
      </c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</row>
    <row r="67" spans="2:22" outlineLevel="1"/>
    <row r="68" spans="2:22" ht="15.75" outlineLevel="1">
      <c r="B68" s="15" t="s">
        <v>1063</v>
      </c>
    </row>
    <row r="69" spans="2:22" outlineLevel="1">
      <c r="B69" s="407" t="s">
        <v>1064</v>
      </c>
      <c r="I69">
        <f>SUM(Output_Sapphire!I80,Output_FSL!I95)</f>
        <v>313.36190505028003</v>
      </c>
      <c r="J69">
        <f>Output_Consol_IDR!J69/USD_IDR*Thousands</f>
        <v>27.323049649243348</v>
      </c>
      <c r="K69">
        <f>Output_Consol_IDR!K69/USD_IDR*Thousands</f>
        <v>43.038687980325854</v>
      </c>
      <c r="L69">
        <f>Output_Consol_IDR!L69/USD_IDR*Thousands</f>
        <v>79.186092997007933</v>
      </c>
      <c r="M69">
        <f>Output_Consol_IDR!M69/USD_IDR*Thousands</f>
        <v>121.83622063509976</v>
      </c>
      <c r="N69">
        <f>Output_Consol_IDR!N69/USD_IDR*Thousands</f>
        <v>164.72881694120451</v>
      </c>
      <c r="O69">
        <f>Output_Consol_IDR!O69/USD_IDR*Thousands</f>
        <v>211.28188085863832</v>
      </c>
      <c r="P69">
        <f>Output_Consol_IDR!P69/USD_IDR*Thousands</f>
        <v>256.10854507170296</v>
      </c>
      <c r="Q69">
        <f>Output_Consol_IDR!Q69/USD_IDR*Thousands</f>
        <v>306.01578309188091</v>
      </c>
      <c r="R69">
        <f>Output_Consol_IDR!R69/USD_IDR*Thousands</f>
        <v>359.94333719222874</v>
      </c>
      <c r="S69">
        <f>Output_Consol_IDR!S69/USD_IDR*Thousands</f>
        <v>412.58077631446486</v>
      </c>
      <c r="T69">
        <f>Output_Consol_IDR!T69/USD_IDR*Thousands</f>
        <v>465.78103291069527</v>
      </c>
      <c r="U69">
        <f>Output_Consol_IDR!U69/USD_IDR*Thousands</f>
        <v>519.82787606695479</v>
      </c>
      <c r="V69">
        <f>Output_Consol_IDR!V69/USD_IDR*Thousands</f>
        <v>574.57551642095098</v>
      </c>
    </row>
    <row r="70" spans="2:22" outlineLevel="1">
      <c r="B70" s="407" t="s">
        <v>204</v>
      </c>
      <c r="I70" s="22">
        <f>SUM(Output_Sapphire!I81,Output_FSL!I96)</f>
        <v>0.51981068748259995</v>
      </c>
      <c r="J70" s="200">
        <f>Output_Consol_IDR!J70/USD_IDR*Thousands</f>
        <v>3.1958849522446972E-2</v>
      </c>
      <c r="K70" s="200">
        <f>Output_Consol_IDR!K70/USD_IDR*Thousands</f>
        <v>3.1958849522446972E-2</v>
      </c>
      <c r="L70" s="200">
        <f>Output_Consol_IDR!L70/USD_IDR*Thousands</f>
        <v>3.1958849522446972E-2</v>
      </c>
      <c r="M70" s="200">
        <f>Output_Consol_IDR!M70/USD_IDR*Thousands</f>
        <v>3.1958849522446972E-2</v>
      </c>
      <c r="N70" s="200">
        <f>Output_Consol_IDR!N70/USD_IDR*Thousands</f>
        <v>3.1958849522446972E-2</v>
      </c>
      <c r="O70" s="200">
        <f>Output_Consol_IDR!O70/USD_IDR*Thousands</f>
        <v>3.1958849522446972E-2</v>
      </c>
      <c r="P70" s="200">
        <f>Output_Consol_IDR!P70/USD_IDR*Thousands</f>
        <v>3.1958849522446972E-2</v>
      </c>
      <c r="Q70" s="200">
        <f>Output_Consol_IDR!Q70/USD_IDR*Thousands</f>
        <v>3.1958849522446972E-2</v>
      </c>
      <c r="R70" s="200">
        <f>Output_Consol_IDR!R70/USD_IDR*Thousands</f>
        <v>3.1958849522446972E-2</v>
      </c>
      <c r="S70" s="200">
        <f>Output_Consol_IDR!S70/USD_IDR*Thousands</f>
        <v>3.1958849522446972E-2</v>
      </c>
      <c r="T70" s="200">
        <f>Output_Consol_IDR!T70/USD_IDR*Thousands</f>
        <v>0</v>
      </c>
      <c r="U70" s="200">
        <f>Output_Consol_IDR!U70/USD_IDR*Thousands</f>
        <v>0</v>
      </c>
      <c r="V70" s="200">
        <f>Output_Consol_IDR!V70/USD_IDR*Thousands</f>
        <v>0</v>
      </c>
    </row>
    <row r="71" spans="2:22" outlineLevel="1">
      <c r="B71" s="407" t="s">
        <v>304</v>
      </c>
      <c r="I71">
        <f>SUM(Output_Sapphire!I82,Output_FSL!I97)</f>
        <v>269.09534246575345</v>
      </c>
      <c r="J71">
        <f>Output_Consol_IDR!J71/USD_IDR*Thousands</f>
        <v>17.65017388671728</v>
      </c>
      <c r="K71">
        <f>Output_Consol_IDR!K71/USD_IDR*Thousands</f>
        <v>20.066523039413859</v>
      </c>
      <c r="L71">
        <f>Output_Consol_IDR!L71/USD_IDR*Thousands</f>
        <v>22.250351815671735</v>
      </c>
      <c r="M71">
        <f>Output_Consol_IDR!M71/USD_IDR*Thousands</f>
        <v>23.30099970596611</v>
      </c>
      <c r="N71">
        <f>Output_Consol_IDR!N71/USD_IDR*Thousands</f>
        <v>23.9907090329651</v>
      </c>
      <c r="O71">
        <f>Output_Consol_IDR!O71/USD_IDR*Thousands</f>
        <v>24.685262779629429</v>
      </c>
      <c r="P71">
        <f>Output_Consol_IDR!P71/USD_IDR*Thousands</f>
        <v>25.475672119351913</v>
      </c>
      <c r="Q71">
        <f>Output_Consol_IDR!Q71/USD_IDR*Thousands</f>
        <v>26.889950255513952</v>
      </c>
      <c r="R71">
        <f>Output_Consol_IDR!R71/USD_IDR*Thousands</f>
        <v>27.270150004284648</v>
      </c>
      <c r="S71">
        <f>Output_Consol_IDR!S71/USD_IDR*Thousands</f>
        <v>27.92723044605572</v>
      </c>
      <c r="T71">
        <f>Output_Consol_IDR!T71/USD_IDR*Thousands</f>
        <v>8.8122977757152228</v>
      </c>
      <c r="U71">
        <f>Output_Consol_IDR!U71/USD_IDR*Thousands</f>
        <v>8.8777307864712451</v>
      </c>
      <c r="V71">
        <f>Output_Consol_IDR!V71/USD_IDR*Thousands</f>
        <v>9.1639710857438335</v>
      </c>
    </row>
    <row r="72" spans="2:22" outlineLevel="1">
      <c r="B72" s="407" t="s">
        <v>1065</v>
      </c>
      <c r="I72">
        <f>SUM(Output_Sapphire!I83,Output_FSL!I98)</f>
        <v>2305.1363189329963</v>
      </c>
      <c r="J72">
        <f>Output_Consol_IDR!J72/USD_IDR*Thousands</f>
        <v>144.38387682287495</v>
      </c>
      <c r="K72">
        <f>Output_Consol_IDR!K72/USD_IDR*Thousands</f>
        <v>135.49600807513428</v>
      </c>
      <c r="L72">
        <f>Output_Consol_IDR!L72/USD_IDR*Thousands</f>
        <v>147.38068227487557</v>
      </c>
      <c r="M72">
        <f>Output_Consol_IDR!M72/USD_IDR*Thousands</f>
        <v>139.91448389263101</v>
      </c>
      <c r="N72">
        <f>Output_Consol_IDR!N72/USD_IDR*Thousands</f>
        <v>123.6588165047837</v>
      </c>
      <c r="O72">
        <f>Output_Consol_IDR!O72/USD_IDR*Thousands</f>
        <v>107.31038968910674</v>
      </c>
      <c r="P72">
        <f>Output_Consol_IDR!P72/USD_IDR*Thousands</f>
        <v>94.883948318525185</v>
      </c>
      <c r="Q72">
        <f>Output_Consol_IDR!Q72/USD_IDR*Thousands</f>
        <v>81.700723371538288</v>
      </c>
      <c r="R72">
        <f>Output_Consol_IDR!R72/USD_IDR*Thousands</f>
        <v>69.310042748705229</v>
      </c>
      <c r="S72">
        <f>Output_Consol_IDR!S72/USD_IDR*Thousands</f>
        <v>59.876051219078995</v>
      </c>
      <c r="T72">
        <f>Output_Consol_IDR!T72/USD_IDR*Thousands</f>
        <v>51.181574248390639</v>
      </c>
      <c r="U72">
        <f>Output_Consol_IDR!U72/USD_IDR*Thousands</f>
        <v>42.345084750452983</v>
      </c>
      <c r="V72">
        <f>Output_Consol_IDR!V72/USD_IDR*Thousands</f>
        <v>33.360422462424687</v>
      </c>
    </row>
    <row r="73" spans="2:22" outlineLevel="1">
      <c r="B73" s="407" t="s">
        <v>318</v>
      </c>
      <c r="I73">
        <f>SUM(Output_Sapphire!I84,Output_FSL!I99)</f>
        <v>1446.3512824034046</v>
      </c>
      <c r="J73">
        <f>Output_Consol_IDR!J73/USD_IDR*Thousands</f>
        <v>88.924148933501669</v>
      </c>
      <c r="K73">
        <f>Output_Consol_IDR!K73/USD_IDR*Thousands</f>
        <v>88.924148933501669</v>
      </c>
      <c r="L73">
        <f>Output_Consol_IDR!L73/USD_IDR*Thousands</f>
        <v>88.924148933501669</v>
      </c>
      <c r="M73">
        <f>Output_Consol_IDR!M73/USD_IDR*Thousands</f>
        <v>88.924148933501669</v>
      </c>
      <c r="N73">
        <f>Output_Consol_IDR!N73/USD_IDR*Thousands</f>
        <v>88.924148933501669</v>
      </c>
      <c r="O73">
        <f>Output_Consol_IDR!O73/USD_IDR*Thousands</f>
        <v>88.924148933501669</v>
      </c>
      <c r="P73">
        <f>Output_Consol_IDR!P73/USD_IDR*Thousands</f>
        <v>88.924148933501669</v>
      </c>
      <c r="Q73">
        <f>Output_Consol_IDR!Q73/USD_IDR*Thousands</f>
        <v>88.924148933501669</v>
      </c>
      <c r="R73">
        <f>Output_Consol_IDR!R73/USD_IDR*Thousands</f>
        <v>88.924148933501669</v>
      </c>
      <c r="S73">
        <f>Output_Consol_IDR!S73/USD_IDR*Thousands</f>
        <v>88.924148933501669</v>
      </c>
      <c r="T73">
        <f>Output_Consol_IDR!T73/USD_IDR*Thousands</f>
        <v>88.924148933501669</v>
      </c>
      <c r="U73">
        <f>Output_Consol_IDR!U73/USD_IDR*Thousands</f>
        <v>88.924148933501669</v>
      </c>
      <c r="V73">
        <f>Output_Consol_IDR!V73/USD_IDR*Thousands</f>
        <v>88.924148933501669</v>
      </c>
    </row>
    <row r="74" spans="2:22" outlineLevel="1">
      <c r="B74" s="28" t="s">
        <v>174</v>
      </c>
      <c r="C74" s="28"/>
      <c r="D74" s="28"/>
      <c r="E74" s="28"/>
      <c r="F74" s="28"/>
      <c r="G74" s="28"/>
      <c r="H74" s="28"/>
      <c r="I74" s="28">
        <f t="shared" ref="I74:V74" si="24">SUM(I69:I73)</f>
        <v>4334.4646595399172</v>
      </c>
      <c r="J74" s="28">
        <f t="shared" si="24"/>
        <v>278.31320814185972</v>
      </c>
      <c r="K74" s="28">
        <f t="shared" si="24"/>
        <v>287.55732687789811</v>
      </c>
      <c r="L74" s="28">
        <f t="shared" si="24"/>
        <v>337.77323487057936</v>
      </c>
      <c r="M74" s="28">
        <f t="shared" si="24"/>
        <v>374.007812016721</v>
      </c>
      <c r="N74" s="28">
        <f t="shared" si="24"/>
        <v>401.33445026197745</v>
      </c>
      <c r="O74" s="28">
        <f t="shared" si="24"/>
        <v>432.23364111039859</v>
      </c>
      <c r="P74" s="28">
        <f t="shared" si="24"/>
        <v>465.4242732926042</v>
      </c>
      <c r="Q74" s="28">
        <f t="shared" si="24"/>
        <v>503.56256450195724</v>
      </c>
      <c r="R74" s="28">
        <f t="shared" si="24"/>
        <v>545.47963772824266</v>
      </c>
      <c r="S74" s="28">
        <f t="shared" si="24"/>
        <v>589.34016576262366</v>
      </c>
      <c r="T74" s="28">
        <f t="shared" si="24"/>
        <v>614.69905386830283</v>
      </c>
      <c r="U74" s="28">
        <f t="shared" si="24"/>
        <v>659.97484053738071</v>
      </c>
      <c r="V74" s="28">
        <f t="shared" si="24"/>
        <v>706.02405890262116</v>
      </c>
    </row>
    <row r="75" spans="2:22" outlineLevel="1"/>
    <row r="76" spans="2:22" ht="15.75" outlineLevel="1">
      <c r="B76" s="15" t="s">
        <v>1066</v>
      </c>
      <c r="J76" s="199"/>
      <c r="K76" s="199"/>
      <c r="L76" s="199"/>
      <c r="M76" s="199"/>
      <c r="N76" s="199"/>
      <c r="O76" s="199"/>
      <c r="P76" s="199"/>
      <c r="Q76" s="199"/>
      <c r="R76" s="199"/>
      <c r="S76" s="199"/>
      <c r="T76" s="199"/>
      <c r="U76" s="199"/>
      <c r="V76" s="199"/>
    </row>
    <row r="77" spans="2:22" outlineLevel="1">
      <c r="B77" s="407" t="s">
        <v>240</v>
      </c>
      <c r="I77" s="6">
        <f>SUM(Output_Sapphire!I88,Output_FSL!I103)</f>
        <v>109.44732844865831</v>
      </c>
      <c r="J77">
        <f>Output_Consol_IDR!J77/USD_IDR*Thousands</f>
        <v>6.9824225729992468</v>
      </c>
      <c r="K77">
        <f>Output_Consol_IDR!K77/USD_IDR*Thousands</f>
        <v>7.468050631405811</v>
      </c>
      <c r="L77">
        <f>Output_Consol_IDR!L77/USD_IDR*Thousands</f>
        <v>7.6983099270807722</v>
      </c>
      <c r="M77">
        <f>Output_Consol_IDR!M77/USD_IDR*Thousands</f>
        <v>7.7647918785301568</v>
      </c>
      <c r="N77">
        <f>Output_Consol_IDR!N77/USD_IDR*Thousands</f>
        <v>7.874370326852004</v>
      </c>
      <c r="O77">
        <f>Output_Consol_IDR!O77/USD_IDR*Thousands</f>
        <v>7.9784612753968691</v>
      </c>
      <c r="P77">
        <f>Output_Consol_IDR!P77/USD_IDR*Thousands</f>
        <v>8.2096937013191091</v>
      </c>
      <c r="Q77">
        <f>Output_Consol_IDR!Q77/USD_IDR*Thousands</f>
        <v>8.5920055200820489</v>
      </c>
      <c r="R77">
        <f>Output_Consol_IDR!R77/USD_IDR*Thousands</f>
        <v>8.6358367600848105</v>
      </c>
      <c r="S77">
        <f>Output_Consol_IDR!S77/USD_IDR*Thousands</f>
        <v>8.7538298197255191</v>
      </c>
      <c r="T77">
        <f>Output_Consol_IDR!T77/USD_IDR*Thousands</f>
        <v>0.99781851068199312</v>
      </c>
      <c r="U77">
        <f>Output_Consol_IDR!U77/USD_IDR*Thousands</f>
        <v>1.0430471399361274</v>
      </c>
      <c r="V77">
        <f>Output_Consol_IDR!V77/USD_IDR*Thousands</f>
        <v>1.0932210998415228</v>
      </c>
    </row>
    <row r="78" spans="2:22" outlineLevel="1">
      <c r="B78" s="407" t="s">
        <v>1067</v>
      </c>
      <c r="I78" s="6">
        <f>SUM(Output_Sapphire!I89,Output_FSL!I104)</f>
        <v>513.63246524876013</v>
      </c>
      <c r="J78">
        <f>Output_Consol_IDR!J78/USD_IDR*Thousands</f>
        <v>27.12450046111282</v>
      </c>
      <c r="K78">
        <f>Output_Consol_IDR!K78/USD_IDR*Thousands</f>
        <v>14.171533968644328</v>
      </c>
      <c r="L78">
        <f>Output_Consol_IDR!L78/USD_IDR*Thousands</f>
        <v>12.643774976944361</v>
      </c>
      <c r="M78">
        <f>Output_Consol_IDR!M78/USD_IDR*Thousands</f>
        <v>10.535628650476486</v>
      </c>
      <c r="N78">
        <f>Output_Consol_IDR!N78/USD_IDR*Thousands</f>
        <v>6.7788502920381193</v>
      </c>
      <c r="O78">
        <f>Output_Consol_IDR!O78/USD_IDR*Thousands</f>
        <v>4.4448201660006159</v>
      </c>
      <c r="P78">
        <f>Output_Consol_IDR!P78/USD_IDR*Thousands</f>
        <v>1.3155241315708583</v>
      </c>
      <c r="Q78">
        <f>Output_Consol_IDR!Q78/USD_IDR*Thousands</f>
        <v>0</v>
      </c>
      <c r="R78">
        <f>Output_Consol_IDR!R78/USD_IDR*Thousands</f>
        <v>0</v>
      </c>
      <c r="S78">
        <f>Output_Consol_IDR!S78/USD_IDR*Thousands</f>
        <v>0</v>
      </c>
      <c r="T78">
        <f>Output_Consol_IDR!T78/USD_IDR*Thousands</f>
        <v>0</v>
      </c>
      <c r="U78">
        <f>Output_Consol_IDR!U78/USD_IDR*Thousands</f>
        <v>0</v>
      </c>
      <c r="V78">
        <f>Output_Consol_IDR!V78/USD_IDR*Thousands</f>
        <v>0</v>
      </c>
    </row>
    <row r="79" spans="2:22" outlineLevel="1">
      <c r="B79" s="407" t="s">
        <v>246</v>
      </c>
      <c r="I79" s="6">
        <f>SUM(Output_Sapphire!I90,Output_FSL!I105)</f>
        <v>220.81112159136956</v>
      </c>
      <c r="J79" s="88">
        <f>Output_Consol_IDR!J79/USD_IDR*Thousands</f>
        <v>13.575845163932957</v>
      </c>
      <c r="K79" s="88">
        <f>Output_Consol_IDR!K79/USD_IDR*Thousands</f>
        <v>13.575845163932957</v>
      </c>
      <c r="L79" s="88">
        <f>Output_Consol_IDR!L79/USD_IDR*Thousands</f>
        <v>13.575845163932957</v>
      </c>
      <c r="M79" s="88">
        <f>Output_Consol_IDR!M79/USD_IDR*Thousands</f>
        <v>13.575845163932957</v>
      </c>
      <c r="N79" s="88">
        <f>Output_Consol_IDR!N79/USD_IDR*Thousands</f>
        <v>13.575845163932957</v>
      </c>
      <c r="O79" s="88">
        <f>Output_Consol_IDR!O79/USD_IDR*Thousands</f>
        <v>13.575845163932957</v>
      </c>
      <c r="P79" s="88">
        <f>Output_Consol_IDR!P79/USD_IDR*Thousands</f>
        <v>13.575845163932957</v>
      </c>
      <c r="Q79" s="88">
        <f>Output_Consol_IDR!Q79/USD_IDR*Thousands</f>
        <v>13.575845163932957</v>
      </c>
      <c r="R79" s="88">
        <f>Output_Consol_IDR!R79/USD_IDR*Thousands</f>
        <v>13.575845163932957</v>
      </c>
      <c r="S79" s="88">
        <f>Output_Consol_IDR!S79/USD_IDR*Thousands</f>
        <v>13.575845163932957</v>
      </c>
      <c r="T79" s="88">
        <f>Output_Consol_IDR!T79/USD_IDR*Thousands</f>
        <v>13.575845163932957</v>
      </c>
      <c r="U79" s="88">
        <f>Output_Consol_IDR!U79/USD_IDR*Thousands</f>
        <v>13.575845163932957</v>
      </c>
      <c r="V79" s="88">
        <f>Output_Consol_IDR!V79/USD_IDR*Thousands</f>
        <v>13.575845163932957</v>
      </c>
    </row>
    <row r="80" spans="2:22" outlineLevel="1">
      <c r="B80" s="28" t="s">
        <v>1068</v>
      </c>
      <c r="C80" s="28"/>
      <c r="D80" s="28"/>
      <c r="E80" s="28"/>
      <c r="F80" s="28"/>
      <c r="G80" s="28"/>
      <c r="H80" s="28"/>
      <c r="I80" s="28">
        <f>SUM(I77:I79)</f>
        <v>843.89091528878794</v>
      </c>
      <c r="J80" s="28">
        <f>SUM(J77:J79)</f>
        <v>47.682768198045025</v>
      </c>
      <c r="K80" s="28">
        <f t="shared" ref="K80:V80" si="25">SUM(K77:K79)</f>
        <v>35.215429763983096</v>
      </c>
      <c r="L80" s="28">
        <f t="shared" si="25"/>
        <v>33.917930067958089</v>
      </c>
      <c r="M80" s="28">
        <f t="shared" si="25"/>
        <v>31.876265692939601</v>
      </c>
      <c r="N80" s="28">
        <f t="shared" si="25"/>
        <v>28.229065782823081</v>
      </c>
      <c r="O80" s="28">
        <f t="shared" si="25"/>
        <v>25.999126605330442</v>
      </c>
      <c r="P80" s="28">
        <f t="shared" si="25"/>
        <v>23.101062996822925</v>
      </c>
      <c r="Q80" s="28">
        <f t="shared" si="25"/>
        <v>22.167850684015008</v>
      </c>
      <c r="R80" s="28">
        <f t="shared" si="25"/>
        <v>22.211681924017768</v>
      </c>
      <c r="S80" s="28">
        <f t="shared" si="25"/>
        <v>22.329674983658478</v>
      </c>
      <c r="T80" s="28">
        <f t="shared" si="25"/>
        <v>14.57366367461495</v>
      </c>
      <c r="U80" s="28">
        <f t="shared" si="25"/>
        <v>14.618892303869085</v>
      </c>
      <c r="V80" s="28">
        <f t="shared" si="25"/>
        <v>14.66906626377448</v>
      </c>
    </row>
    <row r="81" spans="2:22" outlineLevel="1">
      <c r="B81" s="407"/>
    </row>
    <row r="82" spans="2:22" ht="15.75" outlineLevel="1">
      <c r="B82" s="15" t="s">
        <v>255</v>
      </c>
    </row>
    <row r="83" spans="2:22" outlineLevel="1">
      <c r="B83" s="407" t="s">
        <v>255</v>
      </c>
      <c r="I83" s="16">
        <f>SUM(Output_Sapphire!I94,Output_FSL!I109)</f>
        <v>1949.3755999999998</v>
      </c>
      <c r="J83">
        <f>Output_Consol_IDR!J83/USD_IDR*Thousands</f>
        <v>119.85094374423608</v>
      </c>
      <c r="K83">
        <f>Output_Consol_IDR!K83/USD_IDR*Thousands</f>
        <v>119.85094374423608</v>
      </c>
      <c r="L83">
        <f>Output_Consol_IDR!L83/USD_IDR*Thousands</f>
        <v>145.6592456047897</v>
      </c>
      <c r="M83">
        <f>Output_Consol_IDR!M83/USD_IDR*Thousands</f>
        <v>155.49654194662804</v>
      </c>
      <c r="N83">
        <f>Output_Consol_IDR!N83/USD_IDR*Thousands</f>
        <v>155.49654194662804</v>
      </c>
      <c r="O83">
        <f>Output_Consol_IDR!O83/USD_IDR*Thousands</f>
        <v>155.49654194662804</v>
      </c>
      <c r="P83">
        <f>Output_Consol_IDR!P83/USD_IDR*Thousands</f>
        <v>155.49654194662804</v>
      </c>
      <c r="Q83">
        <f>Output_Consol_IDR!Q83/USD_IDR*Thousands</f>
        <v>155.49654194662804</v>
      </c>
      <c r="R83">
        <f>Output_Consol_IDR!R83/USD_IDR*Thousands</f>
        <v>155.49654194662804</v>
      </c>
      <c r="S83">
        <f>Output_Consol_IDR!S83/USD_IDR*Thousands</f>
        <v>155.49654194662804</v>
      </c>
      <c r="T83">
        <f>Output_Consol_IDR!T83/USD_IDR*Thousands</f>
        <v>155.49654194662804</v>
      </c>
      <c r="U83">
        <f>Output_Consol_IDR!U83/USD_IDR*Thousands</f>
        <v>155.49654194662804</v>
      </c>
      <c r="V83">
        <f>Output_Consol_IDR!V83/USD_IDR*Thousands</f>
        <v>155.49654194662804</v>
      </c>
    </row>
    <row r="84" spans="2:22" outlineLevel="1">
      <c r="B84" s="407" t="s">
        <v>1071</v>
      </c>
      <c r="I84" s="16">
        <f>SUM(Output_Sapphire!I95,Output_FSL!I110)</f>
        <v>1061.7070000000001</v>
      </c>
      <c r="J84">
        <f>Output_Consol_IDR!J84/USD_IDR*Thousands</f>
        <v>65.275561020596385</v>
      </c>
      <c r="K84">
        <f>Output_Consol_IDR!K84/USD_IDR*Thousands</f>
        <v>65.275561020596385</v>
      </c>
      <c r="L84">
        <f>Output_Consol_IDR!L84/USD_IDR*Thousands</f>
        <v>65.275561020596385</v>
      </c>
      <c r="M84">
        <f>Output_Consol_IDR!M84/USD_IDR*Thousands</f>
        <v>65.275561020596385</v>
      </c>
      <c r="N84">
        <f>Output_Consol_IDR!N84/USD_IDR*Thousands</f>
        <v>65.275561020596385</v>
      </c>
      <c r="O84">
        <f>Output_Consol_IDR!O84/USD_IDR*Thousands</f>
        <v>65.275561020596385</v>
      </c>
      <c r="P84">
        <f>Output_Consol_IDR!P84/USD_IDR*Thousands</f>
        <v>65.275561020596385</v>
      </c>
      <c r="Q84">
        <f>Output_Consol_IDR!Q84/USD_IDR*Thousands</f>
        <v>65.275561020596385</v>
      </c>
      <c r="R84">
        <f>Output_Consol_IDR!R84/USD_IDR*Thousands</f>
        <v>65.275561020596385</v>
      </c>
      <c r="S84">
        <f>Output_Consol_IDR!S84/USD_IDR*Thousands</f>
        <v>65.275561020596385</v>
      </c>
      <c r="T84">
        <f>Output_Consol_IDR!T84/USD_IDR*Thousands</f>
        <v>65.275561020596385</v>
      </c>
      <c r="U84">
        <f>Output_Consol_IDR!U84/USD_IDR*Thousands</f>
        <v>65.275561020596385</v>
      </c>
      <c r="V84">
        <f>Output_Consol_IDR!V84/USD_IDR*Thousands</f>
        <v>65.275561020596385</v>
      </c>
    </row>
    <row r="85" spans="2:22" outlineLevel="1">
      <c r="B85" s="407" t="s">
        <v>259</v>
      </c>
      <c r="I85" s="6">
        <f>SUM(Output_Sapphire!I96,Output_FSL!I111)</f>
        <v>479.4250123488099</v>
      </c>
      <c r="J85">
        <f>Output_Consol_IDR!J85/USD_IDR*Thousands</f>
        <v>45.49986927659554</v>
      </c>
      <c r="K85">
        <f>Output_Consol_IDR!K85/USD_IDR*Thousands</f>
        <v>67.211326446695907</v>
      </c>
      <c r="L85">
        <f>Output_Consol_IDR!L85/USD_IDR*Thousands</f>
        <v>92.916432274848546</v>
      </c>
      <c r="M85">
        <f>Output_Consol_IDR!M85/USD_IDR*Thousands</f>
        <v>121.35537745417034</v>
      </c>
      <c r="N85">
        <f>Output_Consol_IDR!N85/USD_IDR*Thousands</f>
        <v>152.3292156095433</v>
      </c>
      <c r="O85">
        <f>Output_Consol_IDR!O85/USD_IDR*Thousands</f>
        <v>185.45834563545711</v>
      </c>
      <c r="P85">
        <f>Output_Consol_IDR!P85/USD_IDR*Thousands</f>
        <v>221.54704142617018</v>
      </c>
      <c r="Q85">
        <f>Output_Consol_IDR!Q85/USD_IDR*Thousands</f>
        <v>260.61854494833119</v>
      </c>
      <c r="R85">
        <f>Output_Consol_IDR!R85/USD_IDR*Thousands</f>
        <v>302.49178693461386</v>
      </c>
      <c r="S85">
        <f>Output_Consol_IDR!S85/USD_IDR*Thousands</f>
        <v>346.23432190935409</v>
      </c>
      <c r="T85">
        <f>Output_Consol_IDR!T85/USD_IDR*Thousands</f>
        <v>391.07501290108257</v>
      </c>
      <c r="U85">
        <f>Output_Consol_IDR!U85/USD_IDR*Thousands</f>
        <v>436.89579534914486</v>
      </c>
      <c r="V85">
        <f>Output_Consol_IDR!V85/USD_IDR*Thousands</f>
        <v>482.98706231826714</v>
      </c>
    </row>
    <row r="86" spans="2:22" outlineLevel="1">
      <c r="B86" s="28" t="s">
        <v>262</v>
      </c>
      <c r="C86" s="28"/>
      <c r="D86" s="28"/>
      <c r="E86" s="28"/>
      <c r="F86" s="28"/>
      <c r="G86" s="28"/>
      <c r="H86" s="28"/>
      <c r="I86" s="28">
        <f t="shared" ref="I86:V86" si="26">SUM(I83:I85)</f>
        <v>3490.5076123488097</v>
      </c>
      <c r="J86" s="28">
        <f t="shared" si="26"/>
        <v>230.62637404142802</v>
      </c>
      <c r="K86" s="28">
        <f t="shared" si="26"/>
        <v>252.3378312115284</v>
      </c>
      <c r="L86" s="28">
        <f t="shared" si="26"/>
        <v>303.85123890023465</v>
      </c>
      <c r="M86" s="28">
        <f t="shared" si="26"/>
        <v>342.12748042139481</v>
      </c>
      <c r="N86" s="28">
        <f t="shared" si="26"/>
        <v>373.10131857676777</v>
      </c>
      <c r="O86" s="28">
        <f t="shared" si="26"/>
        <v>406.23044860268158</v>
      </c>
      <c r="P86" s="28">
        <f t="shared" si="26"/>
        <v>442.31914439339459</v>
      </c>
      <c r="Q86" s="28">
        <f t="shared" si="26"/>
        <v>481.39064791555563</v>
      </c>
      <c r="R86" s="28">
        <f t="shared" si="26"/>
        <v>523.2638899018383</v>
      </c>
      <c r="S86" s="28">
        <f t="shared" si="26"/>
        <v>567.00642487657854</v>
      </c>
      <c r="T86" s="28">
        <f t="shared" si="26"/>
        <v>611.84711586830701</v>
      </c>
      <c r="U86" s="28">
        <f t="shared" si="26"/>
        <v>657.66789831636925</v>
      </c>
      <c r="V86" s="28">
        <f t="shared" si="26"/>
        <v>703.75916528549158</v>
      </c>
    </row>
    <row r="87" spans="2:22" outlineLevel="1"/>
    <row r="88" spans="2:22" outlineLevel="1">
      <c r="B88" t="s">
        <v>1070</v>
      </c>
      <c r="I88" s="34">
        <f>ROUNDDOWN(SUM(J88:S88),2)</f>
        <v>0</v>
      </c>
      <c r="J88" s="34">
        <f>ROUNDDOWN(SUM(J74,-J80-J86),1)*$J$12</f>
        <v>0</v>
      </c>
      <c r="K88" s="34">
        <f t="shared" ref="K88:S88" si="27">ROUNDDOWN(SUM(K74,-K80-K86),1)</f>
        <v>0</v>
      </c>
      <c r="L88" s="34">
        <f t="shared" si="27"/>
        <v>0</v>
      </c>
      <c r="M88" s="34">
        <f t="shared" si="27"/>
        <v>0</v>
      </c>
      <c r="N88" s="34">
        <f t="shared" si="27"/>
        <v>0</v>
      </c>
      <c r="O88" s="34">
        <f t="shared" si="27"/>
        <v>0</v>
      </c>
      <c r="P88" s="34">
        <f t="shared" si="27"/>
        <v>0</v>
      </c>
      <c r="Q88" s="34">
        <f t="shared" si="27"/>
        <v>0</v>
      </c>
      <c r="R88" s="34">
        <f t="shared" si="27"/>
        <v>0</v>
      </c>
      <c r="S88" s="34">
        <f t="shared" si="27"/>
        <v>0</v>
      </c>
      <c r="T88" s="34"/>
      <c r="U88" s="34"/>
      <c r="V88" s="34"/>
    </row>
    <row r="89" spans="2:22" outlineLevel="1">
      <c r="B89" t="s">
        <v>330</v>
      </c>
      <c r="I89" s="34">
        <f>ROUNDDOWN(SUM(J89:S89),2)</f>
        <v>0</v>
      </c>
      <c r="J89" s="34">
        <f t="shared" ref="J89:S89" si="28">ROUNDDOWN(MIN(J69,0),2)</f>
        <v>0</v>
      </c>
      <c r="K89" s="34">
        <f t="shared" si="28"/>
        <v>0</v>
      </c>
      <c r="L89" s="34">
        <f t="shared" si="28"/>
        <v>0</v>
      </c>
      <c r="M89" s="34">
        <f t="shared" si="28"/>
        <v>0</v>
      </c>
      <c r="N89" s="34">
        <f t="shared" si="28"/>
        <v>0</v>
      </c>
      <c r="O89" s="34">
        <f t="shared" si="28"/>
        <v>0</v>
      </c>
      <c r="P89" s="34">
        <f t="shared" si="28"/>
        <v>0</v>
      </c>
      <c r="Q89" s="34">
        <f t="shared" si="28"/>
        <v>0</v>
      </c>
      <c r="R89" s="34">
        <f t="shared" si="28"/>
        <v>0</v>
      </c>
      <c r="S89" s="34">
        <f t="shared" si="28"/>
        <v>0</v>
      </c>
      <c r="T89" s="34"/>
      <c r="U89" s="34"/>
      <c r="V89" s="34"/>
    </row>
    <row r="90" spans="2:22" outlineLevel="1">
      <c r="I90" s="23">
        <f t="shared" ref="I90:S90" si="29">I88-H88</f>
        <v>0</v>
      </c>
      <c r="J90" s="23">
        <f t="shared" si="29"/>
        <v>0</v>
      </c>
      <c r="K90" s="23">
        <f t="shared" si="29"/>
        <v>0</v>
      </c>
      <c r="L90" s="23">
        <f t="shared" si="29"/>
        <v>0</v>
      </c>
      <c r="M90" s="23">
        <f t="shared" si="29"/>
        <v>0</v>
      </c>
      <c r="N90" s="23">
        <f t="shared" si="29"/>
        <v>0</v>
      </c>
      <c r="O90" s="23">
        <f t="shared" si="29"/>
        <v>0</v>
      </c>
      <c r="P90" s="23">
        <f t="shared" si="29"/>
        <v>0</v>
      </c>
      <c r="Q90" s="23">
        <f t="shared" si="29"/>
        <v>0</v>
      </c>
      <c r="R90" s="23">
        <f t="shared" si="29"/>
        <v>0</v>
      </c>
      <c r="S90" s="23">
        <f t="shared" si="29"/>
        <v>0</v>
      </c>
      <c r="T90" s="23"/>
      <c r="U90" s="23"/>
      <c r="V90" s="23"/>
    </row>
    <row r="91" spans="2:22" outlineLevel="1">
      <c r="I91">
        <f>I88</f>
        <v>0</v>
      </c>
      <c r="J91" s="22">
        <f>J88</f>
        <v>0</v>
      </c>
      <c r="K91">
        <f t="shared" ref="K91:S91" si="30">K88</f>
        <v>0</v>
      </c>
      <c r="L91">
        <f t="shared" si="30"/>
        <v>0</v>
      </c>
      <c r="M91">
        <f t="shared" si="30"/>
        <v>0</v>
      </c>
      <c r="N91">
        <f t="shared" si="30"/>
        <v>0</v>
      </c>
      <c r="O91">
        <f t="shared" si="30"/>
        <v>0</v>
      </c>
      <c r="P91">
        <f t="shared" si="30"/>
        <v>0</v>
      </c>
      <c r="Q91">
        <f t="shared" si="30"/>
        <v>0</v>
      </c>
      <c r="R91">
        <f t="shared" si="30"/>
        <v>0</v>
      </c>
      <c r="S91">
        <f t="shared" si="30"/>
        <v>0</v>
      </c>
    </row>
    <row r="94" spans="2:22" ht="24" thickBot="1">
      <c r="B94" s="14" t="s">
        <v>183</v>
      </c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</row>
    <row r="96" spans="2:22">
      <c r="B96" s="407" t="s">
        <v>434</v>
      </c>
      <c r="J96">
        <f t="shared" ref="J96:V96" si="31">J26</f>
        <v>25.506450230183088</v>
      </c>
      <c r="K96">
        <f t="shared" si="31"/>
        <v>33.443519741575329</v>
      </c>
      <c r="L96">
        <f t="shared" si="31"/>
        <v>39.527973201850159</v>
      </c>
      <c r="M96">
        <f t="shared" si="31"/>
        <v>43.763098164313845</v>
      </c>
      <c r="N96">
        <f t="shared" si="31"/>
        <v>47.28380420625335</v>
      </c>
      <c r="O96">
        <f t="shared" si="31"/>
        <v>50.629153273265032</v>
      </c>
      <c r="P96">
        <f t="shared" si="31"/>
        <v>54.59882857270663</v>
      </c>
      <c r="Q96">
        <f t="shared" si="31"/>
        <v>59.136030695416039</v>
      </c>
      <c r="R96">
        <f t="shared" si="31"/>
        <v>63.082376202586147</v>
      </c>
      <c r="S96">
        <f t="shared" si="31"/>
        <v>66.292530825621711</v>
      </c>
      <c r="T96">
        <f t="shared" si="31"/>
        <v>68.219725025868229</v>
      </c>
      <c r="U96">
        <f t="shared" si="31"/>
        <v>69.401775870568528</v>
      </c>
      <c r="V96">
        <f t="shared" si="31"/>
        <v>70.171380805247466</v>
      </c>
    </row>
    <row r="97" spans="2:22">
      <c r="B97" s="407" t="s">
        <v>759</v>
      </c>
      <c r="J97">
        <f>-IF(J96&lt;0,0,J96*22%)</f>
        <v>-5.6114190506402792</v>
      </c>
      <c r="K97">
        <f t="shared" ref="K97:V97" si="32">-IF(K96&lt;0,0,K96*22%)</f>
        <v>-7.3575743431465721</v>
      </c>
      <c r="L97">
        <f t="shared" si="32"/>
        <v>-8.6961541044070358</v>
      </c>
      <c r="M97">
        <f t="shared" si="32"/>
        <v>-9.6278815961490469</v>
      </c>
      <c r="N97">
        <f t="shared" si="32"/>
        <v>-10.402436925375737</v>
      </c>
      <c r="O97">
        <f t="shared" si="32"/>
        <v>-11.138413720118308</v>
      </c>
      <c r="P97">
        <f t="shared" si="32"/>
        <v>-12.011742285995458</v>
      </c>
      <c r="Q97">
        <f t="shared" si="32"/>
        <v>-13.009926752991529</v>
      </c>
      <c r="R97">
        <f t="shared" si="32"/>
        <v>-13.878122764568952</v>
      </c>
      <c r="S97">
        <f t="shared" si="32"/>
        <v>-14.584356781636776</v>
      </c>
      <c r="T97">
        <f t="shared" si="32"/>
        <v>-15.00833950569101</v>
      </c>
      <c r="U97">
        <f t="shared" si="32"/>
        <v>-15.268390691525076</v>
      </c>
      <c r="V97">
        <f t="shared" si="32"/>
        <v>-15.437703777154443</v>
      </c>
    </row>
    <row r="98" spans="2:22">
      <c r="B98" s="437" t="s">
        <v>760</v>
      </c>
      <c r="J98">
        <f t="shared" ref="J98:V98" si="33">-J25</f>
        <v>18.153892555114371</v>
      </c>
      <c r="K98">
        <f t="shared" si="33"/>
        <v>20.522575172579256</v>
      </c>
      <c r="L98">
        <f t="shared" si="33"/>
        <v>22.303584623615897</v>
      </c>
      <c r="M98">
        <f t="shared" si="33"/>
        <v>22.867589405915069</v>
      </c>
      <c r="N98">
        <f t="shared" si="33"/>
        <v>22.041096222768886</v>
      </c>
      <c r="O98">
        <f t="shared" si="33"/>
        <v>21.758817224530329</v>
      </c>
      <c r="P98">
        <f t="shared" si="33"/>
        <v>19.847283669997459</v>
      </c>
      <c r="Q98">
        <f t="shared" si="33"/>
        <v>19.866286736104644</v>
      </c>
      <c r="R98">
        <f t="shared" si="33"/>
        <v>17.333810041830926</v>
      </c>
      <c r="S98">
        <f t="shared" si="33"/>
        <v>16.670388701467616</v>
      </c>
      <c r="T98">
        <f t="shared" si="33"/>
        <v>16.090726586427671</v>
      </c>
      <c r="U98">
        <f t="shared" si="33"/>
        <v>16.417184241251523</v>
      </c>
      <c r="V98">
        <f t="shared" si="33"/>
        <v>16.78054301351246</v>
      </c>
    </row>
    <row r="99" spans="2:22">
      <c r="B99" s="407" t="s">
        <v>219</v>
      </c>
      <c r="J99">
        <f>Output_Consol_USD!J51</f>
        <v>-20.814048570550263</v>
      </c>
      <c r="K99">
        <f>Output_Consol_USD!K51</f>
        <v>-11.63470642483861</v>
      </c>
      <c r="L99">
        <f>Output_Consol_USD!L51</f>
        <v>-34.188258823357195</v>
      </c>
      <c r="M99">
        <f>Output_Consol_USD!M51</f>
        <v>-15.401391023670458</v>
      </c>
      <c r="N99">
        <f>Output_Consol_USD!N51</f>
        <v>-5.7854288349216105</v>
      </c>
      <c r="O99">
        <f>Output_Consol_USD!O51</f>
        <v>-5.4103904088533659</v>
      </c>
      <c r="P99">
        <f>Output_Consol_USD!P51</f>
        <v>-7.4208422994159235</v>
      </c>
      <c r="Q99">
        <f>Output_Consol_USD!Q51</f>
        <v>-6.6830617891177377</v>
      </c>
      <c r="R99">
        <f>Output_Consol_USD!R51</f>
        <v>-4.9431294189978487</v>
      </c>
      <c r="S99">
        <f>Output_Consol_USD!S51</f>
        <v>-7.2363971718413778</v>
      </c>
      <c r="T99">
        <f>Output_Consol_USD!T51</f>
        <v>-7.3962496157393174</v>
      </c>
      <c r="U99">
        <f>Output_Consol_USD!U51</f>
        <v>-7.5806947433138641</v>
      </c>
      <c r="V99">
        <f>Output_Consol_USD!V51</f>
        <v>-7.7958807254841682</v>
      </c>
    </row>
    <row r="100" spans="2:22">
      <c r="B100" s="407" t="s">
        <v>311</v>
      </c>
      <c r="J100">
        <f>J46</f>
        <v>-0.85231854291600151</v>
      </c>
      <c r="K100">
        <f t="shared" ref="K100:V100" si="34">K46</f>
        <v>-1.9307210942900093</v>
      </c>
      <c r="L100">
        <f t="shared" si="34"/>
        <v>-1.9535694805829202</v>
      </c>
      <c r="M100">
        <f t="shared" si="34"/>
        <v>-0.98416593884499193</v>
      </c>
      <c r="N100">
        <f t="shared" si="34"/>
        <v>-0.58013087867714086</v>
      </c>
      <c r="O100">
        <f t="shared" si="34"/>
        <v>-0.59046279811946234</v>
      </c>
      <c r="P100">
        <f t="shared" si="34"/>
        <v>-0.55917691380024603</v>
      </c>
      <c r="Q100">
        <f t="shared" si="34"/>
        <v>-1.0319663173990987</v>
      </c>
      <c r="R100">
        <f t="shared" si="34"/>
        <v>-0.33636850876793084</v>
      </c>
      <c r="S100">
        <f t="shared" si="34"/>
        <v>-0.53908738213036234</v>
      </c>
      <c r="T100">
        <f t="shared" si="34"/>
        <v>-0.33491136618642375</v>
      </c>
      <c r="U100">
        <f t="shared" si="34"/>
        <v>-0.61042878974043635</v>
      </c>
      <c r="V100">
        <f t="shared" si="34"/>
        <v>-0.32828890315446713</v>
      </c>
    </row>
    <row r="101" spans="2:22">
      <c r="B101" s="28" t="s">
        <v>761</v>
      </c>
      <c r="C101" s="28"/>
      <c r="D101" s="28"/>
      <c r="E101" s="28"/>
      <c r="F101" s="28"/>
      <c r="G101" s="28"/>
      <c r="H101" s="28"/>
      <c r="I101" s="28"/>
      <c r="J101" s="47">
        <f>SUM(J96:J100)</f>
        <v>16.382556621190915</v>
      </c>
      <c r="K101" s="47">
        <f t="shared" ref="K101:V101" si="35">SUM(K96:K100)</f>
        <v>33.043093051879396</v>
      </c>
      <c r="L101" s="47">
        <f t="shared" si="35"/>
        <v>16.993575417118905</v>
      </c>
      <c r="M101" s="47">
        <f t="shared" si="35"/>
        <v>40.617249011564425</v>
      </c>
      <c r="N101" s="47">
        <f t="shared" si="35"/>
        <v>52.556903790047748</v>
      </c>
      <c r="O101" s="47">
        <f t="shared" si="35"/>
        <v>55.24870357070423</v>
      </c>
      <c r="P101" s="47">
        <f t="shared" si="35"/>
        <v>54.454350743492462</v>
      </c>
      <c r="Q101" s="47">
        <f t="shared" si="35"/>
        <v>58.277362572012315</v>
      </c>
      <c r="R101" s="47">
        <f t="shared" si="35"/>
        <v>61.258565552082338</v>
      </c>
      <c r="S101" s="47">
        <f t="shared" si="35"/>
        <v>60.603078191480805</v>
      </c>
      <c r="T101" s="47">
        <f t="shared" si="35"/>
        <v>61.570951124679141</v>
      </c>
      <c r="U101" s="47">
        <f t="shared" si="35"/>
        <v>62.359445887240675</v>
      </c>
      <c r="V101" s="47">
        <f t="shared" si="35"/>
        <v>63.390050412966851</v>
      </c>
    </row>
    <row r="103" spans="2:22">
      <c r="B103" t="s">
        <v>52</v>
      </c>
      <c r="F103" s="19"/>
    </row>
    <row r="104" spans="2:22">
      <c r="B104" s="28" t="s">
        <v>762</v>
      </c>
      <c r="C104" s="28"/>
      <c r="D104" s="28"/>
      <c r="E104" s="28"/>
      <c r="F104" s="28"/>
      <c r="G104" s="28"/>
      <c r="H104" s="28"/>
      <c r="I104" s="28"/>
      <c r="J104" s="47">
        <f>SUM(J101,J103)</f>
        <v>16.382556621190915</v>
      </c>
      <c r="K104" s="47">
        <f t="shared" ref="K104:V104" si="36">SUM(K101,K103)</f>
        <v>33.043093051879396</v>
      </c>
      <c r="L104" s="47">
        <f t="shared" si="36"/>
        <v>16.993575417118905</v>
      </c>
      <c r="M104" s="47">
        <f t="shared" si="36"/>
        <v>40.617249011564425</v>
      </c>
      <c r="N104" s="47">
        <f t="shared" si="36"/>
        <v>52.556903790047748</v>
      </c>
      <c r="O104" s="47">
        <f t="shared" si="36"/>
        <v>55.24870357070423</v>
      </c>
      <c r="P104" s="47">
        <f t="shared" si="36"/>
        <v>54.454350743492462</v>
      </c>
      <c r="Q104" s="47">
        <f t="shared" si="36"/>
        <v>58.277362572012315</v>
      </c>
      <c r="R104" s="47">
        <f t="shared" si="36"/>
        <v>61.258565552082338</v>
      </c>
      <c r="S104" s="47">
        <f t="shared" si="36"/>
        <v>60.603078191480805</v>
      </c>
      <c r="T104" s="47">
        <f t="shared" si="36"/>
        <v>61.570951124679141</v>
      </c>
      <c r="U104" s="47">
        <f t="shared" si="36"/>
        <v>62.359445887240675</v>
      </c>
      <c r="V104" s="47">
        <f t="shared" si="36"/>
        <v>63.390050412966851</v>
      </c>
    </row>
    <row r="106" spans="2:22">
      <c r="B106" t="s">
        <v>763</v>
      </c>
      <c r="J106">
        <f>SUM($J$104:J104)</f>
        <v>16.382556621190915</v>
      </c>
      <c r="K106">
        <f>SUM($J$104:K104)</f>
        <v>49.425649673070311</v>
      </c>
      <c r="L106">
        <f>SUM($J$104:L104)</f>
        <v>66.419225090189215</v>
      </c>
      <c r="M106">
        <f>SUM($J$104:M104)</f>
        <v>107.03647410175364</v>
      </c>
      <c r="N106">
        <f>SUM($J$104:N104)</f>
        <v>159.5933778918014</v>
      </c>
      <c r="O106">
        <f>SUM($J$104:O104)</f>
        <v>214.84208146250563</v>
      </c>
      <c r="P106">
        <f>SUM($J$104:P104)</f>
        <v>269.29643220599809</v>
      </c>
      <c r="Q106">
        <f>SUM($J$104:Q104)</f>
        <v>327.57379477801038</v>
      </c>
      <c r="R106">
        <f>SUM($J$104:R104)</f>
        <v>388.83236033009274</v>
      </c>
      <c r="S106">
        <f>SUM($J$104:S104)</f>
        <v>449.43543852157353</v>
      </c>
      <c r="T106">
        <f>SUM($J$104:T104)</f>
        <v>511.00638964625267</v>
      </c>
      <c r="U106">
        <f>SUM($J$104:U104)</f>
        <v>573.3658355334934</v>
      </c>
      <c r="V106">
        <f>SUM($J$104:V104)</f>
        <v>636.75588594646024</v>
      </c>
    </row>
    <row r="107" spans="2:22">
      <c r="B107" t="s">
        <v>764</v>
      </c>
      <c r="I107">
        <f>SUM(J107:V107)</f>
        <v>0</v>
      </c>
      <c r="J107" s="13">
        <f>IF(J106&lt;0,1,0)</f>
        <v>0</v>
      </c>
      <c r="K107" s="13">
        <f t="shared" ref="K107:V107" si="37">IF(K106&lt;0,1,0)</f>
        <v>0</v>
      </c>
      <c r="L107" s="13">
        <f t="shared" si="37"/>
        <v>0</v>
      </c>
      <c r="M107" s="13">
        <f t="shared" si="37"/>
        <v>0</v>
      </c>
      <c r="N107" s="13">
        <f t="shared" si="37"/>
        <v>0</v>
      </c>
      <c r="O107" s="13">
        <f t="shared" si="37"/>
        <v>0</v>
      </c>
      <c r="P107" s="13">
        <f t="shared" si="37"/>
        <v>0</v>
      </c>
      <c r="Q107" s="13">
        <f t="shared" si="37"/>
        <v>0</v>
      </c>
      <c r="R107" s="13">
        <f t="shared" si="37"/>
        <v>0</v>
      </c>
      <c r="S107" s="13">
        <f t="shared" si="37"/>
        <v>0</v>
      </c>
      <c r="T107" s="13">
        <f t="shared" si="37"/>
        <v>0</v>
      </c>
      <c r="U107" s="13">
        <f t="shared" si="37"/>
        <v>0</v>
      </c>
      <c r="V107" s="13">
        <f t="shared" si="37"/>
        <v>0</v>
      </c>
    </row>
    <row r="108" spans="2:22">
      <c r="B108" t="s">
        <v>765</v>
      </c>
      <c r="J108" s="13">
        <f>IF(AND(I107=1,J107=0),IF(MAX(J106,0),1),0)</f>
        <v>0</v>
      </c>
      <c r="K108" s="13">
        <f t="shared" ref="K108:V108" si="38">IF(AND(J107=1,K107=0),IF(MAX(K106,0),1),0)</f>
        <v>0</v>
      </c>
      <c r="L108" s="13">
        <f t="shared" si="38"/>
        <v>0</v>
      </c>
      <c r="M108" s="13">
        <f t="shared" si="38"/>
        <v>0</v>
      </c>
      <c r="N108" s="13">
        <f t="shared" si="38"/>
        <v>0</v>
      </c>
      <c r="O108" s="13">
        <f t="shared" si="38"/>
        <v>0</v>
      </c>
      <c r="P108" s="13">
        <f t="shared" si="38"/>
        <v>0</v>
      </c>
      <c r="Q108" s="13">
        <f t="shared" si="38"/>
        <v>0</v>
      </c>
      <c r="R108" s="13">
        <f t="shared" si="38"/>
        <v>0</v>
      </c>
      <c r="S108" s="13">
        <f t="shared" si="38"/>
        <v>0</v>
      </c>
      <c r="T108" s="13">
        <f t="shared" si="38"/>
        <v>0</v>
      </c>
      <c r="U108" s="13">
        <f t="shared" si="38"/>
        <v>0</v>
      </c>
      <c r="V108" s="13">
        <f t="shared" si="38"/>
        <v>0</v>
      </c>
    </row>
    <row r="109" spans="2:22">
      <c r="B109" t="s">
        <v>766</v>
      </c>
      <c r="I109" s="22">
        <f>SUM(J109:V109)</f>
        <v>0</v>
      </c>
      <c r="J109" s="22">
        <f>IF(J108=1,-I106/J104,0)</f>
        <v>0</v>
      </c>
      <c r="K109" s="22">
        <f>IF(K108=1,-J106/K104,0)</f>
        <v>0</v>
      </c>
      <c r="L109" s="22">
        <f>IF(L108=1,-K106/L104,0)</f>
        <v>0</v>
      </c>
      <c r="M109" s="22">
        <f>IF(M108=1,-L106/M104,0)</f>
        <v>0</v>
      </c>
      <c r="N109" s="22">
        <f>IF(N108=1,-M106/N104,0)</f>
        <v>0</v>
      </c>
      <c r="O109" s="22">
        <f t="shared" ref="O109:V109" si="39">IF(O108=1,-N106/O104,0)</f>
        <v>0</v>
      </c>
      <c r="P109" s="22">
        <f t="shared" si="39"/>
        <v>0</v>
      </c>
      <c r="Q109" s="22">
        <f t="shared" si="39"/>
        <v>0</v>
      </c>
      <c r="R109" s="22">
        <f t="shared" si="39"/>
        <v>0</v>
      </c>
      <c r="S109" s="22">
        <f t="shared" si="39"/>
        <v>0</v>
      </c>
      <c r="T109" s="22">
        <f t="shared" si="39"/>
        <v>0</v>
      </c>
      <c r="U109" s="22">
        <f t="shared" si="39"/>
        <v>0</v>
      </c>
      <c r="V109" s="22">
        <f t="shared" si="39"/>
        <v>0</v>
      </c>
    </row>
    <row r="112" spans="2:22" ht="15.75">
      <c r="B112" s="15" t="s">
        <v>767</v>
      </c>
    </row>
    <row r="113" spans="2:10">
      <c r="B113" s="44" t="s">
        <v>54</v>
      </c>
      <c r="F113" s="21"/>
      <c r="J113" s="45" t="e">
        <f>XIRR(K104:V104,K7:V7)</f>
        <v>#NUM!</v>
      </c>
    </row>
    <row r="114" spans="2:10">
      <c r="B114" s="44" t="s">
        <v>768</v>
      </c>
      <c r="F114" s="22"/>
      <c r="J114" s="46">
        <f>SUM(I107,I109)</f>
        <v>0</v>
      </c>
    </row>
    <row r="115" spans="2:10">
      <c r="B115" s="407"/>
    </row>
  </sheetData>
  <conditionalFormatting sqref="J11:V11">
    <cfRule type="cellIs" dxfId="3" priority="4" operator="equal">
      <formula>1</formula>
    </cfRule>
  </conditionalFormatting>
  <conditionalFormatting sqref="K12:V12">
    <cfRule type="cellIs" dxfId="2" priority="3" operator="equal">
      <formula>1</formula>
    </cfRule>
  </conditionalFormatting>
  <conditionalFormatting sqref="J12">
    <cfRule type="cellIs" dxfId="1" priority="2" operator="equal">
      <formula>1</formula>
    </cfRule>
  </conditionalFormatting>
  <conditionalFormatting sqref="J107:V108">
    <cfRule type="cellIs" dxfId="0" priority="1" operator="equal">
      <formula>1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51FB2FD126E3E43BB3DFFD79F882A36" ma:contentTypeVersion="13" ma:contentTypeDescription="Create a new document." ma:contentTypeScope="" ma:versionID="aaeed11c8b1f7e8e6b80ccbd92808ae5">
  <xsd:schema xmlns:xsd="http://www.w3.org/2001/XMLSchema" xmlns:xs="http://www.w3.org/2001/XMLSchema" xmlns:p="http://schemas.microsoft.com/office/2006/metadata/properties" xmlns:ns3="da52d5ee-b8b2-4d6b-baf1-2ef14133b363" targetNamespace="http://schemas.microsoft.com/office/2006/metadata/properties" ma:root="true" ma:fieldsID="f29d8a4db70b8c90cd8b92a7dc464d50" ns3:_="">
    <xsd:import namespace="da52d5ee-b8b2-4d6b-baf1-2ef14133b363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  <xsd:element ref="ns3:MediaServiceLocation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a52d5ee-b8b2-4d6b-baf1-2ef14133b36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7" nillable="true" ma:displayName="_activity" ma:hidden="true" ma:internalName="_activity">
      <xsd:simpleType>
        <xsd:restriction base="dms:Note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a52d5ee-b8b2-4d6b-baf1-2ef14133b363" xsi:nil="true"/>
  </documentManagement>
</p:properties>
</file>

<file path=customXml/itemProps1.xml><?xml version="1.0" encoding="utf-8"?>
<ds:datastoreItem xmlns:ds="http://schemas.openxmlformats.org/officeDocument/2006/customXml" ds:itemID="{BAC09AE5-D1B9-48A3-BF0F-168635BB9C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a52d5ee-b8b2-4d6b-baf1-2ef14133b3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CCD27C1-DCFC-4DD0-87AC-B7591996573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C8D0253-6856-43B0-908C-292120FBDA61}">
  <ds:schemaRefs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purl.org/dc/elements/1.1/"/>
    <ds:schemaRef ds:uri="da52d5ee-b8b2-4d6b-baf1-2ef14133b363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12</vt:i4>
      </vt:variant>
    </vt:vector>
  </HeadingPairs>
  <TitlesOfParts>
    <vt:vector size="50" baseType="lpstr">
      <vt:lpstr>Sheet1</vt:lpstr>
      <vt:lpstr>Simulation&gt;&gt;</vt:lpstr>
      <vt:lpstr>Recap Fund Commitment</vt:lpstr>
      <vt:lpstr>Rupa-Rupa</vt:lpstr>
      <vt:lpstr>Updated Fund Commitment</vt:lpstr>
      <vt:lpstr>Update Fund</vt:lpstr>
      <vt:lpstr>Call Rights</vt:lpstr>
      <vt:lpstr>Update_Calculation</vt:lpstr>
      <vt:lpstr>Simulation</vt:lpstr>
      <vt:lpstr>Debt Sizing Sapphire</vt:lpstr>
      <vt:lpstr>Input&gt;&gt;</vt:lpstr>
      <vt:lpstr>BS_Historical</vt:lpstr>
      <vt:lpstr>Calculation&gt;&gt;</vt:lpstr>
      <vt:lpstr>Calculation_Sapphire</vt:lpstr>
      <vt:lpstr>Output &gt;&gt;</vt:lpstr>
      <vt:lpstr>Sheet3</vt:lpstr>
      <vt:lpstr>Chart</vt:lpstr>
      <vt:lpstr>SOE PoV Impact (USD)</vt:lpstr>
      <vt:lpstr>SOE PoV Impact (IDR)</vt:lpstr>
      <vt:lpstr>Calculation_SOEs</vt:lpstr>
      <vt:lpstr>Business Mapping</vt:lpstr>
      <vt:lpstr>TTL &amp; TBM</vt:lpstr>
      <vt:lpstr>Input</vt:lpstr>
      <vt:lpstr>Calculation_FSL</vt:lpstr>
      <vt:lpstr>Return_New Assumption</vt:lpstr>
      <vt:lpstr>Sheet2</vt:lpstr>
      <vt:lpstr>Output_FSL</vt:lpstr>
      <vt:lpstr>Summary_Report</vt:lpstr>
      <vt:lpstr>Calculation FKS PoV</vt:lpstr>
      <vt:lpstr>TBM FOCUS</vt:lpstr>
      <vt:lpstr>Impact FKS PoV</vt:lpstr>
      <vt:lpstr>Assumption Summary per Project</vt:lpstr>
      <vt:lpstr>Output_Standalone (IDR)</vt:lpstr>
      <vt:lpstr>Output_Standalone USD</vt:lpstr>
      <vt:lpstr>Output_Sapphire</vt:lpstr>
      <vt:lpstr>Consol &gt;&gt;</vt:lpstr>
      <vt:lpstr>Output_Consol_IDR</vt:lpstr>
      <vt:lpstr>Output_Consol_USD</vt:lpstr>
      <vt:lpstr>Check_Delta</vt:lpstr>
      <vt:lpstr>Delta_Interest_Rupa</vt:lpstr>
      <vt:lpstr>Delta_IRR</vt:lpstr>
      <vt:lpstr>Exit_Value</vt:lpstr>
      <vt:lpstr>Rupa_Interest_Copy</vt:lpstr>
      <vt:lpstr>Rupa_Interest_Paste</vt:lpstr>
      <vt:lpstr>Scenario</vt:lpstr>
      <vt:lpstr>Update_Table_Copy</vt:lpstr>
      <vt:lpstr>UpdateFrom</vt:lpstr>
      <vt:lpstr>UpdateTo</vt:lpstr>
      <vt:lpstr>Calculation_SOEs!USD_IDR</vt:lpstr>
      <vt:lpstr>USD_IDR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hening.pangastuti@fksgroup.com</dc:creator>
  <cp:keywords/>
  <dc:description/>
  <cp:lastModifiedBy>Nadia Veronica</cp:lastModifiedBy>
  <cp:revision/>
  <dcterms:created xsi:type="dcterms:W3CDTF">2022-07-20T12:11:00Z</dcterms:created>
  <dcterms:modified xsi:type="dcterms:W3CDTF">2026-09-28T00:53:20Z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6E78FA7E073D44E8A76BDC749C35E7A2</vt:lpwstr>
  </property>
  <property fmtid="{D5CDD505-2E9C-101B-9397-08002B2CF9AE}" pid="3" name="KSOProductBuildVer">
    <vt:lpwstr>1033-11.2.0.11537</vt:lpwstr>
  </property>
  <property fmtid="{D5CDD505-2E9C-101B-9397-08002B2CF9AE}" pid="4" name="KSOReadingLayout">
    <vt:bool>true</vt:bool>
  </property>
  <property fmtid="{D5CDD505-2E9C-101B-9397-08002B2CF9AE}" pid="5" name="ContentTypeId">
    <vt:lpwstr>0x010100451FB2FD126E3E43BB3DFFD79F882A36</vt:lpwstr>
  </property>
</Properties>
</file>