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der69\Desktop\Bloomberg Plugins TCO\"/>
    </mc:Choice>
  </mc:AlternateContent>
  <xr:revisionPtr revIDLastSave="0" documentId="8_{1B11C6DE-B557-4684-92C7-98C489217469}" xr6:coauthVersionLast="36" xr6:coauthVersionMax="36" xr10:uidLastSave="{00000000-0000-0000-0000-000000000000}"/>
  <bookViews>
    <workbookView xWindow="0" yWindow="0" windowWidth="24045" windowHeight="11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" i="1" l="1"/>
  <c r="F4" i="1"/>
  <c r="R4" i="1"/>
  <c r="D4" i="1"/>
  <c r="E4" i="1"/>
  <c r="I4" i="1"/>
  <c r="M4" i="1"/>
  <c r="G4" i="1"/>
  <c r="N4" i="1"/>
  <c r="S4" i="1"/>
  <c r="K4" i="1"/>
  <c r="H4" i="1"/>
  <c r="P4" i="1"/>
  <c r="L4" i="1"/>
  <c r="Y4" i="1"/>
  <c r="J4" i="1"/>
  <c r="U4" i="1"/>
  <c r="W4" i="1"/>
  <c r="V4" i="1"/>
  <c r="Z4" i="1"/>
  <c r="T4" i="1"/>
  <c r="AC4" i="1"/>
  <c r="M2" i="1"/>
  <c r="W2" i="1"/>
  <c r="Y2" i="1"/>
  <c r="K2" i="1"/>
  <c r="L2" i="1"/>
  <c r="E2" i="1"/>
  <c r="AB2" i="1"/>
  <c r="Q2" i="1"/>
  <c r="I2" i="1"/>
  <c r="B2" i="1"/>
  <c r="F2" i="1"/>
  <c r="D2" i="1"/>
  <c r="AA2" i="1"/>
  <c r="J2" i="1"/>
  <c r="H2" i="1"/>
  <c r="G2" i="1"/>
  <c r="N2" i="1"/>
  <c r="O2" i="1"/>
  <c r="T2" i="1"/>
  <c r="U2" i="1"/>
  <c r="P2" i="1"/>
  <c r="AC2" i="1"/>
  <c r="C2" i="1"/>
  <c r="R2" i="1"/>
  <c r="S2" i="1"/>
  <c r="V2" i="1"/>
  <c r="Z2" i="1"/>
  <c r="AA5" i="1"/>
  <c r="Q5" i="1"/>
  <c r="O5" i="1"/>
  <c r="D5" i="1"/>
  <c r="H5" i="1"/>
  <c r="C5" i="1"/>
  <c r="B5" i="1"/>
  <c r="Y5" i="1"/>
  <c r="G5" i="1"/>
  <c r="AB5" i="1"/>
  <c r="S5" i="1"/>
  <c r="Z5" i="1"/>
  <c r="F5" i="1"/>
  <c r="M5" i="1"/>
  <c r="E5" i="1"/>
  <c r="U5" i="1"/>
  <c r="T5" i="1"/>
  <c r="P5" i="1"/>
  <c r="R5" i="1"/>
  <c r="AC5" i="1"/>
  <c r="I5" i="1"/>
  <c r="N5" i="1"/>
  <c r="V1" i="1"/>
  <c r="N1" i="1"/>
  <c r="I1" i="1"/>
  <c r="F1" i="1"/>
  <c r="AC1" i="1"/>
  <c r="T1" i="1"/>
  <c r="B1" i="1"/>
  <c r="W1" i="1"/>
  <c r="S1" i="1"/>
  <c r="G1" i="1"/>
  <c r="K1" i="1"/>
  <c r="Z1" i="1"/>
  <c r="R1" i="1"/>
  <c r="Q1" i="1"/>
  <c r="M1" i="1"/>
  <c r="J1" i="1"/>
  <c r="L1" i="1"/>
  <c r="E1" i="1"/>
  <c r="U1" i="1"/>
  <c r="H1" i="1"/>
  <c r="Y1" i="1"/>
  <c r="P1" i="1"/>
  <c r="D3" i="1"/>
  <c r="W3" i="1"/>
  <c r="N3" i="1"/>
  <c r="Z3" i="1"/>
  <c r="P3" i="1"/>
  <c r="AC3" i="1"/>
  <c r="Q3" i="1"/>
  <c r="J3" i="1"/>
  <c r="AB3" i="1"/>
  <c r="C3" i="1"/>
  <c r="M3" i="1"/>
  <c r="O3" i="1"/>
  <c r="V3" i="1"/>
  <c r="U3" i="1"/>
  <c r="L3" i="1"/>
  <c r="AA3" i="1"/>
  <c r="I3" i="1"/>
  <c r="Y3" i="1"/>
  <c r="R3" i="1"/>
  <c r="E3" i="1"/>
  <c r="K3" i="1"/>
  <c r="B3" i="1"/>
  <c r="AA4" i="1"/>
  <c r="O4" i="1"/>
  <c r="C4" i="1"/>
  <c r="AB4" i="1"/>
  <c r="B4" i="1"/>
  <c r="Z6" i="1"/>
  <c r="B6" i="1"/>
  <c r="C6" i="1"/>
  <c r="V6" i="1"/>
  <c r="Q6" i="1"/>
  <c r="AB6" i="1"/>
  <c r="Y6" i="1"/>
  <c r="J6" i="1"/>
  <c r="F6" i="1"/>
  <c r="P6" i="1"/>
  <c r="N6" i="1"/>
  <c r="K6" i="1"/>
  <c r="AA6" i="1"/>
  <c r="R6" i="1"/>
  <c r="M6" i="1"/>
  <c r="W6" i="1"/>
  <c r="I6" i="1"/>
  <c r="O6" i="1"/>
  <c r="AC6" i="1"/>
  <c r="E6" i="1"/>
  <c r="D6" i="1"/>
  <c r="L6" i="1"/>
  <c r="H6" i="1"/>
  <c r="G6" i="1"/>
  <c r="S6" i="1"/>
  <c r="T6" i="1"/>
  <c r="U6" i="1"/>
  <c r="D1" i="1"/>
  <c r="O1" i="1"/>
  <c r="C1" i="1"/>
  <c r="AB1" i="1"/>
  <c r="AA1" i="1"/>
  <c r="G3" i="1"/>
  <c r="H3" i="1"/>
  <c r="T3" i="1"/>
  <c r="S3" i="1"/>
  <c r="F3" i="1"/>
  <c r="L5" i="1"/>
  <c r="W5" i="1"/>
  <c r="K5" i="1"/>
  <c r="J5" i="1"/>
  <c r="V5" i="1"/>
  <c r="X6" i="1"/>
  <c r="X5" i="1"/>
  <c r="X4" i="1"/>
  <c r="X3" i="1"/>
  <c r="X2" i="1"/>
  <c r="X1" i="1"/>
</calcChain>
</file>

<file path=xl/sharedStrings.xml><?xml version="1.0" encoding="utf-8"?>
<sst xmlns="http://schemas.openxmlformats.org/spreadsheetml/2006/main" count="6" uniqueCount="6">
  <si>
    <t>KGS US 2023</t>
  </si>
  <si>
    <t>KGS US 2022</t>
  </si>
  <si>
    <t>KGS US 2021</t>
  </si>
  <si>
    <t>KGS US 2020</t>
  </si>
  <si>
    <t>KGS US 2019</t>
  </si>
  <si>
    <t>KGS 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</si>
</sst>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BDH|13549328696620812396</stp>
        <tr r="S4" s="1"/>
      </tp>
      <tp t="s">
        <v>#N/A N/A</v>
        <stp/>
        <stp>BDH|16000805586925790943</stp>
        <tr r="D4" s="1"/>
      </tp>
      <tp t="s">
        <v>#N/A N/A</v>
        <stp/>
        <stp>BDH|16714420554719014458</stp>
        <tr r="Q6" s="1"/>
      </tp>
      <tp t="s">
        <v>#N/A N/A</v>
        <stp/>
        <stp>BDH|17979328181333645538</stp>
        <tr r="AA5" s="1"/>
      </tp>
      <tp t="s">
        <v>#N/A N/A</v>
        <stp/>
        <stp>BDH|17006783582346462413</stp>
        <tr r="Y2" s="1"/>
      </tp>
      <tp t="s">
        <v>#N/A N/A</v>
        <stp/>
        <stp>BDH|15876488489315093782</stp>
        <tr r="AB2" s="1"/>
      </tp>
      <tp t="s">
        <v>#N/A N/A</v>
        <stp/>
        <stp>BDH|11207551511818518686</stp>
        <tr r="Z5" s="1"/>
      </tp>
      <tp t="s">
        <v>#N/A N/A</v>
        <stp/>
        <stp>BDH|13536480467982147867</stp>
        <tr r="N3" s="1"/>
      </tp>
      <tp t="s">
        <v>#N/A N/A</v>
        <stp/>
        <stp>BDH|15097139912989767781</stp>
        <tr r="J6" s="1"/>
      </tp>
      <tp t="s">
        <v>#N/A N/A</v>
        <stp/>
        <stp>BDH|14831050210746651853</stp>
        <tr r="M4" s="1"/>
      </tp>
      <tp t="s">
        <v>#N/A N/A</v>
        <stp/>
        <stp>BDH|14588421456924620927</stp>
        <tr r="T1" s="1"/>
      </tp>
      <tp t="s">
        <v>#N/A N/A</v>
        <stp/>
        <stp>BDH|12286689088151426525</stp>
        <tr r="B1" s="1"/>
      </tp>
      <tp t="s">
        <v>#N/A N/A</v>
        <stp/>
        <stp>BDH|11196859874807094173</stp>
        <tr r="Q3" s="1"/>
      </tp>
      <tp t="s">
        <v>#N/A N/A</v>
        <stp/>
        <stp>BDH|11592695693263506570</stp>
        <tr r="J3" s="1"/>
      </tp>
      <tp t="s">
        <v>#N/A N/A</v>
        <stp/>
        <stp>BDH|15470815140865251569</stp>
        <tr r="AB6" s="1"/>
      </tp>
      <tp t="s">
        <v>#N/A N/A</v>
        <stp/>
        <stp>BDH|11986009799828563957</stp>
        <tr r="AC3" s="1"/>
      </tp>
      <tp t="s">
        <v>#N/A N/A</v>
        <stp/>
        <stp>BDH|13329888802042879034</stp>
        <tr r="Z3" s="1"/>
      </tp>
      <tp t="s">
        <v>#N/A N/A</v>
        <stp/>
        <stp>BDH|14937516824863635965</stp>
        <tr r="W3" s="1"/>
      </tp>
      <tp t="s">
        <v>#N/A N/A</v>
        <stp/>
        <stp>BDH|18126433327460818734</stp>
        <tr r="L5" s="1"/>
      </tp>
      <tp t="s">
        <v>#N/A N/A</v>
        <stp/>
        <stp>BDH|15484605623867082880</stp>
        <tr r="Q2" s="1"/>
      </tp>
      <tp t="s">
        <v>#N/A N/A</v>
        <stp/>
        <stp>BDH|16754274790051859381</stp>
        <tr r="H5" s="1"/>
      </tp>
      <tp t="s">
        <v>#N/A N/A</v>
        <stp/>
        <stp>BDH|14161336941009449570</stp>
        <tr r="M2" s="1"/>
      </tp>
      <tp t="s">
        <v>#N/A N/A</v>
        <stp/>
        <stp>BDH|18049725452455607055</stp>
        <tr r="Z6" s="1"/>
      </tp>
      <tp t="s">
        <v>#N/A N/A</v>
        <stp/>
        <stp>BDH|17749861983749306138</stp>
        <tr r="E2" s="1"/>
      </tp>
      <tp t="s">
        <v>#N/A N/A</v>
        <stp/>
        <stp>BDH|12776737733881764877</stp>
        <tr r="AC1" s="1"/>
      </tp>
      <tp t="s">
        <v>#N/A N/A</v>
        <stp/>
        <stp>BDH|16817408352911939952</stp>
        <tr r="W2" s="1"/>
      </tp>
      <tp t="s">
        <v>#N/A N/A</v>
        <stp/>
        <stp>BDH|16972071162099481677</stp>
        <tr r="N1" s="1"/>
      </tp>
      <tp t="s">
        <v>#N/A N/A</v>
        <stp/>
        <stp>BDH|17157624310085660948</stp>
        <tr r="V6" s="1"/>
      </tp>
      <tp t="s">
        <v>#N/A N/A</v>
        <stp/>
        <stp>BDH|11270073984076448350</stp>
        <tr r="F2" s="1"/>
      </tp>
      <tp t="s">
        <v>#N/A N/A</v>
        <stp/>
        <stp>BDH|15501815678004821241</stp>
        <tr r="F1" s="1"/>
      </tp>
      <tp t="s">
        <v>#N/A N/A</v>
        <stp/>
        <stp>BDH|10442721238871052936</stp>
        <tr r="C3" s="1"/>
      </tp>
      <tp t="s">
        <v>#N/A N/A</v>
        <stp/>
        <stp>BDH|11772505079009762650</stp>
        <tr r="I2" s="1"/>
      </tp>
      <tp t="s">
        <v>#N/A N/A</v>
        <stp/>
        <stp>BDH|11707672863819417542</stp>
        <tr r="S1" s="1"/>
      </tp>
      <tp t="s">
        <v>#N/A N/A</v>
        <stp/>
        <stp>BDH|16011926656394149363</stp>
        <tr r="I1" s="1"/>
      </tp>
      <tp t="s">
        <v>#N/A N/A</v>
        <stp/>
        <stp>BDH|16020344226057529269</stp>
        <tr r="Y6" s="1"/>
      </tp>
      <tp t="s">
        <v>#N/A N/A</v>
        <stp/>
        <stp>BDH|18251101454917764995</stp>
        <tr r="G3" s="1"/>
      </tp>
      <tp t="s">
        <v>#N/A N/A</v>
        <stp/>
        <stp>BDH|14824090285458964656</stp>
        <tr r="O1" s="1"/>
      </tp>
      <tp t="s">
        <v>#N/A N/A</v>
        <stp/>
        <stp>BDH|15021505638776119730</stp>
        <tr r="AA4" s="1"/>
      </tp>
      <tp t="s">
        <v>#N/A N/A</v>
        <stp/>
        <stp>BDH|11862382834180381223</stp>
        <tr r="N6" s="1"/>
      </tp>
      <tp t="s">
        <v>#N/A N/A</v>
        <stp/>
        <stp>BDH|12522051877537624176</stp>
        <tr r="S5" s="1"/>
      </tp>
      <tp t="s">
        <v>#N/A N/A</v>
        <stp/>
        <stp>BDH|12071640065250244180</stp>
        <tr r="P6" s="1"/>
      </tp>
      <tp t="s">
        <v>#N/A N/A</v>
        <stp/>
        <stp>BDH|11166994478557979899</stp>
        <tr r="AB3" s="1"/>
      </tp>
      <tp t="s">
        <v>#N/A N/A</v>
        <stp/>
        <stp>BDH|13863181403881414378</stp>
        <tr r="G4" s="1"/>
      </tp>
      <tp t="s">
        <v>#N/A N/A</v>
        <stp/>
        <stp>BDH|12845278994798439194</stp>
        <tr r="B2" s="1"/>
      </tp>
      <tp t="s">
        <v>#N/A N/A</v>
        <stp/>
        <stp>BDH|16130306640034065573</stp>
        <tr r="W5" s="1"/>
      </tp>
      <tp t="s">
        <v>#N/A N/A</v>
        <stp/>
        <stp>BDH|18186518499501625546</stp>
        <tr r="V1" s="1"/>
      </tp>
      <tp t="s">
        <v>#N/A N/A</v>
        <stp/>
        <stp>BDH|13540755263913138038</stp>
        <tr r="G5" s="1"/>
      </tp>
      <tp t="s">
        <v>#N/A N/A</v>
        <stp/>
        <stp>BDH|15810346696037777991</stp>
        <tr r="E4" s="1"/>
      </tp>
      <tp t="s">
        <v>#N/A N/A</v>
        <stp/>
        <stp>BDH|11272764405027518021</stp>
        <tr r="K4" s="1"/>
      </tp>
      <tp t="s">
        <v>#N/A N/A</v>
        <stp/>
        <stp>BDH|18213088193752549241</stp>
        <tr r="B6" s="1"/>
      </tp>
      <tp t="s">
        <v>#N/A N/A</v>
        <stp/>
        <stp>BDH|17745181440322456132</stp>
        <tr r="C6" s="1"/>
      </tp>
      <tp t="s">
        <v>#N/A N/A</v>
        <stp/>
        <stp>BDH|16114127208263198565</stp>
        <tr r="F4" s="1"/>
      </tp>
      <tp t="s">
        <v>#N/A N/A</v>
        <stp/>
        <stp>BDH|17188453080084615911</stp>
        <tr r="D1" s="1"/>
      </tp>
      <tp t="s">
        <v>#N/A N/A</v>
        <stp/>
        <stp>BDH|13128303812966167107</stp>
        <tr r="F6" s="1"/>
      </tp>
      <tp t="s">
        <v>#N/A N/A</v>
        <stp/>
        <stp>BDH|12901587817359837918</stp>
        <tr r="AB5" s="1"/>
      </tp>
      <tp t="s">
        <v>#N/A N/A</v>
        <stp/>
        <stp>BDH|11971555309127263477</stp>
        <tr r="W1" s="1"/>
      </tp>
      <tp t="s">
        <v>#N/A N/A</v>
        <stp/>
        <stp>BDH|15700705072600910299</stp>
        <tr r="D3" s="1"/>
      </tp>
      <tp t="s">
        <v>#N/A N/A</v>
        <stp/>
        <stp>BDH|10464805537414518820</stp>
        <tr r="M5" s="1"/>
      </tp>
      <tp t="s">
        <v>#N/A N/A</v>
        <stp/>
        <stp>BDH|12917837197610178455</stp>
        <tr r="N4" s="1"/>
      </tp>
      <tp t="s">
        <v>#N/A N/A</v>
        <stp/>
        <stp>BDH|14908720206357321359</stp>
        <tr r="I4" s="1"/>
      </tp>
      <tp t="s">
        <v>#N/A N/A</v>
        <stp/>
        <stp>BDH|16933918425369159360</stp>
        <tr r="D5" s="1"/>
      </tp>
      <tp t="s">
        <v>#N/A N/A</v>
        <stp/>
        <stp>BDH|17207692295687063843</stp>
        <tr r="O5" s="1"/>
      </tp>
      <tp t="s">
        <v>#N/A N/A</v>
        <stp/>
        <stp>BDH|10919318610550143540</stp>
        <tr r="F5" s="1"/>
      </tp>
      <tp t="s">
        <v>#N/A N/A</v>
        <stp/>
        <stp>BDH|13019390663282356346</stp>
        <tr r="K5" s="1"/>
      </tp>
      <tp t="s">
        <v>#N/A N/A</v>
        <stp/>
        <stp>BDH|13360002901874755370</stp>
        <tr r="H6" s="1"/>
      </tp>
      <tp t="s">
        <v>#N/A N/A</v>
        <stp/>
        <stp>BDH|17776360815037543668</stp>
        <tr r="Q5" s="1"/>
      </tp>
      <tp t="s">
        <v>#N/A N/A</v>
        <stp/>
        <stp>BDH|13228659224456026540</stp>
        <tr r="P3" s="1"/>
      </tp>
      <tp t="s">
        <v>#N/A N/A</v>
        <stp/>
        <stp>BDH|14180645745486397491</stp>
        <tr r="Y5" s="1"/>
      </tp>
      <tp t="s">
        <v>#N/A N/A</v>
        <stp/>
        <stp>BDH|10180694755156494164</stp>
        <tr r="R6" s="1"/>
      </tp>
      <tp t="s">
        <v>#N/A N/A</v>
        <stp/>
        <stp>BDH|16726697246651821013</stp>
        <tr r="C5" s="1"/>
      </tp>
      <tp t="s">
        <v>#N/A N/A</v>
        <stp/>
        <stp>BDH|14345511515985135060</stp>
        <tr r="B5" s="1"/>
      </tp>
      <tp t="s">
        <v>#N/A N/A</v>
        <stp/>
        <stp>BDH|11718860178772256994</stp>
        <tr r="K6" s="1"/>
      </tp>
      <tp t="s">
        <v>#N/A N/A</v>
        <stp/>
        <stp>BDH|17098343024561248253</stp>
        <tr r="Q4" s="1"/>
      </tp>
      <tp t="s">
        <v>#N/A N/A</v>
        <stp/>
        <stp>BDH|11193727648173170406</stp>
        <tr r="D2" s="1"/>
      </tp>
      <tp t="s">
        <v>#N/A N/A</v>
        <stp/>
        <stp>BDH|10166049809600245523</stp>
        <tr r="G1" s="1"/>
      </tp>
      <tp t="s">
        <v>#N/A N/A</v>
        <stp/>
        <stp>BDH|16068782251305314463</stp>
        <tr r="R4" s="1"/>
      </tp>
      <tp t="s">
        <v>#N/A N/A</v>
        <stp/>
        <stp>BDH|10224191223881222748</stp>
        <tr r="AA6" s="1"/>
      </tp>
    </main>
    <main first="bofaddin.rtdserver">
      <tp t="s">
        <v>#N/A N/A</v>
        <stp/>
        <stp>BDH|7048499449823976869</stp>
        <tr r="U3" s="1"/>
      </tp>
      <tp t="s">
        <v>#N/A N/A</v>
        <stp/>
        <stp>BDH|8399363719566755063</stp>
        <tr r="Q1" s="1"/>
      </tp>
      <tp t="s">
        <v>#N/A N/A</v>
        <stp/>
        <stp>BDH|8838554080268599150</stp>
        <tr r="M3" s="1"/>
      </tp>
      <tp t="s">
        <v>#N/A N/A</v>
        <stp/>
        <stp>BDH|4636506382665480014</stp>
        <tr r="E1" s="1"/>
      </tp>
      <tp t="s">
        <v>#N/A N/A</v>
        <stp/>
        <stp>BDH|9933077227897937068</stp>
        <tr r="W6" s="1"/>
      </tp>
      <tp t="s">
        <v>#N/A N/A</v>
        <stp/>
        <stp>BDH|5423411691443104672</stp>
        <tr r="B4" s="1"/>
      </tp>
      <tp t="s">
        <v>#N/A N/A</v>
        <stp/>
        <stp>BDH|5674905144055518068</stp>
        <tr r="AB1" s="1"/>
      </tp>
      <tp t="s">
        <v>#N/A N/A</v>
        <stp/>
        <stp>BDH|5470963203390263164</stp>
        <tr r="T2" s="1"/>
      </tp>
      <tp t="s">
        <v>#N/A N/A</v>
        <stp/>
        <stp>BDH|5700208737798272297</stp>
        <tr r="O2" s="1"/>
      </tp>
      <tp t="s">
        <v>#N/A N/A</v>
        <stp/>
        <stp>BDH|8394035146232827060</stp>
        <tr r="Y4" s="1"/>
      </tp>
      <tp t="s">
        <v>#N/A N/A</v>
        <stp/>
        <stp>BDH|7010794407388756672</stp>
        <tr r="L3" s="1"/>
      </tp>
      <tp t="s">
        <v>#N/A N/A</v>
        <stp/>
        <stp>BDH|8329454235153663292</stp>
        <tr r="R1" s="1"/>
      </tp>
      <tp t="s">
        <v>#N/A N/A</v>
        <stp/>
        <stp>BDH|8368773505161822045</stp>
        <tr r="L2" s="1"/>
      </tp>
      <tp t="s">
        <v>#N/A N/A</v>
        <stp/>
        <stp>BDH|8151909871749159132</stp>
        <tr r="U4" s="1"/>
      </tp>
      <tp t="s">
        <v>#N/A N/A</v>
        <stp/>
        <stp>BDH|4206891934793938249</stp>
        <tr r="AA1" s="1"/>
      </tp>
      <tp t="s">
        <v>#N/A N/A</v>
        <stp/>
        <stp>BDH|9124515501541649306</stp>
        <tr r="AC6" s="1"/>
      </tp>
      <tp t="s">
        <v>#N/A N/A</v>
        <stp/>
        <stp>BDH|2614836574643378068</stp>
        <tr r="R5" s="1"/>
      </tp>
      <tp t="s">
        <v>#N/A N/A</v>
        <stp/>
        <stp>BDH|9934250755668292906</stp>
        <tr r="AA2" s="1"/>
      </tp>
      <tp t="s">
        <v>#N/A N/A</v>
        <stp/>
        <stp>BDH|3202777188552370160</stp>
        <tr r="H1" s="1"/>
      </tp>
      <tp t="s">
        <v>#N/A N/A</v>
        <stp/>
        <stp>BDH|8987862274900519802</stp>
        <tr r="P4" s="1"/>
      </tp>
      <tp t="s">
        <v>#N/A N/A</v>
        <stp/>
        <stp>BDH|2442294001138628756</stp>
        <tr r="AC5" s="1"/>
      </tp>
      <tp t="s">
        <v>#N/A N/A</v>
        <stp/>
        <stp>BDH|6073557340810082887</stp>
        <tr r="N2" s="1"/>
      </tp>
      <tp t="s">
        <v>#N/A N/A</v>
        <stp/>
        <stp>BDH|7907075345589168285</stp>
        <tr r="V3" s="1"/>
      </tp>
      <tp t="s">
        <v>#N/A N/A</v>
        <stp/>
        <stp>BDH|9214770620755534120</stp>
        <tr r="M6" s="1"/>
      </tp>
      <tp t="s">
        <v>#N/A N/A</v>
        <stp/>
        <stp>BDH|9564068195880121851</stp>
        <tr r="J2" s="1"/>
      </tp>
      <tp t="s">
        <v>#N/A N/A</v>
        <stp/>
        <stp>BDH|5632733690587082463</stp>
        <tr r="J1" s="1"/>
      </tp>
      <tp t="s">
        <v>#N/A N/A</v>
        <stp/>
        <stp>BDH|4629359766461090859</stp>
        <tr r="D6" s="1"/>
      </tp>
      <tp t="s">
        <v>#N/A N/A</v>
        <stp/>
        <stp>BDH|9361813161139515600</stp>
        <tr r="O4" s="1"/>
      </tp>
      <tp t="s">
        <v>#N/A N/A</v>
        <stp/>
        <stp>BDH|5107049532939497765</stp>
        <tr r="U2" s="1"/>
      </tp>
      <tp t="s">
        <v>#N/A N/A</v>
        <stp/>
        <stp>BDH|9999823240658890415</stp>
        <tr r="K1" s="1"/>
      </tp>
      <tp t="s">
        <v>#N/A N/A</v>
        <stp/>
        <stp>BDH|2681586396875884212</stp>
        <tr r="Z4" s="1"/>
      </tp>
      <tp t="s">
        <v>#N/A N/A</v>
        <stp/>
        <stp>BDH|8527945189637864778</stp>
        <tr r="Z1" s="1"/>
      </tp>
      <tp t="s">
        <v>#N/A N/A</v>
        <stp/>
        <stp>BDH|4487273195862405474</stp>
        <tr r="L6" s="1"/>
      </tp>
      <tp t="s">
        <v>#N/A N/A</v>
        <stp/>
        <stp>BDH|7929570861276260863</stp>
        <tr r="O3" s="1"/>
      </tp>
      <tp t="s">
        <v>#N/A N/A</v>
        <stp/>
        <stp>BDH|2451033803558186044</stp>
        <tr r="T4" s="1"/>
      </tp>
      <tp t="s">
        <v>#N/A N/A</v>
        <stp/>
        <stp>BDH|5438003654988267260</stp>
        <tr r="L1" s="1"/>
      </tp>
      <tp t="s">
        <v>#N/A N/A</v>
        <stp/>
        <stp>BDH|4088336304919386586</stp>
        <tr r="T5" s="1"/>
      </tp>
      <tp t="s">
        <v>#N/A N/A</v>
        <stp/>
        <stp>BDH|8103752358290598184</stp>
        <tr r="I6" s="1"/>
      </tp>
      <tp t="s">
        <v>#N/A N/A</v>
        <stp/>
        <stp>BDH|7000218509914627507</stp>
        <tr r="I3" s="1"/>
      </tp>
      <tp t="s">
        <v>#N/A N/A</v>
        <stp/>
        <stp>BDH|5672440946675483428</stp>
        <tr r="K2" s="1"/>
      </tp>
      <tp t="s">
        <v>#N/A N/A</v>
        <stp/>
        <stp>BDH|3330516454720275771</stp>
        <tr r="P5" s="1"/>
      </tp>
      <tp t="s">
        <v>#N/A N/A</v>
        <stp/>
        <stp>BDH|1959671849897729038</stp>
        <tr r="Y1" s="1"/>
      </tp>
      <tp t="s">
        <v>#N/A N/A</v>
        <stp/>
        <stp>BDH|3298973762931718901</stp>
        <tr r="R2" s="1"/>
      </tp>
      <tp t="s">
        <v>#N/A N/A</v>
        <stp/>
        <stp>BDH|9180877863865744675</stp>
        <tr r="H2" s="1"/>
      </tp>
      <tp t="s">
        <v>#N/A N/A</v>
        <stp/>
        <stp>BDH|2974421310403036100</stp>
        <tr r="V4" s="1"/>
      </tp>
      <tp t="s">
        <v>#N/A N/A</v>
        <stp/>
        <stp>BDH|5316427913352989738</stp>
        <tr r="J4" s="1"/>
      </tp>
      <tp t="s">
        <v>#N/A N/A</v>
        <stp/>
        <stp>BDH|2316470060800485594</stp>
        <tr r="R3" s="1"/>
      </tp>
      <tp t="s">
        <v>#N/A N/A</v>
        <stp/>
        <stp>BDH|3409058329974366052</stp>
        <tr r="AC2" s="1"/>
      </tp>
      <tp t="s">
        <v>#N/A N/A</v>
        <stp/>
        <stp>BDH|5137928781021369073</stp>
        <tr r="H3" s="1"/>
      </tp>
      <tp t="s">
        <v>#N/A N/A</v>
        <stp/>
        <stp>BDH|4315328891398228367</stp>
        <tr r="T6" s="1"/>
      </tp>
      <tp t="s">
        <v>#N/A N/A</v>
        <stp/>
        <stp>BDH|3127140959128366936</stp>
        <tr r="W4" s="1"/>
      </tp>
      <tp t="s">
        <v>#N/A N/A</v>
        <stp/>
        <stp>BDH|7107363507721714309</stp>
        <tr r="S3" s="1"/>
      </tp>
      <tp t="s">
        <v>#N/A N/A</v>
        <stp/>
        <stp>BDP|9135210448278524180</stp>
        <tr r="X1" s="1"/>
        <tr r="X2" s="1"/>
        <tr r="X3" s="1"/>
        <tr r="X4" s="1"/>
        <tr r="X5" s="1"/>
        <tr r="X6" s="1"/>
      </tp>
      <tp t="s">
        <v>#N/A N/A</v>
        <stp/>
        <stp>BDH|2126430617781571051</stp>
        <tr r="AB4" s="1"/>
      </tp>
      <tp t="s">
        <v>#N/A N/A</v>
        <stp/>
        <stp>BDH|15852415990877208</stp>
        <tr r="P1" s="1"/>
      </tp>
      <tp t="s">
        <v>#N/A N/A</v>
        <stp/>
        <stp>BDH|9508452640939715789</stp>
        <tr r="O6" s="1"/>
      </tp>
      <tp t="s">
        <v>#N/A N/A</v>
        <stp/>
        <stp>BDH|6528641222813705698</stp>
        <tr r="G2" s="1"/>
      </tp>
      <tp t="s">
        <v>#N/A N/A</v>
        <stp/>
        <stp>BDH|3185822693292869785</stp>
        <tr r="Y3" s="1"/>
      </tp>
      <tp t="s">
        <v>#N/A N/A</v>
        <stp/>
        <stp>BDH|3934780092209037356</stp>
        <tr r="P2" s="1"/>
      </tp>
      <tp t="s">
        <v>#N/A N/A</v>
        <stp/>
        <stp>BDH|9346821526533310712</stp>
        <tr r="H4" s="1"/>
      </tp>
      <tp t="s">
        <v>#N/A N/A</v>
        <stp/>
        <stp>BDH|7513203153128474892</stp>
        <tr r="E6" s="1"/>
      </tp>
      <tp t="s">
        <v>#N/A N/A</v>
        <stp/>
        <stp>BDH|3782492025983127627</stp>
        <tr r="C2" s="1"/>
      </tp>
      <tp t="s">
        <v>#N/A N/A</v>
        <stp/>
        <stp>BDH|5135806327399940606</stp>
        <tr r="S6" s="1"/>
      </tp>
      <tp t="s">
        <v>#N/A N/A</v>
        <stp/>
        <stp>BDH|6730824385782637469</stp>
        <tr r="V5" s="1"/>
      </tp>
      <tp t="s">
        <v>#N/A N/A</v>
        <stp/>
        <stp>BDH|1249246506016927586</stp>
        <tr r="I5" s="1"/>
      </tp>
      <tp t="s">
        <v>#N/A N/A</v>
        <stp/>
        <stp>BDH|4783156928222592594</stp>
        <tr r="U1" s="1"/>
      </tp>
      <tp t="s">
        <v>#N/A N/A</v>
        <stp/>
        <stp>BDH|5267832840171435822</stp>
        <tr r="T3" s="1"/>
      </tp>
      <tp t="s">
        <v>#N/A N/A</v>
        <stp/>
        <stp>BDH|1170493869014167740</stp>
        <tr r="U6" s="1"/>
      </tp>
      <tp t="s">
        <v>#N/A N/A</v>
        <stp/>
        <stp>BDH|6226169556607530523</stp>
        <tr r="M1" s="1"/>
      </tp>
      <tp t="s">
        <v>#N/A N/A</v>
        <stp/>
        <stp>BDH|6426390362157423533</stp>
        <tr r="E5" s="1"/>
      </tp>
      <tp t="s">
        <v>#N/A N/A</v>
        <stp/>
        <stp>BDH|6429766459705604010</stp>
        <tr r="C4" s="1"/>
      </tp>
      <tp t="s">
        <v>#N/A N/A</v>
        <stp/>
        <stp>BDH|8517505530217203842</stp>
        <tr r="L4" s="1"/>
      </tp>
      <tp t="s">
        <v>#N/A N/A</v>
        <stp/>
        <stp>BDH|4212016807930366566</stp>
        <tr r="U5" s="1"/>
      </tp>
      <tp t="s">
        <v>#N/A N/A</v>
        <stp/>
        <stp>BDH|5307277600921887403</stp>
        <tr r="AA3" s="1"/>
      </tp>
      <tp t="s">
        <v>#N/A N/A</v>
        <stp/>
        <stp>BDH|6494646896279445216</stp>
        <tr r="G6" s="1"/>
      </tp>
      <tp t="s">
        <v>#N/A N/A</v>
        <stp/>
        <stp>BDH|8340126165868529504</stp>
        <tr r="C1" s="1"/>
      </tp>
      <tp t="s">
        <v>#N/A N/A</v>
        <stp/>
        <stp>BDH|1649115938919262965</stp>
        <tr r="B3" s="1"/>
      </tp>
      <tp t="s">
        <v>#N/A N/A</v>
        <stp/>
        <stp>BDH|8256706494815082081</stp>
        <tr r="J5" s="1"/>
      </tp>
      <tp t="s">
        <v>#N/A N/A</v>
        <stp/>
        <stp>BDH|987184612561937145</stp>
        <tr r="E3" s="1"/>
      </tp>
      <tp t="s">
        <v>#N/A N/A</v>
        <stp/>
        <stp>BDH|506150094333368921</stp>
        <tr r="K3" s="1"/>
      </tp>
      <tp t="s">
        <v>#N/A N/A</v>
        <stp/>
        <stp>BDH|252096777844931159</stp>
        <tr r="Z2" s="1"/>
      </tp>
      <tp t="s">
        <v>#N/A N/A</v>
        <stp/>
        <stp>BDH|609433369730971076</stp>
        <tr r="S2" s="1"/>
      </tp>
      <tp t="s">
        <v>#N/A N/A</v>
        <stp/>
        <stp>BDH|828580576229978631</stp>
        <tr r="N5" s="1"/>
      </tp>
      <tp t="s">
        <v>#N/A N/A</v>
        <stp/>
        <stp>BDH|131047813057231923</stp>
        <tr r="F3" s="1"/>
      </tp>
      <tp t="s">
        <v>#N/A N/A</v>
        <stp/>
        <stp>BDH|716870601801616027</stp>
        <tr r="AC4" s="1"/>
      </tp>
      <tp t="s">
        <v>#N/A N/A</v>
        <stp/>
        <stp>BDH|156017104130697894</stp>
        <tr r="V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workbookViewId="0"/>
  </sheetViews>
  <sheetFormatPr defaultRowHeight="15" x14ac:dyDescent="0.25"/>
  <sheetData>
    <row r="1" spans="1:29" x14ac:dyDescent="0.25">
      <c r="A1" t="s">
        <v>0</v>
      </c>
      <c r="B1" t="str">
        <f>_xll.BDH("KGS US Equity", "GHG_SCOPE_1", "FY 2023")</f>
        <v>#N/A N/A</v>
      </c>
      <c r="C1" t="str">
        <f>_xll.BDH("KGS US Equity", "GHG_SCOPE_2_LOCATION_BASED", "FY 2023")</f>
        <v>#N/A N/A</v>
      </c>
      <c r="D1" t="str">
        <f>_xll.BDH("KGS US Equity", "GHG_SCOPE_3", "FY 2023")</f>
        <v>#N/A N/A</v>
      </c>
      <c r="E1" t="str">
        <f>_xll.BDH("KGS US Equity", "SCOPE_3_PURCH_GOODS_SRVCS", "FY 2023")</f>
        <v>#N/A N/A</v>
      </c>
      <c r="F1" t="str">
        <f>_xll.BDH("KGS US Equity", "SCOPE_3_CAPITAL_GOODS", "FY 2023")</f>
        <v>#N/A N/A</v>
      </c>
      <c r="G1" t="str">
        <f>_xll.BDH("KGS US Equity", "SCOPE_3_FUEL_ENRG_RELATD_ACT", "FY 2023")</f>
        <v>#N/A N/A</v>
      </c>
      <c r="H1" t="str">
        <f>_xll.BDH("KGS US Equity", "SCOPE_3_UPSTREAM_TRANS_DIST", "FY 2023")</f>
        <v>#N/A N/A</v>
      </c>
      <c r="I1" t="str">
        <f>_xll.BDH("KGS US Equity", "SCOPE_3_WASTE_GENRTD_IN_OP", "FY 2023")</f>
        <v>#N/A N/A</v>
      </c>
      <c r="J1" t="str">
        <f>_xll.BDH("KGS US Equity", "SCOPE_3_BUSINESS_TRVL_EMISSIONS", "FY 2023")</f>
        <v>#N/A N/A</v>
      </c>
      <c r="K1" t="str">
        <f>_xll.BDH("KGS US Equity", "SCOPE_3_EMPLOYEE_COMMUTING", "FY 2023")</f>
        <v>#N/A N/A</v>
      </c>
      <c r="L1" t="str">
        <f>_xll.BDH("KGS US Equity", "SCOPE_3_UPSTREAM_LEASED_ASSETS", "FY 2023")</f>
        <v>#N/A N/A</v>
      </c>
      <c r="M1" t="str">
        <f>_xll.BDH("KGS US Equity", "SCOPE_3_DWNSTRM_TRANS_DIST", "FY 2023")</f>
        <v>#N/A N/A</v>
      </c>
      <c r="N1" t="str">
        <f>_xll.BDH("KGS US Equity", "SCOPE_3_PRCSS_OF_SOLD_PRODS", "FY 2023")</f>
        <v>#N/A N/A</v>
      </c>
      <c r="O1" t="str">
        <f>_xll.BDH("KGS US Equity", "SCOPE_3_USE_SOLD_PRODUCTS", "FY 2023")</f>
        <v>#N/A N/A</v>
      </c>
      <c r="P1" t="str">
        <f>_xll.BDH("KGS US Equity", "SCOPE_3_EOL_TRTMNT_PRODS", "FY 2023")</f>
        <v>#N/A N/A</v>
      </c>
      <c r="Q1" t="str">
        <f>_xll.BDH("KGS US Equity", "SCOPE_3_DWNSTRM_LEASE_ASSTS", "FY 2023")</f>
        <v>#N/A N/A</v>
      </c>
      <c r="R1" t="str">
        <f>_xll.BDH("KGS US Equity", "SCOPE_3_FRANCHISES", "FY 2023")</f>
        <v>#N/A N/A</v>
      </c>
      <c r="S1" t="str">
        <f>_xll.BDH("KGS US Equity", "SCOPE_3_INVESTMENTS", "FY 2023")</f>
        <v>#N/A N/A</v>
      </c>
      <c r="T1" t="str">
        <f>_xll.BDH("KGS US Equity", "SCOPE_3_EMISSIONS_OTHER", "FY 2023")</f>
        <v>#N/A N/A</v>
      </c>
      <c r="U1">
        <f>_xll.BDH("KGS US Equity", "ENTERPRISE_VALUE", "FY 2023")</f>
        <v>3374.558</v>
      </c>
      <c r="V1">
        <f>_xll.BDH("KGS US Equity", "IS_COMP_SALES", "FY 2023")</f>
        <v>735.60500000000002</v>
      </c>
      <c r="W1">
        <f>_xll.BDH("KGS US Equity", "HISTORICAL_MARKET_CAP", "FY 2023")</f>
        <v>1554.192</v>
      </c>
      <c r="X1" t="str">
        <f>_xll.BDP("KGS US Equity", "NAME")</f>
        <v>KODIAK GAS SERVICES INC</v>
      </c>
      <c r="Y1">
        <f>_xll.BDH("KGS US Equity", "IS_AVG_NUM_SH_FOR_EPS", "FY 2023")</f>
        <v>68.058599999999998</v>
      </c>
      <c r="Z1">
        <f>_xll.BDH("KGS US Equity", "PX_LAST", "FY 2023")</f>
        <v>20.079999999999998</v>
      </c>
      <c r="AA1">
        <f>_xll.BDH("KGS US Equity", "SHORT_AND_LONG_TERM_DEBT", "FY 2023")</f>
        <v>1825.9280000000001</v>
      </c>
      <c r="AB1">
        <f>_xll.BDH("KGS US Equity", "CASH_AND_MARKETABLE_SECURITIES", "FY 2023")</f>
        <v>5.5620000000000003</v>
      </c>
      <c r="AC1">
        <f>_xll.BDH("KGS US Equity", "BS_TOT_ASSET", "FY 2023")</f>
        <v>3244.1060000000002</v>
      </c>
    </row>
    <row r="2" spans="1:29" x14ac:dyDescent="0.25">
      <c r="A2" t="s">
        <v>1</v>
      </c>
      <c r="B2">
        <f>_xll.BDH("KGS US Equity", "GHG_SCOPE_1", "FY 2022")</f>
        <v>15.497</v>
      </c>
      <c r="C2">
        <f>_xll.BDH("KGS US Equity", "GHG_SCOPE_2_LOCATION_BASED", "FY 2022")</f>
        <v>8.0000000000000002E-3</v>
      </c>
      <c r="D2" t="str">
        <f>_xll.BDH("KGS US Equity", "GHG_SCOPE_3", "FY 2022")</f>
        <v>#N/A N/A</v>
      </c>
      <c r="E2" t="str">
        <f>_xll.BDH("KGS US Equity", "SCOPE_3_PURCH_GOODS_SRVCS", "FY 2022")</f>
        <v>#N/A N/A</v>
      </c>
      <c r="F2" t="str">
        <f>_xll.BDH("KGS US Equity", "SCOPE_3_CAPITAL_GOODS", "FY 2022")</f>
        <v>#N/A N/A</v>
      </c>
      <c r="G2" t="str">
        <f>_xll.BDH("KGS US Equity", "SCOPE_3_FUEL_ENRG_RELATD_ACT", "FY 2022")</f>
        <v>#N/A N/A</v>
      </c>
      <c r="H2" t="str">
        <f>_xll.BDH("KGS US Equity", "SCOPE_3_UPSTREAM_TRANS_DIST", "FY 2022")</f>
        <v>#N/A N/A</v>
      </c>
      <c r="I2" t="str">
        <f>_xll.BDH("KGS US Equity", "SCOPE_3_WASTE_GENRTD_IN_OP", "FY 2022")</f>
        <v>#N/A N/A</v>
      </c>
      <c r="J2" t="str">
        <f>_xll.BDH("KGS US Equity", "SCOPE_3_BUSINESS_TRVL_EMISSIONS", "FY 2022")</f>
        <v>#N/A N/A</v>
      </c>
      <c r="K2" t="str">
        <f>_xll.BDH("KGS US Equity", "SCOPE_3_EMPLOYEE_COMMUTING", "FY 2022")</f>
        <v>#N/A N/A</v>
      </c>
      <c r="L2" t="str">
        <f>_xll.BDH("KGS US Equity", "SCOPE_3_UPSTREAM_LEASED_ASSETS", "FY 2022")</f>
        <v>#N/A N/A</v>
      </c>
      <c r="M2" t="str">
        <f>_xll.BDH("KGS US Equity", "SCOPE_3_DWNSTRM_TRANS_DIST", "FY 2022")</f>
        <v>#N/A N/A</v>
      </c>
      <c r="N2" t="str">
        <f>_xll.BDH("KGS US Equity", "SCOPE_3_PRCSS_OF_SOLD_PRODS", "FY 2022")</f>
        <v>#N/A N/A</v>
      </c>
      <c r="O2" t="str">
        <f>_xll.BDH("KGS US Equity", "SCOPE_3_USE_SOLD_PRODUCTS", "FY 2022")</f>
        <v>#N/A N/A</v>
      </c>
      <c r="P2" t="str">
        <f>_xll.BDH("KGS US Equity", "SCOPE_3_EOL_TRTMNT_PRODS", "FY 2022")</f>
        <v>#N/A N/A</v>
      </c>
      <c r="Q2" t="str">
        <f>_xll.BDH("KGS US Equity", "SCOPE_3_DWNSTRM_LEASE_ASSTS", "FY 2022")</f>
        <v>#N/A N/A</v>
      </c>
      <c r="R2" t="str">
        <f>_xll.BDH("KGS US Equity", "SCOPE_3_FRANCHISES", "FY 2022")</f>
        <v>#N/A N/A</v>
      </c>
      <c r="S2" t="str">
        <f>_xll.BDH("KGS US Equity", "SCOPE_3_INVESTMENTS", "FY 2022")</f>
        <v>#N/A N/A</v>
      </c>
      <c r="T2" t="str">
        <f>_xll.BDH("KGS US Equity", "SCOPE_3_EMISSIONS_OTHER", "FY 2022")</f>
        <v>#N/A N/A</v>
      </c>
      <c r="U2" t="str">
        <f>_xll.BDH("KGS US Equity", "ENTERPRISE_VALUE", "FY 2022")</f>
        <v>#N/A N/A</v>
      </c>
      <c r="V2" t="str">
        <f>_xll.BDH("KGS US Equity", "IS_COMP_SALES", "FY 2022")</f>
        <v>#N/A N/A</v>
      </c>
      <c r="W2" t="str">
        <f>_xll.BDH("KGS US Equity", "HISTORICAL_MARKET_CAP", "FY 2022")</f>
        <v>#N/A N/A</v>
      </c>
      <c r="X2" t="str">
        <f>_xll.BDP("KGS US Equity", "NAME")</f>
        <v>KODIAK GAS SERVICES INC</v>
      </c>
      <c r="Y2" t="str">
        <f>_xll.BDH("KGS US Equity", "IS_AVG_NUM_SH_FOR_EPS", "FY 2022")</f>
        <v>#N/A N/A</v>
      </c>
      <c r="Z2" t="str">
        <f>_xll.BDH("KGS US Equity", "PX_LAST", "FY 2022")</f>
        <v>#N/A N/A</v>
      </c>
      <c r="AA2">
        <f>_xll.BDH("KGS US Equity", "SHORT_AND_LONG_TERM_DEBT", "FY 2022")</f>
        <v>2729.8629999999998</v>
      </c>
      <c r="AB2">
        <f>_xll.BDH("KGS US Equity", "CASH_AND_MARKETABLE_SECURITIES", "FY 2022")</f>
        <v>20.431000000000001</v>
      </c>
      <c r="AC2">
        <f>_xll.BDH("KGS US Equity", "BS_TOT_ASSET", "FY 2022")</f>
        <v>3205.54</v>
      </c>
    </row>
    <row r="3" spans="1:29" x14ac:dyDescent="0.25">
      <c r="A3" t="s">
        <v>2</v>
      </c>
      <c r="B3">
        <f>_xll.BDH("KGS US Equity", "GHG_SCOPE_1", "FY 2021")</f>
        <v>14.504</v>
      </c>
      <c r="C3">
        <f>_xll.BDH("KGS US Equity", "GHG_SCOPE_2_LOCATION_BASED", "FY 2021")</f>
        <v>8.9999999999999993E-3</v>
      </c>
      <c r="D3" t="str">
        <f>_xll.BDH("KGS US Equity", "GHG_SCOPE_3", "FY 2021")</f>
        <v>#N/A N/A</v>
      </c>
      <c r="E3" t="str">
        <f>_xll.BDH("KGS US Equity", "SCOPE_3_PURCH_GOODS_SRVCS", "FY 2021")</f>
        <v>#N/A N/A</v>
      </c>
      <c r="F3" t="str">
        <f>_xll.BDH("KGS US Equity", "SCOPE_3_CAPITAL_GOODS", "FY 2021")</f>
        <v>#N/A N/A</v>
      </c>
      <c r="G3" t="str">
        <f>_xll.BDH("KGS US Equity", "SCOPE_3_FUEL_ENRG_RELATD_ACT", "FY 2021")</f>
        <v>#N/A N/A</v>
      </c>
      <c r="H3" t="str">
        <f>_xll.BDH("KGS US Equity", "SCOPE_3_UPSTREAM_TRANS_DIST", "FY 2021")</f>
        <v>#N/A N/A</v>
      </c>
      <c r="I3" t="str">
        <f>_xll.BDH("KGS US Equity", "SCOPE_3_WASTE_GENRTD_IN_OP", "FY 2021")</f>
        <v>#N/A N/A</v>
      </c>
      <c r="J3" t="str">
        <f>_xll.BDH("KGS US Equity", "SCOPE_3_BUSINESS_TRVL_EMISSIONS", "FY 2021")</f>
        <v>#N/A N/A</v>
      </c>
      <c r="K3" t="str">
        <f>_xll.BDH("KGS US Equity", "SCOPE_3_EMPLOYEE_COMMUTING", "FY 2021")</f>
        <v>#N/A N/A</v>
      </c>
      <c r="L3" t="str">
        <f>_xll.BDH("KGS US Equity", "SCOPE_3_UPSTREAM_LEASED_ASSETS", "FY 2021")</f>
        <v>#N/A N/A</v>
      </c>
      <c r="M3" t="str">
        <f>_xll.BDH("KGS US Equity", "SCOPE_3_DWNSTRM_TRANS_DIST", "FY 2021")</f>
        <v>#N/A N/A</v>
      </c>
      <c r="N3" t="str">
        <f>_xll.BDH("KGS US Equity", "SCOPE_3_PRCSS_OF_SOLD_PRODS", "FY 2021")</f>
        <v>#N/A N/A</v>
      </c>
      <c r="O3" t="str">
        <f>_xll.BDH("KGS US Equity", "SCOPE_3_USE_SOLD_PRODUCTS", "FY 2021")</f>
        <v>#N/A N/A</v>
      </c>
      <c r="P3" t="str">
        <f>_xll.BDH("KGS US Equity", "SCOPE_3_EOL_TRTMNT_PRODS", "FY 2021")</f>
        <v>#N/A N/A</v>
      </c>
      <c r="Q3" t="str">
        <f>_xll.BDH("KGS US Equity", "SCOPE_3_DWNSTRM_LEASE_ASSTS", "FY 2021")</f>
        <v>#N/A N/A</v>
      </c>
      <c r="R3" t="str">
        <f>_xll.BDH("KGS US Equity", "SCOPE_3_FRANCHISES", "FY 2021")</f>
        <v>#N/A N/A</v>
      </c>
      <c r="S3" t="str">
        <f>_xll.BDH("KGS US Equity", "SCOPE_3_INVESTMENTS", "FY 2021")</f>
        <v>#N/A N/A</v>
      </c>
      <c r="T3" t="str">
        <f>_xll.BDH("KGS US Equity", "SCOPE_3_EMISSIONS_OTHER", "FY 2021")</f>
        <v>#N/A N/A</v>
      </c>
      <c r="U3" t="str">
        <f>_xll.BDH("KGS US Equity", "ENTERPRISE_VALUE", "FY 2021")</f>
        <v>#N/A N/A</v>
      </c>
      <c r="V3" t="str">
        <f>_xll.BDH("KGS US Equity", "IS_COMP_SALES", "FY 2021")</f>
        <v>#N/A N/A</v>
      </c>
      <c r="W3" t="str">
        <f>_xll.BDH("KGS US Equity", "HISTORICAL_MARKET_CAP", "FY 2021")</f>
        <v>#N/A N/A</v>
      </c>
      <c r="X3" t="str">
        <f>_xll.BDP("KGS US Equity", "NAME")</f>
        <v>KODIAK GAS SERVICES INC</v>
      </c>
      <c r="Y3" t="str">
        <f>_xll.BDH("KGS US Equity", "IS_AVG_NUM_SH_FOR_EPS", "FY 2021")</f>
        <v>#N/A N/A</v>
      </c>
      <c r="Z3" t="str">
        <f>_xll.BDH("KGS US Equity", "PX_LAST", "FY 2021")</f>
        <v>#N/A N/A</v>
      </c>
      <c r="AA3">
        <f>_xll.BDH("KGS US Equity", "SHORT_AND_LONG_TERM_DEBT", "FY 2021")</f>
        <v>1845.1220000000001</v>
      </c>
      <c r="AB3">
        <f>_xll.BDH("KGS US Equity", "CASH_AND_MARKETABLE_SECURITIES", "FY 2021")</f>
        <v>28.795000000000002</v>
      </c>
      <c r="AC3">
        <f>_xll.BDH("KGS US Equity", "BS_TOT_ASSET", "FY 2021")</f>
        <v>3011.5990000000002</v>
      </c>
    </row>
    <row r="4" spans="1:29" x14ac:dyDescent="0.25">
      <c r="A4" t="s">
        <v>3</v>
      </c>
      <c r="B4" t="str">
        <f>_xll.BDH("KGS US Equity", "GHG_SCOPE_1", "FY 2020")</f>
        <v>#N/A N/A</v>
      </c>
      <c r="C4" t="str">
        <f>_xll.BDH("KGS US Equity", "GHG_SCOPE_2_LOCATION_BASED", "FY 2020")</f>
        <v>#N/A N/A</v>
      </c>
      <c r="D4" t="str">
        <f>_xll.BDH("KGS US Equity", "GHG_SCOPE_3", "FY 2020")</f>
        <v>#N/A N/A</v>
      </c>
      <c r="E4" t="str">
        <f>_xll.BDH("KGS US Equity", "SCOPE_3_PURCH_GOODS_SRVCS", "FY 2020")</f>
        <v>#N/A N/A</v>
      </c>
      <c r="F4" t="str">
        <f>_xll.BDH("KGS US Equity", "SCOPE_3_CAPITAL_GOODS", "FY 2020")</f>
        <v>#N/A N/A</v>
      </c>
      <c r="G4" t="str">
        <f>_xll.BDH("KGS US Equity", "SCOPE_3_FUEL_ENRG_RELATD_ACT", "FY 2020")</f>
        <v>#N/A N/A</v>
      </c>
      <c r="H4" t="str">
        <f>_xll.BDH("KGS US Equity", "SCOPE_3_UPSTREAM_TRANS_DIST", "FY 2020")</f>
        <v>#N/A N/A</v>
      </c>
      <c r="I4" t="str">
        <f>_xll.BDH("KGS US Equity", "SCOPE_3_WASTE_GENRTD_IN_OP", "FY 2020")</f>
        <v>#N/A N/A</v>
      </c>
      <c r="J4" t="str">
        <f>_xll.BDH("KGS US Equity", "SCOPE_3_BUSINESS_TRVL_EMISSIONS", "FY 2020")</f>
        <v>#N/A N/A</v>
      </c>
      <c r="K4" t="str">
        <f>_xll.BDH("KGS US Equity", "SCOPE_3_EMPLOYEE_COMMUTING", "FY 2020")</f>
        <v>#N/A N/A</v>
      </c>
      <c r="L4" t="str">
        <f>_xll.BDH("KGS US Equity", "SCOPE_3_UPSTREAM_LEASED_ASSETS", "FY 2020")</f>
        <v>#N/A N/A</v>
      </c>
      <c r="M4" t="str">
        <f>_xll.BDH("KGS US Equity", "SCOPE_3_DWNSTRM_TRANS_DIST", "FY 2020")</f>
        <v>#N/A N/A</v>
      </c>
      <c r="N4" t="str">
        <f>_xll.BDH("KGS US Equity", "SCOPE_3_PRCSS_OF_SOLD_PRODS", "FY 2020")</f>
        <v>#N/A N/A</v>
      </c>
      <c r="O4" t="str">
        <f>_xll.BDH("KGS US Equity", "SCOPE_3_USE_SOLD_PRODUCTS", "FY 2020")</f>
        <v>#N/A N/A</v>
      </c>
      <c r="P4" t="str">
        <f>_xll.BDH("KGS US Equity", "SCOPE_3_EOL_TRTMNT_PRODS", "FY 2020")</f>
        <v>#N/A N/A</v>
      </c>
      <c r="Q4" t="str">
        <f>_xll.BDH("KGS US Equity", "SCOPE_3_DWNSTRM_LEASE_ASSTS", "FY 2020")</f>
        <v>#N/A N/A</v>
      </c>
      <c r="R4" t="str">
        <f>_xll.BDH("KGS US Equity", "SCOPE_3_FRANCHISES", "FY 2020")</f>
        <v>#N/A N/A</v>
      </c>
      <c r="S4" t="str">
        <f>_xll.BDH("KGS US Equity", "SCOPE_3_INVESTMENTS", "FY 2020")</f>
        <v>#N/A N/A</v>
      </c>
      <c r="T4" t="str">
        <f>_xll.BDH("KGS US Equity", "SCOPE_3_EMISSIONS_OTHER", "FY 2020")</f>
        <v>#N/A N/A</v>
      </c>
      <c r="U4" t="str">
        <f>_xll.BDH("KGS US Equity", "ENTERPRISE_VALUE", "FY 2020")</f>
        <v>#N/A N/A</v>
      </c>
      <c r="V4" t="str">
        <f>_xll.BDH("KGS US Equity", "IS_COMP_SALES", "FY 2020")</f>
        <v>#N/A N/A</v>
      </c>
      <c r="W4" t="str">
        <f>_xll.BDH("KGS US Equity", "HISTORICAL_MARKET_CAP", "FY 2020")</f>
        <v>#N/A N/A</v>
      </c>
      <c r="X4" t="str">
        <f>_xll.BDP("KGS US Equity", "NAME")</f>
        <v>KODIAK GAS SERVICES INC</v>
      </c>
      <c r="Y4" t="str">
        <f>_xll.BDH("KGS US Equity", "IS_AVG_NUM_SH_FOR_EPS", "FY 2020")</f>
        <v>#N/A N/A</v>
      </c>
      <c r="Z4" t="str">
        <f>_xll.BDH("KGS US Equity", "PX_LAST", "FY 2020")</f>
        <v>#N/A N/A</v>
      </c>
      <c r="AA4" t="str">
        <f>_xll.BDH("KGS US Equity", "SHORT_AND_LONG_TERM_DEBT", "FY 2020")</f>
        <v>#N/A N/A</v>
      </c>
      <c r="AB4" t="str">
        <f>_xll.BDH("KGS US Equity", "CASH_AND_MARKETABLE_SECURITIES", "FY 2020")</f>
        <v>#N/A N/A</v>
      </c>
      <c r="AC4" t="str">
        <f>_xll.BDH("KGS US Equity", "BS_TOT_ASSET", "FY 2020")</f>
        <v>#N/A N/A</v>
      </c>
    </row>
    <row r="5" spans="1:29" x14ac:dyDescent="0.25">
      <c r="A5" t="s">
        <v>4</v>
      </c>
      <c r="B5" t="str">
        <f>_xll.BDH("KGS US Equity", "GHG_SCOPE_1", "FY 2019")</f>
        <v>#N/A N/A</v>
      </c>
      <c r="C5" t="str">
        <f>_xll.BDH("KGS US Equity", "GHG_SCOPE_2_LOCATION_BASED", "FY 2019")</f>
        <v>#N/A N/A</v>
      </c>
      <c r="D5" t="str">
        <f>_xll.BDH("KGS US Equity", "GHG_SCOPE_3", "FY 2019")</f>
        <v>#N/A N/A</v>
      </c>
      <c r="E5" t="str">
        <f>_xll.BDH("KGS US Equity", "SCOPE_3_PURCH_GOODS_SRVCS", "FY 2019")</f>
        <v>#N/A N/A</v>
      </c>
      <c r="F5" t="str">
        <f>_xll.BDH("KGS US Equity", "SCOPE_3_CAPITAL_GOODS", "FY 2019")</f>
        <v>#N/A N/A</v>
      </c>
      <c r="G5" t="str">
        <f>_xll.BDH("KGS US Equity", "SCOPE_3_FUEL_ENRG_RELATD_ACT", "FY 2019")</f>
        <v>#N/A N/A</v>
      </c>
      <c r="H5" t="str">
        <f>_xll.BDH("KGS US Equity", "SCOPE_3_UPSTREAM_TRANS_DIST", "FY 2019")</f>
        <v>#N/A N/A</v>
      </c>
      <c r="I5" t="str">
        <f>_xll.BDH("KGS US Equity", "SCOPE_3_WASTE_GENRTD_IN_OP", "FY 2019")</f>
        <v>#N/A N/A</v>
      </c>
      <c r="J5" t="str">
        <f>_xll.BDH("KGS US Equity", "SCOPE_3_BUSINESS_TRVL_EMISSIONS", "FY 2019")</f>
        <v>#N/A N/A</v>
      </c>
      <c r="K5" t="str">
        <f>_xll.BDH("KGS US Equity", "SCOPE_3_EMPLOYEE_COMMUTING", "FY 2019")</f>
        <v>#N/A N/A</v>
      </c>
      <c r="L5" t="str">
        <f>_xll.BDH("KGS US Equity", "SCOPE_3_UPSTREAM_LEASED_ASSETS", "FY 2019")</f>
        <v>#N/A N/A</v>
      </c>
      <c r="M5" t="str">
        <f>_xll.BDH("KGS US Equity", "SCOPE_3_DWNSTRM_TRANS_DIST", "FY 2019")</f>
        <v>#N/A N/A</v>
      </c>
      <c r="N5" t="str">
        <f>_xll.BDH("KGS US Equity", "SCOPE_3_PRCSS_OF_SOLD_PRODS", "FY 2019")</f>
        <v>#N/A N/A</v>
      </c>
      <c r="O5" t="str">
        <f>_xll.BDH("KGS US Equity", "SCOPE_3_USE_SOLD_PRODUCTS", "FY 2019")</f>
        <v>#N/A N/A</v>
      </c>
      <c r="P5" t="str">
        <f>_xll.BDH("KGS US Equity", "SCOPE_3_EOL_TRTMNT_PRODS", "FY 2019")</f>
        <v>#N/A N/A</v>
      </c>
      <c r="Q5" t="str">
        <f>_xll.BDH("KGS US Equity", "SCOPE_3_DWNSTRM_LEASE_ASSTS", "FY 2019")</f>
        <v>#N/A N/A</v>
      </c>
      <c r="R5" t="str">
        <f>_xll.BDH("KGS US Equity", "SCOPE_3_FRANCHISES", "FY 2019")</f>
        <v>#N/A N/A</v>
      </c>
      <c r="S5" t="str">
        <f>_xll.BDH("KGS US Equity", "SCOPE_3_INVESTMENTS", "FY 2019")</f>
        <v>#N/A N/A</v>
      </c>
      <c r="T5" t="str">
        <f>_xll.BDH("KGS US Equity", "SCOPE_3_EMISSIONS_OTHER", "FY 2019")</f>
        <v>#N/A N/A</v>
      </c>
      <c r="U5" t="str">
        <f>_xll.BDH("KGS US Equity", "ENTERPRISE_VALUE", "FY 2019")</f>
        <v>#N/A N/A</v>
      </c>
      <c r="V5" t="str">
        <f>_xll.BDH("KGS US Equity", "IS_COMP_SALES", "FY 2019")</f>
        <v>#N/A N/A</v>
      </c>
      <c r="W5" t="str">
        <f>_xll.BDH("KGS US Equity", "HISTORICAL_MARKET_CAP", "FY 2019")</f>
        <v>#N/A N/A</v>
      </c>
      <c r="X5" t="str">
        <f>_xll.BDP("KGS US Equity", "NAME")</f>
        <v>KODIAK GAS SERVICES INC</v>
      </c>
      <c r="Y5" t="str">
        <f>_xll.BDH("KGS US Equity", "IS_AVG_NUM_SH_FOR_EPS", "FY 2019")</f>
        <v>#N/A N/A</v>
      </c>
      <c r="Z5" t="str">
        <f>_xll.BDH("KGS US Equity", "PX_LAST", "FY 2019")</f>
        <v>#N/A N/A</v>
      </c>
      <c r="AA5" t="str">
        <f>_xll.BDH("KGS US Equity", "SHORT_AND_LONG_TERM_DEBT", "FY 2019")</f>
        <v>#N/A N/A</v>
      </c>
      <c r="AB5" t="str">
        <f>_xll.BDH("KGS US Equity", "CASH_AND_MARKETABLE_SECURITIES", "FY 2019")</f>
        <v>#N/A N/A</v>
      </c>
      <c r="AC5" t="str">
        <f>_xll.BDH("KGS US Equity", "BS_TOT_ASSET", "FY 2019")</f>
        <v>#N/A N/A</v>
      </c>
    </row>
    <row r="6" spans="1:29" x14ac:dyDescent="0.25">
      <c r="A6" t="s">
        <v>5</v>
      </c>
      <c r="B6" t="str">
        <f>_xll.BDH("KGS US Equity", "GHG_SCOPE_1", "FY 2018")</f>
        <v>#N/A N/A</v>
      </c>
      <c r="C6" t="str">
        <f>_xll.BDH("KGS US Equity", "GHG_SCOPE_2_LOCATION_BASED", "FY 2018")</f>
        <v>#N/A N/A</v>
      </c>
      <c r="D6" t="str">
        <f>_xll.BDH("KGS US Equity", "GHG_SCOPE_3", "FY 2018")</f>
        <v>#N/A N/A</v>
      </c>
      <c r="E6" t="str">
        <f>_xll.BDH("KGS US Equity", "SCOPE_3_PURCH_GOODS_SRVCS", "FY 2018")</f>
        <v>#N/A N/A</v>
      </c>
      <c r="F6" t="str">
        <f>_xll.BDH("KGS US Equity", "SCOPE_3_CAPITAL_GOODS", "FY 2018")</f>
        <v>#N/A N/A</v>
      </c>
      <c r="G6" t="str">
        <f>_xll.BDH("KGS US Equity", "SCOPE_3_FUEL_ENRG_RELATD_ACT", "FY 2018")</f>
        <v>#N/A N/A</v>
      </c>
      <c r="H6" t="str">
        <f>_xll.BDH("KGS US Equity", "SCOPE_3_UPSTREAM_TRANS_DIST", "FY 2018")</f>
        <v>#N/A N/A</v>
      </c>
      <c r="I6" t="str">
        <f>_xll.BDH("KGS US Equity", "SCOPE_3_WASTE_GENRTD_IN_OP", "FY 2018")</f>
        <v>#N/A N/A</v>
      </c>
      <c r="J6" t="str">
        <f>_xll.BDH("KGS US Equity", "SCOPE_3_BUSINESS_TRVL_EMISSIONS", "FY 2018")</f>
        <v>#N/A N/A</v>
      </c>
      <c r="K6" t="str">
        <f>_xll.BDH("KGS US Equity", "SCOPE_3_EMPLOYEE_COMMUTING", "FY 2018")</f>
        <v>#N/A N/A</v>
      </c>
      <c r="L6" t="str">
        <f>_xll.BDH("KGS US Equity", "SCOPE_3_UPSTREAM_LEASED_ASSETS", "FY 2018")</f>
        <v>#N/A N/A</v>
      </c>
      <c r="M6" t="str">
        <f>_xll.BDH("KGS US Equity", "SCOPE_3_DWNSTRM_TRANS_DIST", "FY 2018")</f>
        <v>#N/A N/A</v>
      </c>
      <c r="N6" t="str">
        <f>_xll.BDH("KGS US Equity", "SCOPE_3_PRCSS_OF_SOLD_PRODS", "FY 2018")</f>
        <v>#N/A N/A</v>
      </c>
      <c r="O6" t="str">
        <f>_xll.BDH("KGS US Equity", "SCOPE_3_USE_SOLD_PRODUCTS", "FY 2018")</f>
        <v>#N/A N/A</v>
      </c>
      <c r="P6" t="str">
        <f>_xll.BDH("KGS US Equity", "SCOPE_3_EOL_TRTMNT_PRODS", "FY 2018")</f>
        <v>#N/A N/A</v>
      </c>
      <c r="Q6" t="str">
        <f>_xll.BDH("KGS US Equity", "SCOPE_3_DWNSTRM_LEASE_ASSTS", "FY 2018")</f>
        <v>#N/A N/A</v>
      </c>
      <c r="R6" t="str">
        <f>_xll.BDH("KGS US Equity", "SCOPE_3_FRANCHISES", "FY 2018")</f>
        <v>#N/A N/A</v>
      </c>
      <c r="S6" t="str">
        <f>_xll.BDH("KGS US Equity", "SCOPE_3_INVESTMENTS", "FY 2018")</f>
        <v>#N/A N/A</v>
      </c>
      <c r="T6" t="str">
        <f>_xll.BDH("KGS US Equity", "SCOPE_3_EMISSIONS_OTHER", "FY 2018")</f>
        <v>#N/A N/A</v>
      </c>
      <c r="U6" t="str">
        <f>_xll.BDH("KGS US Equity", "ENTERPRISE_VALUE", "FY 2018")</f>
        <v>#N/A N/A</v>
      </c>
      <c r="V6" t="str">
        <f>_xll.BDH("KGS US Equity", "IS_COMP_SALES", "FY 2018")</f>
        <v>#N/A N/A</v>
      </c>
      <c r="W6" t="str">
        <f>_xll.BDH("KGS US Equity", "HISTORICAL_MARKET_CAP", "FY 2018")</f>
        <v>#N/A N/A</v>
      </c>
      <c r="X6" t="str">
        <f>_xll.BDP("KGS US Equity", "NAME")</f>
        <v>KODIAK GAS SERVICES INC</v>
      </c>
      <c r="Y6" t="str">
        <f>_xll.BDH("KGS US Equity", "IS_AVG_NUM_SH_FOR_EPS", "FY 2018")</f>
        <v>#N/A N/A</v>
      </c>
      <c r="Z6" t="str">
        <f>_xll.BDH("KGS US Equity", "PX_LAST", "FY 2018")</f>
        <v>#N/A N/A</v>
      </c>
      <c r="AA6" t="str">
        <f>_xll.BDH("KGS US Equity", "SHORT_AND_LONG_TERM_DEBT", "FY 2018")</f>
        <v>#N/A N/A</v>
      </c>
      <c r="AB6" t="str">
        <f>_xll.BDH("KGS US Equity", "CASH_AND_MARKETABLE_SECURITIES", "FY 2018")</f>
        <v>#N/A N/A</v>
      </c>
      <c r="AC6" t="str">
        <f>_xll.BDH("KGS US Equity", "BS_TOT_ASSET", "FY 2018")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Trader69</dc:creator>
  <cp:lastModifiedBy>Trader69</cp:lastModifiedBy>
  <dcterms:created xsi:type="dcterms:W3CDTF">2025-07-24T14:13:44Z</dcterms:created>
  <dcterms:modified xsi:type="dcterms:W3CDTF">2025-07-28T19:21:06Z</dcterms:modified>
</cp:coreProperties>
</file>