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6.xml" ContentType="application/vnd.openxmlformats-officedocument.drawing+xml"/>
  <Override PartName="/xl/embeddings/oleObject12.bin" ContentType="application/vnd.openxmlformats-officedocument.oleObject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charts/chart1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. Tanner\Documents\Mundell Jan 2015\FORMATTED FOR WP\"/>
    </mc:Choice>
  </mc:AlternateContent>
  <bookViews>
    <workbookView xWindow="0" yWindow="0" windowWidth="2370" windowHeight="0" firstSheet="4" activeTab="4"/>
  </bookViews>
  <sheets>
    <sheet name="Sheet1 (2)" sheetId="2" state="hidden" r:id="rId1"/>
    <sheet name="Sheet1" sheetId="4" r:id="rId2"/>
    <sheet name="GRAPHS ONLY" sheetId="3" r:id="rId3"/>
    <sheet name="Assignment Problem Dash OLD" sheetId="8" state="hidden" r:id="rId4"/>
    <sheet name="Assignment Problem Dash " sheetId="9" r:id="rId5"/>
    <sheet name="NEW Assignment Problem" sheetId="6" state="hidden" r:id="rId6"/>
    <sheet name="Streamlined Dashboard" sheetId="7" state="hidden" r:id="rId7"/>
    <sheet name="OPTIONAL FULL MODEL APPENDIX" sheetId="1" state="hidden" r:id="rId8"/>
    <sheet name="Fiscal and Central Bank " sheetId="5" state="hidden" r:id="rId9"/>
  </sheets>
  <externalReferences>
    <externalReference r:id="rId10"/>
  </externalReferenc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1" i="9" l="1"/>
  <c r="AA23" i="6"/>
  <c r="F50" i="9"/>
  <c r="W23" i="6"/>
  <c r="G20" i="8"/>
  <c r="G21" i="8"/>
  <c r="G22" i="8"/>
  <c r="G23" i="8"/>
  <c r="G24" i="8"/>
  <c r="G25" i="8"/>
  <c r="G26" i="8"/>
  <c r="G27" i="8"/>
  <c r="F20" i="8"/>
  <c r="F21" i="8"/>
  <c r="F22" i="8"/>
  <c r="F23" i="8"/>
  <c r="F24" i="8"/>
  <c r="F25" i="8"/>
  <c r="F26" i="8"/>
  <c r="F27" i="8"/>
  <c r="F32" i="1"/>
  <c r="F26" i="1"/>
  <c r="I8" i="1"/>
  <c r="AA24" i="6"/>
  <c r="H14" i="1"/>
  <c r="S38" i="6"/>
  <c r="W51" i="6"/>
  <c r="W77" i="6"/>
  <c r="L58" i="7"/>
  <c r="L57" i="7"/>
  <c r="L56" i="7"/>
  <c r="L55" i="7"/>
  <c r="L54" i="7"/>
  <c r="L53" i="7"/>
  <c r="L52" i="7"/>
  <c r="L51" i="7"/>
  <c r="R25" i="7"/>
  <c r="P25" i="7"/>
  <c r="N25" i="7"/>
  <c r="V22" i="1"/>
  <c r="R22" i="7"/>
  <c r="V21" i="1"/>
  <c r="V17" i="1"/>
  <c r="V16" i="1"/>
  <c r="V13" i="1"/>
  <c r="V12" i="1"/>
  <c r="V9" i="1"/>
  <c r="V8" i="1"/>
  <c r="V5" i="1"/>
  <c r="V4" i="1"/>
  <c r="T22" i="1"/>
  <c r="P22" i="7"/>
  <c r="T21" i="1"/>
  <c r="T17" i="1"/>
  <c r="T16" i="1"/>
  <c r="T13" i="1"/>
  <c r="T12" i="1"/>
  <c r="T9" i="1"/>
  <c r="T8" i="1"/>
  <c r="T5" i="1"/>
  <c r="T4" i="1"/>
  <c r="R22" i="1"/>
  <c r="R21" i="1"/>
  <c r="R17" i="1"/>
  <c r="R16" i="1"/>
  <c r="R13" i="1"/>
  <c r="R12" i="1"/>
  <c r="R9" i="1"/>
  <c r="R8" i="1"/>
  <c r="R5" i="1"/>
  <c r="R4" i="1"/>
  <c r="R21" i="7"/>
  <c r="P21" i="7"/>
  <c r="N21" i="7"/>
  <c r="R16" i="7"/>
  <c r="P16" i="7"/>
  <c r="N16" i="7"/>
  <c r="V15" i="1"/>
  <c r="V20" i="1"/>
  <c r="T20" i="1"/>
  <c r="T15" i="1"/>
  <c r="W24" i="6"/>
  <c r="S37" i="6"/>
  <c r="W50" i="6"/>
  <c r="W104" i="6"/>
  <c r="T15" i="6"/>
  <c r="T16" i="6"/>
  <c r="T17" i="6"/>
  <c r="T18" i="6"/>
  <c r="T19" i="6"/>
  <c r="T20" i="6"/>
  <c r="T21" i="6"/>
  <c r="T13" i="6"/>
  <c r="T12" i="6"/>
  <c r="T11" i="6"/>
  <c r="T10" i="6"/>
  <c r="T9" i="6"/>
  <c r="T8" i="6"/>
  <c r="T7" i="6"/>
  <c r="F58" i="1"/>
  <c r="C8" i="1"/>
  <c r="G17" i="5"/>
  <c r="G18" i="5"/>
  <c r="V114" i="1"/>
  <c r="R55" i="7"/>
  <c r="T114" i="1"/>
  <c r="P55" i="7"/>
  <c r="R114" i="1"/>
  <c r="N55" i="7"/>
  <c r="BG17" i="1"/>
  <c r="BG16" i="1"/>
  <c r="BG15" i="1"/>
  <c r="BG14" i="1"/>
  <c r="BG13" i="1"/>
  <c r="BG12" i="1"/>
  <c r="BG11" i="1"/>
  <c r="BG10" i="1"/>
  <c r="BG9" i="1"/>
  <c r="BG8" i="1"/>
  <c r="BG7" i="1"/>
  <c r="I32" i="1"/>
  <c r="K44" i="1"/>
  <c r="K12" i="6"/>
  <c r="H46" i="1"/>
  <c r="BG18" i="1"/>
  <c r="BG19" i="1"/>
  <c r="BG20" i="1"/>
  <c r="BG21" i="1"/>
  <c r="BG22" i="1"/>
  <c r="BG23" i="1"/>
  <c r="BG24" i="1"/>
  <c r="BG25" i="1"/>
  <c r="BG26" i="1"/>
  <c r="BG27" i="1"/>
  <c r="C19" i="1"/>
  <c r="H66" i="1"/>
  <c r="R20" i="1"/>
  <c r="R15" i="1"/>
  <c r="C4" i="1"/>
  <c r="C34" i="1"/>
  <c r="AZ17" i="1"/>
  <c r="BD17" i="1"/>
  <c r="BB17" i="1"/>
  <c r="C9" i="1"/>
  <c r="C13" i="1"/>
  <c r="G75" i="5"/>
  <c r="C48" i="1"/>
  <c r="C43" i="1"/>
  <c r="C49" i="1"/>
  <c r="C47" i="1"/>
  <c r="C12" i="1"/>
  <c r="C26" i="1"/>
  <c r="C21" i="1"/>
  <c r="BA53" i="1"/>
  <c r="BC53" i="1"/>
  <c r="BC49" i="1"/>
  <c r="BA44" i="1"/>
  <c r="BC44" i="1"/>
  <c r="BC40" i="1"/>
  <c r="BA35" i="1"/>
  <c r="BC35" i="1"/>
  <c r="BC31" i="1"/>
  <c r="AK53" i="1"/>
  <c r="AM53" i="1"/>
  <c r="AM49" i="1"/>
  <c r="AK44" i="1"/>
  <c r="AM44" i="1"/>
  <c r="AM40" i="1"/>
  <c r="AK35" i="1"/>
  <c r="AM35" i="1"/>
  <c r="AM31" i="1"/>
  <c r="AI18" i="1"/>
  <c r="AI16" i="1"/>
  <c r="AI15" i="1"/>
  <c r="AZ16" i="1"/>
  <c r="BD16" i="1"/>
  <c r="BB16" i="1"/>
  <c r="AI19" i="1"/>
  <c r="AZ18" i="1"/>
  <c r="BB18" i="1"/>
  <c r="BD18" i="1"/>
  <c r="K64" i="1"/>
  <c r="I64" i="1"/>
  <c r="F64" i="1"/>
  <c r="F19" i="1"/>
  <c r="L8" i="1"/>
  <c r="I9" i="6"/>
  <c r="I15" i="6"/>
  <c r="M31" i="6"/>
  <c r="I26" i="6"/>
  <c r="M32" i="6"/>
  <c r="I22" i="6"/>
  <c r="L12" i="6"/>
  <c r="I12" i="6"/>
  <c r="L31" i="6"/>
  <c r="AM18" i="1"/>
  <c r="AK18" i="1"/>
  <c r="AI20" i="1"/>
  <c r="AK20" i="1"/>
  <c r="AO19" i="1"/>
  <c r="AO18" i="1"/>
  <c r="AO15" i="1"/>
  <c r="AO20" i="1"/>
  <c r="AK15" i="1"/>
  <c r="AM19" i="1"/>
  <c r="AK17" i="1"/>
  <c r="AK19" i="1"/>
  <c r="AK16" i="1"/>
  <c r="AM16" i="1"/>
  <c r="AM15" i="1"/>
  <c r="AM17" i="1"/>
  <c r="AO17" i="1"/>
  <c r="AO16" i="1"/>
  <c r="AI14" i="1"/>
  <c r="AK14" i="1"/>
  <c r="AZ15" i="1"/>
  <c r="BB15" i="1"/>
  <c r="BD15" i="1"/>
  <c r="AM20" i="1"/>
  <c r="AZ19" i="1"/>
  <c r="BD19" i="1"/>
  <c r="BB19" i="1"/>
  <c r="AR20" i="1"/>
  <c r="AV17" i="1"/>
  <c r="AT15" i="1"/>
  <c r="AR16" i="1"/>
  <c r="AV19" i="1"/>
  <c r="AV18" i="1"/>
  <c r="AT19" i="1"/>
  <c r="AT16" i="1"/>
  <c r="AR17" i="1"/>
  <c r="AT14" i="1"/>
  <c r="AT17" i="1"/>
  <c r="AR18" i="1"/>
  <c r="AR15" i="1"/>
  <c r="AV15" i="1"/>
  <c r="AV16" i="1"/>
  <c r="AT18" i="1"/>
  <c r="AR19" i="1"/>
  <c r="AV20" i="1"/>
  <c r="AV14" i="1"/>
  <c r="AT20" i="1"/>
  <c r="J77" i="1"/>
  <c r="H44" i="1"/>
  <c r="C9" i="2"/>
  <c r="AO14" i="1"/>
  <c r="AM14" i="1"/>
  <c r="AR14" i="1"/>
  <c r="AB16" i="6"/>
  <c r="L32" i="6"/>
  <c r="L35" i="6" a="1"/>
  <c r="Z19" i="6"/>
  <c r="AA11" i="6"/>
  <c r="Z8" i="6"/>
  <c r="AA14" i="6"/>
  <c r="AB18" i="6"/>
  <c r="AA13" i="6"/>
  <c r="AB11" i="6"/>
  <c r="AB15" i="6"/>
  <c r="AB17" i="6"/>
  <c r="AA12" i="6"/>
  <c r="AB7" i="6"/>
  <c r="Z10" i="6"/>
  <c r="AA10" i="6"/>
  <c r="Z17" i="6"/>
  <c r="AB8" i="6"/>
  <c r="Z7" i="6"/>
  <c r="AA15" i="6"/>
  <c r="Z14" i="6"/>
  <c r="AB20" i="6"/>
  <c r="Z13" i="6"/>
  <c r="Z15" i="6"/>
  <c r="AB13" i="6"/>
  <c r="Z11" i="6"/>
  <c r="AA19" i="6"/>
  <c r="AA8" i="6"/>
  <c r="AA20" i="6"/>
  <c r="AA7" i="6"/>
  <c r="Z16" i="6"/>
  <c r="AB10" i="6"/>
  <c r="AB19" i="6"/>
  <c r="AB14" i="6"/>
  <c r="Z20" i="6"/>
  <c r="AB12" i="6"/>
  <c r="Z12" i="6"/>
  <c r="Z18" i="6"/>
  <c r="Z21" i="6"/>
  <c r="AA18" i="6"/>
  <c r="AB9" i="6"/>
  <c r="AA16" i="6"/>
  <c r="AA9" i="6"/>
  <c r="AB21" i="6"/>
  <c r="Z9" i="6"/>
  <c r="AA17" i="6"/>
  <c r="AA21" i="6"/>
  <c r="W14" i="6"/>
  <c r="X19" i="6"/>
  <c r="X15" i="6"/>
  <c r="V21" i="6"/>
  <c r="X14" i="6"/>
  <c r="V14" i="6"/>
  <c r="V16" i="6"/>
  <c r="X17" i="6"/>
  <c r="V20" i="6"/>
  <c r="W12" i="6"/>
  <c r="V10" i="6"/>
  <c r="W9" i="6"/>
  <c r="W17" i="6"/>
  <c r="V18" i="6"/>
  <c r="X12" i="6"/>
  <c r="X11" i="6"/>
  <c r="W16" i="6"/>
  <c r="W18" i="6"/>
  <c r="V19" i="6"/>
  <c r="W13" i="6"/>
  <c r="V9" i="6"/>
  <c r="X18" i="6"/>
  <c r="V11" i="6"/>
  <c r="X13" i="6"/>
  <c r="X21" i="6"/>
  <c r="X9" i="6"/>
  <c r="V8" i="6"/>
  <c r="V15" i="6"/>
  <c r="W11" i="6"/>
  <c r="W19" i="6"/>
  <c r="W10" i="6"/>
  <c r="X16" i="6"/>
  <c r="V17" i="6"/>
  <c r="V12" i="6"/>
  <c r="W21" i="6"/>
  <c r="X8" i="6"/>
  <c r="W20" i="6"/>
  <c r="X7" i="6"/>
  <c r="V7" i="6"/>
  <c r="W8" i="6"/>
  <c r="W7" i="6"/>
  <c r="W15" i="6"/>
  <c r="V13" i="6"/>
  <c r="X10" i="6"/>
  <c r="X20" i="6"/>
  <c r="AI21" i="1"/>
  <c r="AZ20" i="1"/>
  <c r="BD20" i="1"/>
  <c r="BB20" i="1"/>
  <c r="AI13" i="1"/>
  <c r="AZ14" i="1"/>
  <c r="BB14" i="1"/>
  <c r="BD14" i="1"/>
  <c r="V34" i="1"/>
  <c r="T50" i="1"/>
  <c r="T55" i="1"/>
  <c r="V50" i="1"/>
  <c r="R55" i="1"/>
  <c r="V39" i="1"/>
  <c r="T39" i="1"/>
  <c r="R39" i="1"/>
  <c r="R50" i="1"/>
  <c r="V55" i="1"/>
  <c r="R29" i="1"/>
  <c r="V45" i="1"/>
  <c r="R34" i="1"/>
  <c r="R45" i="1"/>
  <c r="T29" i="1"/>
  <c r="T34" i="1"/>
  <c r="V29" i="1"/>
  <c r="T45" i="1"/>
  <c r="C27" i="1"/>
  <c r="C10" i="2"/>
  <c r="C13" i="2"/>
  <c r="C11" i="2"/>
  <c r="C14" i="1"/>
  <c r="AM13" i="1"/>
  <c r="AK13" i="1"/>
  <c r="AO13" i="1"/>
  <c r="AM21" i="1"/>
  <c r="AO21" i="1"/>
  <c r="AK21" i="1"/>
  <c r="L35" i="6"/>
  <c r="M35" i="6"/>
  <c r="M36" i="6"/>
  <c r="L36" i="6"/>
  <c r="AI12" i="1"/>
  <c r="AZ13" i="1"/>
  <c r="BD13" i="1"/>
  <c r="BB13" i="1"/>
  <c r="AT13" i="1"/>
  <c r="AR13" i="1"/>
  <c r="AV13" i="1"/>
  <c r="AI22" i="1"/>
  <c r="AZ21" i="1"/>
  <c r="BD21" i="1"/>
  <c r="BB21" i="1"/>
  <c r="AT21" i="1"/>
  <c r="AV21" i="1"/>
  <c r="AR21" i="1"/>
  <c r="T58" i="1"/>
  <c r="P27" i="7"/>
  <c r="P28" i="7"/>
  <c r="R58" i="1"/>
  <c r="N27" i="7"/>
  <c r="N28" i="7"/>
  <c r="V58" i="1"/>
  <c r="R27" i="7"/>
  <c r="R28" i="7"/>
  <c r="C16" i="1"/>
  <c r="C18" i="1"/>
  <c r="V98" i="1"/>
  <c r="R98" i="1"/>
  <c r="T98" i="1"/>
  <c r="AK12" i="1"/>
  <c r="AM12" i="1"/>
  <c r="AO12" i="1"/>
  <c r="AO22" i="1"/>
  <c r="AM22" i="1"/>
  <c r="AK22" i="1"/>
  <c r="S40" i="6"/>
  <c r="S39" i="6"/>
  <c r="V112" i="1"/>
  <c r="R53" i="7"/>
  <c r="T112" i="1"/>
  <c r="P53" i="7"/>
  <c r="R112" i="1"/>
  <c r="N53" i="7"/>
  <c r="AI23" i="1"/>
  <c r="AZ22" i="1"/>
  <c r="BD22" i="1"/>
  <c r="BB22" i="1"/>
  <c r="AR22" i="1"/>
  <c r="AT22" i="1"/>
  <c r="AV22" i="1"/>
  <c r="AI11" i="1"/>
  <c r="AZ12" i="1"/>
  <c r="BD12" i="1"/>
  <c r="BB12" i="1"/>
  <c r="AR12" i="1"/>
  <c r="AV12" i="1"/>
  <c r="AT12" i="1"/>
  <c r="V72" i="1"/>
  <c r="T67" i="1"/>
  <c r="P31" i="7"/>
  <c r="P32" i="7"/>
  <c r="G8" i="1"/>
  <c r="R96" i="1"/>
  <c r="F14" i="1"/>
  <c r="T72" i="1"/>
  <c r="P29" i="7"/>
  <c r="R72" i="1"/>
  <c r="N29" i="7"/>
  <c r="R67" i="1"/>
  <c r="N31" i="7"/>
  <c r="N32" i="7"/>
  <c r="V67" i="1"/>
  <c r="R31" i="7"/>
  <c r="R32" i="7"/>
  <c r="R95" i="1"/>
  <c r="AK42" i="1"/>
  <c r="AK43" i="1"/>
  <c r="AK47" i="1"/>
  <c r="AK34" i="1"/>
  <c r="AM33" i="1"/>
  <c r="AM34" i="1"/>
  <c r="AK33" i="1"/>
  <c r="BA33" i="1"/>
  <c r="BA42" i="1"/>
  <c r="BA43" i="1"/>
  <c r="BA47" i="1"/>
  <c r="T95" i="1"/>
  <c r="BA51" i="1"/>
  <c r="BA52" i="1"/>
  <c r="BC51" i="1"/>
  <c r="BC52" i="1"/>
  <c r="AK51" i="1"/>
  <c r="AK52" i="1"/>
  <c r="AM51" i="1"/>
  <c r="AM52" i="1"/>
  <c r="V95" i="1"/>
  <c r="C20" i="1"/>
  <c r="AM23" i="1"/>
  <c r="AO23" i="1"/>
  <c r="AK23" i="1"/>
  <c r="AK11" i="1"/>
  <c r="AO11" i="1"/>
  <c r="AM11" i="1"/>
  <c r="X50" i="6"/>
  <c r="G7" i="9"/>
  <c r="W44" i="6"/>
  <c r="X32" i="6"/>
  <c r="X35" i="6"/>
  <c r="W45" i="6"/>
  <c r="X51" i="6"/>
  <c r="G8" i="9"/>
  <c r="W32" i="6"/>
  <c r="W31" i="6"/>
  <c r="W40" i="6"/>
  <c r="N33" i="7"/>
  <c r="N30" i="7"/>
  <c r="P33" i="7"/>
  <c r="P30" i="7"/>
  <c r="M20" i="5"/>
  <c r="M12" i="5"/>
  <c r="R29" i="7"/>
  <c r="I3" i="5"/>
  <c r="I10" i="5"/>
  <c r="I55" i="5"/>
  <c r="R117" i="1"/>
  <c r="N58" i="7"/>
  <c r="I20" i="5"/>
  <c r="I12" i="5"/>
  <c r="K55" i="5"/>
  <c r="K3" i="5"/>
  <c r="K10" i="5"/>
  <c r="T117" i="1"/>
  <c r="P58" i="7"/>
  <c r="K20" i="5"/>
  <c r="K12" i="5"/>
  <c r="BB52" i="1"/>
  <c r="BD52" i="1"/>
  <c r="M55" i="5"/>
  <c r="M3" i="5"/>
  <c r="M10" i="5"/>
  <c r="BB34" i="1"/>
  <c r="BB38" i="1"/>
  <c r="BB43" i="1"/>
  <c r="BD43" i="1"/>
  <c r="V116" i="1"/>
  <c r="R57" i="7"/>
  <c r="V113" i="1"/>
  <c r="R54" i="7"/>
  <c r="V117" i="1"/>
  <c r="R58" i="7"/>
  <c r="T116" i="1"/>
  <c r="P57" i="7"/>
  <c r="T113" i="1"/>
  <c r="P54" i="7"/>
  <c r="R113" i="1"/>
  <c r="N54" i="7"/>
  <c r="R116" i="1"/>
  <c r="N57" i="7"/>
  <c r="R100" i="1"/>
  <c r="R82" i="1"/>
  <c r="N41" i="7"/>
  <c r="N42" i="7"/>
  <c r="R76" i="1"/>
  <c r="V96" i="1"/>
  <c r="T96" i="1"/>
  <c r="AI10" i="1"/>
  <c r="AZ11" i="1"/>
  <c r="BB11" i="1"/>
  <c r="BD11" i="1"/>
  <c r="AV11" i="1"/>
  <c r="AR11" i="1"/>
  <c r="AT11" i="1"/>
  <c r="C22" i="1"/>
  <c r="V107" i="1"/>
  <c r="R48" i="7"/>
  <c r="T107" i="1"/>
  <c r="P48" i="7"/>
  <c r="R107" i="1"/>
  <c r="N48" i="7"/>
  <c r="AI24" i="1"/>
  <c r="AZ23" i="1"/>
  <c r="BB23" i="1"/>
  <c r="BD23" i="1"/>
  <c r="AR23" i="1"/>
  <c r="AV23" i="1"/>
  <c r="AT23" i="1"/>
  <c r="V100" i="1"/>
  <c r="V76" i="1"/>
  <c r="V82" i="1"/>
  <c r="R41" i="7"/>
  <c r="R42" i="7"/>
  <c r="T82" i="1"/>
  <c r="P41" i="7"/>
  <c r="P42" i="7"/>
  <c r="T76" i="1"/>
  <c r="AL43" i="1"/>
  <c r="AL47" i="1"/>
  <c r="T100" i="1"/>
  <c r="AL52" i="1"/>
  <c r="AN52" i="1"/>
  <c r="AK38" i="1"/>
  <c r="BC42" i="1"/>
  <c r="BC43" i="1"/>
  <c r="AL34" i="1"/>
  <c r="AN33" i="1"/>
  <c r="AM42" i="1"/>
  <c r="AM43" i="1"/>
  <c r="T97" i="1"/>
  <c r="BA34" i="1"/>
  <c r="BC33" i="1"/>
  <c r="BC34" i="1"/>
  <c r="BA56" i="1"/>
  <c r="V97" i="1"/>
  <c r="AK56" i="1"/>
  <c r="R97" i="1"/>
  <c r="AO10" i="1"/>
  <c r="AM10" i="1"/>
  <c r="AK10" i="1"/>
  <c r="AK24" i="1"/>
  <c r="AO24" i="1"/>
  <c r="AM24" i="1"/>
  <c r="X36" i="6"/>
  <c r="X40" i="6"/>
  <c r="X41" i="6"/>
  <c r="W36" i="6"/>
  <c r="W41" i="6"/>
  <c r="W38" i="6"/>
  <c r="I4" i="5"/>
  <c r="I9" i="5"/>
  <c r="BD42" i="1"/>
  <c r="R33" i="7"/>
  <c r="R30" i="7"/>
  <c r="V88" i="1"/>
  <c r="V91" i="1"/>
  <c r="BJ53" i="1"/>
  <c r="BJ55" i="1"/>
  <c r="R38" i="7"/>
  <c r="R39" i="7"/>
  <c r="T88" i="1"/>
  <c r="T91" i="1"/>
  <c r="P44" i="7"/>
  <c r="P45" i="7"/>
  <c r="P38" i="7"/>
  <c r="P39" i="7"/>
  <c r="R88" i="1"/>
  <c r="R91" i="1"/>
  <c r="N44" i="7"/>
  <c r="N45" i="7"/>
  <c r="N38" i="7"/>
  <c r="N39" i="7"/>
  <c r="T115" i="1"/>
  <c r="R115" i="1"/>
  <c r="BB56" i="1"/>
  <c r="BB47" i="1"/>
  <c r="BB46" i="1"/>
  <c r="I11" i="5"/>
  <c r="I25" i="5"/>
  <c r="BD33" i="1"/>
  <c r="BB37" i="1"/>
  <c r="BD34" i="1"/>
  <c r="BB55" i="1"/>
  <c r="BD51" i="1"/>
  <c r="K4" i="5"/>
  <c r="K9" i="5"/>
  <c r="M4" i="5"/>
  <c r="V115" i="1"/>
  <c r="AI9" i="1"/>
  <c r="AZ10" i="1"/>
  <c r="BB10" i="1"/>
  <c r="BD10" i="1"/>
  <c r="AR10" i="1"/>
  <c r="AT10" i="1"/>
  <c r="AV10" i="1"/>
  <c r="AI25" i="1"/>
  <c r="AZ24" i="1"/>
  <c r="BD24" i="1"/>
  <c r="BB24" i="1"/>
  <c r="AV24" i="1"/>
  <c r="AT24" i="1"/>
  <c r="AR24" i="1"/>
  <c r="BI23" i="1"/>
  <c r="BI12" i="1"/>
  <c r="BI26" i="1"/>
  <c r="BI14" i="1"/>
  <c r="BI24" i="1"/>
  <c r="BI18" i="1"/>
  <c r="BI17" i="1"/>
  <c r="BI11" i="1"/>
  <c r="BI20" i="1"/>
  <c r="BI9" i="1"/>
  <c r="BI22" i="1"/>
  <c r="BI15" i="1"/>
  <c r="BI13" i="1"/>
  <c r="BI7" i="1"/>
  <c r="BI27" i="1"/>
  <c r="BI25" i="1"/>
  <c r="BI19" i="1"/>
  <c r="BI16" i="1"/>
  <c r="BI21" i="1"/>
  <c r="BI10" i="1"/>
  <c r="BI8" i="1"/>
  <c r="BM27" i="1"/>
  <c r="BM16" i="1"/>
  <c r="BM8" i="1"/>
  <c r="BK24" i="1"/>
  <c r="BK27" i="1"/>
  <c r="BM11" i="1"/>
  <c r="BM21" i="1"/>
  <c r="BM23" i="1"/>
  <c r="BK8" i="1"/>
  <c r="BK11" i="1"/>
  <c r="BM26" i="1"/>
  <c r="BK13" i="1"/>
  <c r="BM25" i="1"/>
  <c r="BK16" i="1"/>
  <c r="BM14" i="1"/>
  <c r="BM10" i="1"/>
  <c r="BK22" i="1"/>
  <c r="BK18" i="1"/>
  <c r="BK21" i="1"/>
  <c r="BM24" i="1"/>
  <c r="BM15" i="1"/>
  <c r="BK26" i="1"/>
  <c r="BK23" i="1"/>
  <c r="BK10" i="1"/>
  <c r="BK17" i="1"/>
  <c r="BM12" i="1"/>
  <c r="BM13" i="1"/>
  <c r="BM20" i="1"/>
  <c r="BK20" i="1"/>
  <c r="BK7" i="1"/>
  <c r="BK15" i="1"/>
  <c r="BM7" i="1"/>
  <c r="BK14" i="1"/>
  <c r="BM17" i="1"/>
  <c r="BM18" i="1"/>
  <c r="BM9" i="1"/>
  <c r="BK9" i="1"/>
  <c r="BK12" i="1"/>
  <c r="BK25" i="1"/>
  <c r="BM22" i="1"/>
  <c r="BM19" i="1"/>
  <c r="BK19" i="1"/>
  <c r="V101" i="1"/>
  <c r="V99" i="1"/>
  <c r="V106" i="1"/>
  <c r="R47" i="7"/>
  <c r="R49" i="7"/>
  <c r="T101" i="1"/>
  <c r="T99" i="1"/>
  <c r="R101" i="1"/>
  <c r="R99" i="1"/>
  <c r="AN43" i="1"/>
  <c r="AL56" i="1"/>
  <c r="AL55" i="1"/>
  <c r="AN51" i="1"/>
  <c r="AN42" i="1"/>
  <c r="AL46" i="1"/>
  <c r="AN34" i="1"/>
  <c r="AL38" i="1"/>
  <c r="AL37" i="1"/>
  <c r="BA38" i="1"/>
  <c r="AK9" i="1"/>
  <c r="AO9" i="1"/>
  <c r="AM9" i="1"/>
  <c r="AO25" i="1"/>
  <c r="AM25" i="1"/>
  <c r="AK25" i="1"/>
  <c r="I28" i="5"/>
  <c r="I26" i="5"/>
  <c r="R111" i="1"/>
  <c r="N52" i="7"/>
  <c r="N56" i="7"/>
  <c r="BJ34" i="1"/>
  <c r="BJ37" i="1"/>
  <c r="T111" i="1"/>
  <c r="P52" i="7"/>
  <c r="P56" i="7"/>
  <c r="V111" i="1"/>
  <c r="R52" i="7"/>
  <c r="R56" i="7"/>
  <c r="R44" i="7"/>
  <c r="R45" i="7"/>
  <c r="BJ43" i="1"/>
  <c r="BJ46" i="1"/>
  <c r="BL52" i="1"/>
  <c r="BL53" i="1"/>
  <c r="BJ56" i="1"/>
  <c r="K28" i="5"/>
  <c r="I27" i="5"/>
  <c r="I13" i="5"/>
  <c r="K25" i="5"/>
  <c r="K11" i="5"/>
  <c r="K26" i="5"/>
  <c r="M9" i="5"/>
  <c r="M28" i="5"/>
  <c r="M26" i="5"/>
  <c r="V121" i="1"/>
  <c r="V122" i="1"/>
  <c r="R122" i="1"/>
  <c r="R106" i="1"/>
  <c r="N47" i="7"/>
  <c r="N49" i="7"/>
  <c r="AZ25" i="1"/>
  <c r="BB25" i="1"/>
  <c r="BD25" i="1"/>
  <c r="AI26" i="1"/>
  <c r="AV25" i="1"/>
  <c r="AR25" i="1"/>
  <c r="AT25" i="1"/>
  <c r="V108" i="1"/>
  <c r="BI52" i="1"/>
  <c r="AI8" i="1"/>
  <c r="AZ9" i="1"/>
  <c r="BD9" i="1"/>
  <c r="BB9" i="1"/>
  <c r="AR9" i="1"/>
  <c r="AV9" i="1"/>
  <c r="AT9" i="1"/>
  <c r="T122" i="1"/>
  <c r="T106" i="1"/>
  <c r="P47" i="7"/>
  <c r="P49" i="7"/>
  <c r="T121" i="1"/>
  <c r="R121" i="1"/>
  <c r="AO26" i="1"/>
  <c r="AM26" i="1"/>
  <c r="AK26" i="1"/>
  <c r="AM8" i="1"/>
  <c r="AK8" i="1"/>
  <c r="AO8" i="1"/>
  <c r="BL33" i="1"/>
  <c r="BL34" i="1"/>
  <c r="BJ36" i="1"/>
  <c r="BJ45" i="1"/>
  <c r="BL42" i="1"/>
  <c r="BL43" i="1"/>
  <c r="I34" i="5"/>
  <c r="I15" i="5"/>
  <c r="I31" i="5"/>
  <c r="Q31" i="5"/>
  <c r="I29" i="5"/>
  <c r="K27" i="5"/>
  <c r="K13" i="5"/>
  <c r="M25" i="5"/>
  <c r="M11" i="5"/>
  <c r="AI7" i="1"/>
  <c r="AZ8" i="1"/>
  <c r="BB8" i="1"/>
  <c r="BD8" i="1"/>
  <c r="AV8" i="1"/>
  <c r="AR8" i="1"/>
  <c r="AT8" i="1"/>
  <c r="BI55" i="1"/>
  <c r="BI56" i="1"/>
  <c r="BI53" i="1"/>
  <c r="BK53" i="1"/>
  <c r="AZ26" i="1"/>
  <c r="BB26" i="1"/>
  <c r="BD26" i="1"/>
  <c r="AI27" i="1"/>
  <c r="AT26" i="1"/>
  <c r="AV26" i="1"/>
  <c r="AR26" i="1"/>
  <c r="BI33" i="1"/>
  <c r="R108" i="1"/>
  <c r="T108" i="1"/>
  <c r="BI42" i="1"/>
  <c r="AK27" i="1"/>
  <c r="AM27" i="1"/>
  <c r="AO27" i="1"/>
  <c r="AK7" i="1"/>
  <c r="AO7" i="1"/>
  <c r="AM7" i="1"/>
  <c r="I45" i="5"/>
  <c r="I35" i="5"/>
  <c r="K15" i="5"/>
  <c r="K31" i="5"/>
  <c r="R31" i="5"/>
  <c r="K29" i="5"/>
  <c r="K34" i="5"/>
  <c r="M27" i="5"/>
  <c r="M13" i="5"/>
  <c r="BI43" i="1"/>
  <c r="BK43" i="1"/>
  <c r="BI45" i="1"/>
  <c r="BI46" i="1"/>
  <c r="BI34" i="1"/>
  <c r="BK34" i="1"/>
  <c r="BI36" i="1"/>
  <c r="BI37" i="1"/>
  <c r="AZ27" i="1"/>
  <c r="BD27" i="1"/>
  <c r="BB27" i="1"/>
  <c r="AT27" i="1"/>
  <c r="AR27" i="1"/>
  <c r="AV27" i="1"/>
  <c r="AZ7" i="1"/>
  <c r="BD7" i="1"/>
  <c r="BB7" i="1"/>
  <c r="AR7" i="1"/>
  <c r="AV7" i="1"/>
  <c r="AT7" i="1"/>
  <c r="I37" i="5"/>
  <c r="I48" i="5"/>
  <c r="I36" i="5"/>
  <c r="I46" i="5"/>
  <c r="K45" i="5"/>
  <c r="K35" i="5"/>
  <c r="M15" i="5"/>
  <c r="M31" i="5"/>
  <c r="S31" i="5"/>
  <c r="M29" i="5"/>
  <c r="M34" i="5"/>
  <c r="I47" i="5"/>
  <c r="I61" i="5"/>
  <c r="I62" i="5"/>
  <c r="I60" i="5"/>
  <c r="K37" i="5"/>
  <c r="K48" i="5"/>
  <c r="K36" i="5"/>
  <c r="K46" i="5"/>
  <c r="M45" i="5"/>
  <c r="M35" i="5"/>
  <c r="K61" i="5"/>
  <c r="K62" i="5"/>
  <c r="K60" i="5"/>
  <c r="K47" i="5"/>
  <c r="M37" i="5"/>
  <c r="M48" i="5"/>
  <c r="M36" i="5"/>
  <c r="M46" i="5"/>
  <c r="M61" i="5"/>
  <c r="M62" i="5"/>
  <c r="M60" i="5"/>
  <c r="M47" i="5"/>
  <c r="K54" i="5"/>
  <c r="K53" i="5"/>
  <c r="K58" i="5"/>
  <c r="K59" i="5"/>
  <c r="S54" i="5"/>
  <c r="M54" i="5"/>
  <c r="M53" i="5"/>
  <c r="M58" i="5"/>
  <c r="M59" i="5"/>
  <c r="T54" i="5"/>
  <c r="G76" i="5"/>
  <c r="I54" i="5"/>
  <c r="I53" i="5"/>
  <c r="I58" i="5"/>
  <c r="I59" i="5"/>
  <c r="R54" i="5"/>
  <c r="K67" i="5"/>
  <c r="K68" i="5"/>
  <c r="M67" i="5"/>
  <c r="M68" i="5"/>
</calcChain>
</file>

<file path=xl/sharedStrings.xml><?xml version="1.0" encoding="utf-8"?>
<sst xmlns="http://schemas.openxmlformats.org/spreadsheetml/2006/main" count="410" uniqueCount="211">
  <si>
    <t>Long run parameters</t>
  </si>
  <si>
    <t>A</t>
  </si>
  <si>
    <t>Tau</t>
  </si>
  <si>
    <t>Labor Force</t>
  </si>
  <si>
    <t>Depreciation Rate</t>
  </si>
  <si>
    <t>Capital share</t>
  </si>
  <si>
    <t>Steady State Capital</t>
  </si>
  <si>
    <t>Steady State Output</t>
  </si>
  <si>
    <t>Sigma/Rho</t>
  </si>
  <si>
    <t>SS maintenance</t>
  </si>
  <si>
    <t>Ratios to Output</t>
  </si>
  <si>
    <t xml:space="preserve">   Capital</t>
  </si>
  <si>
    <t xml:space="preserve">   Maintenance</t>
  </si>
  <si>
    <t>Solow MOD</t>
  </si>
  <si>
    <t>mpk SS</t>
  </si>
  <si>
    <t xml:space="preserve">Consumption </t>
  </si>
  <si>
    <t>Investment</t>
  </si>
  <si>
    <t>Government</t>
  </si>
  <si>
    <t xml:space="preserve">Target rate of inflation </t>
  </si>
  <si>
    <t xml:space="preserve">Natrual rate of interest </t>
  </si>
  <si>
    <t>Shocks -- Expenditure</t>
  </si>
  <si>
    <t>base</t>
  </si>
  <si>
    <t>alt(i)</t>
  </si>
  <si>
    <t>alt(ii)</t>
  </si>
  <si>
    <t>Gov't Spending</t>
  </si>
  <si>
    <t>In percent of potential output</t>
  </si>
  <si>
    <t>Tax Measures (one-off)</t>
  </si>
  <si>
    <t>Shocks - Supply / Expected inflation</t>
  </si>
  <si>
    <r>
      <t>Supply shock (% of Y</t>
    </r>
    <r>
      <rPr>
        <vertAlign val="super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</si>
  <si>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t>In percent</t>
  </si>
  <si>
    <t>Inflation expectations (gap w.r.t. target)</t>
  </si>
  <si>
    <t xml:space="preserve">Shocks - Discretionary monetary policy </t>
  </si>
  <si>
    <t>Deviation from Taylor Rule (shift)</t>
  </si>
  <si>
    <t>Main Equations of Short-Run Model</t>
  </si>
  <si>
    <t>Denominator term</t>
  </si>
  <si>
    <t>Calculation of equlibrium output gap  -- component by component</t>
  </si>
  <si>
    <t>(a) Inflation expectations component</t>
  </si>
  <si>
    <t>(b) Supply shock component</t>
  </si>
  <si>
    <t>(c) Fiscal component</t>
  </si>
  <si>
    <t>(d) Discretionary monetary component</t>
  </si>
  <si>
    <t xml:space="preserve">   Maintenance (Steady state investment)</t>
  </si>
  <si>
    <t>Equilibrium inflation rate</t>
  </si>
  <si>
    <t xml:space="preserve">Equilibrium real interest rate </t>
  </si>
  <si>
    <t xml:space="preserve">  Consumption </t>
  </si>
  <si>
    <t xml:space="preserve">  Investment </t>
  </si>
  <si>
    <t xml:space="preserve">  Governerment Spending</t>
  </si>
  <si>
    <t xml:space="preserve">Currency-unit results </t>
  </si>
  <si>
    <t xml:space="preserve"> Gross Domestic Product</t>
  </si>
  <si>
    <t>Check</t>
  </si>
  <si>
    <t>IS Curve</t>
  </si>
  <si>
    <t>gap</t>
  </si>
  <si>
    <t>RR Curve</t>
  </si>
  <si>
    <t>Phillips Curve (PC)</t>
  </si>
  <si>
    <t>x</t>
  </si>
  <si>
    <t>y</t>
  </si>
  <si>
    <t>graph</t>
  </si>
  <si>
    <t>title</t>
  </si>
  <si>
    <t>(i)</t>
  </si>
  <si>
    <t>(ii)</t>
  </si>
  <si>
    <t>Exports of goods and services</t>
  </si>
  <si>
    <t xml:space="preserve">   Consumption</t>
  </si>
  <si>
    <t xml:space="preserve">   Government</t>
  </si>
  <si>
    <t xml:space="preserve">    Net Exports</t>
  </si>
  <si>
    <t xml:space="preserve">       Exports</t>
  </si>
  <si>
    <t xml:space="preserve">       Imports</t>
  </si>
  <si>
    <t>Sigma</t>
  </si>
  <si>
    <t>External real rate of interest</t>
  </si>
  <si>
    <t xml:space="preserve">Risk Premium </t>
  </si>
  <si>
    <t>Long run external prices</t>
  </si>
  <si>
    <t xml:space="preserve">  Exports Px</t>
  </si>
  <si>
    <t xml:space="preserve">  Imports Pim</t>
  </si>
  <si>
    <r>
      <t>K</t>
    </r>
    <r>
      <rPr>
        <vertAlign val="subscript"/>
        <sz val="11"/>
        <color theme="1"/>
        <rFont val="Calibri"/>
        <family val="2"/>
        <scheme val="minor"/>
      </rPr>
      <t>SS</t>
    </r>
  </si>
  <si>
    <r>
      <t xml:space="preserve">  Non-tradable sector L</t>
    </r>
    <r>
      <rPr>
        <vertAlign val="subscript"/>
        <sz val="11"/>
        <color theme="1"/>
        <rFont val="Calibri"/>
        <family val="2"/>
        <scheme val="minor"/>
      </rPr>
      <t>N</t>
    </r>
  </si>
  <si>
    <r>
      <t xml:space="preserve">  Export sector L</t>
    </r>
    <r>
      <rPr>
        <vertAlign val="subscript"/>
        <sz val="11"/>
        <color theme="1"/>
        <rFont val="Calibri"/>
        <family val="2"/>
        <scheme val="minor"/>
      </rPr>
      <t>X</t>
    </r>
  </si>
  <si>
    <r>
      <t>Total factor prod, exports A</t>
    </r>
    <r>
      <rPr>
        <vertAlign val="subscript"/>
        <sz val="11"/>
        <color theme="1"/>
        <rFont val="Calibri"/>
        <family val="2"/>
        <scheme val="minor"/>
      </rPr>
      <t>X</t>
    </r>
  </si>
  <si>
    <r>
      <t>Total factor prod, non-tradables A</t>
    </r>
    <r>
      <rPr>
        <vertAlign val="subscript"/>
        <sz val="11"/>
        <color theme="1"/>
        <rFont val="Calibri"/>
        <family val="2"/>
        <scheme val="minor"/>
      </rPr>
      <t>N</t>
    </r>
  </si>
  <si>
    <r>
      <t>Y</t>
    </r>
    <r>
      <rPr>
        <vertAlign val="subscript"/>
        <sz val="11"/>
        <color theme="1"/>
        <rFont val="Calibri"/>
        <family val="2"/>
        <scheme val="minor"/>
      </rPr>
      <t>SS</t>
    </r>
  </si>
  <si>
    <t xml:space="preserve">  Non-tradables</t>
  </si>
  <si>
    <t xml:space="preserve">  Exports</t>
  </si>
  <si>
    <t>after tax mpk SS - deprec. rate</t>
  </si>
  <si>
    <t>Imports of goods and services</t>
  </si>
  <si>
    <t xml:space="preserve">Shocks - External financial pressures (efp) </t>
  </si>
  <si>
    <t xml:space="preserve">  Total external financial pressures</t>
  </si>
  <si>
    <t xml:space="preserve">    Real interest rate -- dev.from baseline </t>
  </si>
  <si>
    <t xml:space="preserve">    Risk premium -- dev.from baseline </t>
  </si>
  <si>
    <t xml:space="preserve">Shocks - External Terms of Trade (ln(TT)) </t>
  </si>
  <si>
    <t xml:space="preserve">  TT log deviation from baseline </t>
  </si>
  <si>
    <t xml:space="preserve">    Export price log dev</t>
  </si>
  <si>
    <t xml:space="preserve">    Import price log dev </t>
  </si>
  <si>
    <t xml:space="preserve">(e) External financial pressure component </t>
  </si>
  <si>
    <t>Equilibrium output gap (open economy)</t>
  </si>
  <si>
    <t>Phillips Curve (Inverse Short Run Supply Function, open economy)</t>
  </si>
  <si>
    <t xml:space="preserve">Nominal Interest Rate (Taylor Rule, open economy) </t>
  </si>
  <si>
    <t>Real Interest Rate (RR) schedule, open economy</t>
  </si>
  <si>
    <t>IS Curve (open economy)</t>
  </si>
  <si>
    <t xml:space="preserve">(f) External terms of trade component </t>
  </si>
  <si>
    <t xml:space="preserve">Output gap (a)-(b)+(c)+(d)+(e)+(f) </t>
  </si>
  <si>
    <t xml:space="preserve">  Net Exports</t>
  </si>
  <si>
    <t xml:space="preserve">     Exports</t>
  </si>
  <si>
    <t xml:space="preserve">     Imports</t>
  </si>
  <si>
    <r>
      <t>Net Exports (NX/Y</t>
    </r>
    <r>
      <rPr>
        <vertAlign val="super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</si>
  <si>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t>RER</t>
  </si>
  <si>
    <t>Baseline Real Exchange Rate</t>
  </si>
  <si>
    <t>inc</t>
  </si>
  <si>
    <t>Real price of imports (deviation from norm)</t>
  </si>
  <si>
    <t>Real price of exports (deviation from norm)</t>
  </si>
  <si>
    <t>Real exchange rate (deviation from norm)</t>
  </si>
  <si>
    <t xml:space="preserve">   (appreciaton - )</t>
  </si>
  <si>
    <t>Real exchange rate index</t>
  </si>
  <si>
    <t xml:space="preserve">   (Base = 100, app - )</t>
  </si>
  <si>
    <r>
      <t>Net Exports/Y</t>
    </r>
    <r>
      <rPr>
        <vertAlign val="superscript"/>
        <sz val="11"/>
        <color theme="1"/>
        <rFont val="Calibri"/>
        <family val="2"/>
        <scheme val="minor"/>
      </rPr>
      <t>P</t>
    </r>
  </si>
  <si>
    <r>
      <t>Net Exports/Y</t>
    </r>
    <r>
      <rPr>
        <vertAlign val="superscript"/>
        <sz val="11"/>
        <color theme="1"/>
        <rFont val="Calibri"/>
        <family val="2"/>
        <scheme val="minor"/>
      </rPr>
      <t xml:space="preserve">P  </t>
    </r>
    <r>
      <rPr>
        <sz val="11"/>
        <color theme="1"/>
        <rFont val="Calibri"/>
        <family val="2"/>
        <scheme val="minor"/>
      </rPr>
      <t>Baseline</t>
    </r>
  </si>
  <si>
    <t>NX gap</t>
  </si>
  <si>
    <t>Demand side decomposition of output gap (percent of potential)</t>
  </si>
  <si>
    <t>Output gap</t>
  </si>
  <si>
    <t xml:space="preserve"> </t>
  </si>
  <si>
    <t>Price level (Base = 100)</t>
  </si>
  <si>
    <t>Nominal GDP</t>
  </si>
  <si>
    <t>Fiscal  Accounts (Nominal terms)</t>
  </si>
  <si>
    <t>Revenues</t>
  </si>
  <si>
    <t>Primary Expenditures</t>
  </si>
  <si>
    <t>Primary Balance</t>
  </si>
  <si>
    <t>Interest Payments</t>
  </si>
  <si>
    <t>Overall Balance</t>
  </si>
  <si>
    <t>Debt</t>
  </si>
  <si>
    <t>Memo: Government debt from previous period</t>
  </si>
  <si>
    <t xml:space="preserve">    In percent of GDP</t>
  </si>
  <si>
    <t>Memo: Nominal Interest Rate</t>
  </si>
  <si>
    <t>In percent of GDP</t>
  </si>
  <si>
    <t>Financing (Nominal terms)</t>
  </si>
  <si>
    <t xml:space="preserve">   Domestic</t>
  </si>
  <si>
    <t xml:space="preserve">     Of Which Central Bank</t>
  </si>
  <si>
    <t xml:space="preserve">  External</t>
  </si>
  <si>
    <t>Memo: Domestic/Total</t>
  </si>
  <si>
    <t>Memo: Central Bank/Domestic</t>
  </si>
  <si>
    <t xml:space="preserve">Financing </t>
  </si>
  <si>
    <t>Central Bank Accounts (Nominal terms)</t>
  </si>
  <si>
    <t>Liabilities</t>
  </si>
  <si>
    <t xml:space="preserve">  Base Money</t>
  </si>
  <si>
    <t xml:space="preserve">     Currency</t>
  </si>
  <si>
    <t xml:space="preserve">     Deposits / Other</t>
  </si>
  <si>
    <t xml:space="preserve">  Other/Net Worth</t>
  </si>
  <si>
    <t>Assets</t>
  </si>
  <si>
    <t xml:space="preserve">    Net International Reserves</t>
  </si>
  <si>
    <t xml:space="preserve">    Domestic </t>
  </si>
  <si>
    <t xml:space="preserve">        Government debt</t>
  </si>
  <si>
    <t xml:space="preserve">        Credit to banks</t>
  </si>
  <si>
    <t xml:space="preserve">        Other</t>
  </si>
  <si>
    <t>RELATIVE TO BASELINE</t>
  </si>
  <si>
    <t>Change in international reserves</t>
  </si>
  <si>
    <t xml:space="preserve">  in percent of GDP</t>
  </si>
  <si>
    <t>Memo: Reference value of base money</t>
  </si>
  <si>
    <t xml:space="preserve">    Baseline velocity</t>
  </si>
  <si>
    <t>Deposits etc</t>
  </si>
  <si>
    <t>Response parameters</t>
  </si>
  <si>
    <t xml:space="preserve">   Money demand - output gap</t>
  </si>
  <si>
    <t xml:space="preserve">   Money demand - inflation rate </t>
  </si>
  <si>
    <t xml:space="preserve">   Money demand - nominal intrest rate gap</t>
  </si>
  <si>
    <t>NIR</t>
  </si>
  <si>
    <t>Pub Deb/GDP</t>
  </si>
  <si>
    <t>Dr</t>
  </si>
  <si>
    <t>EB</t>
  </si>
  <si>
    <t>IB</t>
  </si>
  <si>
    <t>i</t>
  </si>
  <si>
    <t>ii</t>
  </si>
  <si>
    <t>A(inv)</t>
  </si>
  <si>
    <t>nx*-nx</t>
  </si>
  <si>
    <t>pi*-pi</t>
  </si>
  <si>
    <t>Dfp</t>
  </si>
  <si>
    <t>Output gap (% of Potential)</t>
  </si>
  <si>
    <t>Real Interest Rate (in percent)</t>
  </si>
  <si>
    <t>Inflation Rate (in percent)</t>
  </si>
  <si>
    <t>Nominal Interest Rate (in percent)</t>
  </si>
  <si>
    <t>Results - Core Domestic Variables</t>
  </si>
  <si>
    <t>Real exchange rate (base=100)</t>
  </si>
  <si>
    <t>Results -- External Sector Variables</t>
  </si>
  <si>
    <t>Relative price of exports (% dev. from base)</t>
  </si>
  <si>
    <t xml:space="preserve">   Exporter's perspective</t>
  </si>
  <si>
    <t>Relative price of imports (% dev. from base)</t>
  </si>
  <si>
    <t xml:space="preserve">   Importer's perspective</t>
  </si>
  <si>
    <t>Net Exports/Potential output</t>
  </si>
  <si>
    <t xml:space="preserve">   Baseline norm</t>
  </si>
  <si>
    <r>
      <t xml:space="preserve">Fiscal Contraction  </t>
    </r>
    <r>
      <rPr>
        <sz val="11"/>
        <color theme="1"/>
        <rFont val="Calibri"/>
        <family val="2"/>
      </rPr>
      <t>↓</t>
    </r>
  </si>
  <si>
    <r>
      <t xml:space="preserve">Fiscal Expansion </t>
    </r>
    <r>
      <rPr>
        <sz val="11"/>
        <color theme="1"/>
        <rFont val="Calibri"/>
        <family val="2"/>
      </rPr>
      <t>↑</t>
    </r>
  </si>
  <si>
    <r>
      <rPr>
        <sz val="11"/>
        <color theme="1"/>
        <rFont val="Calibri"/>
        <family val="2"/>
      </rPr>
      <t xml:space="preserve">← </t>
    </r>
    <r>
      <rPr>
        <sz val="11"/>
        <color theme="1"/>
        <rFont val="Calibri"/>
        <family val="2"/>
        <scheme val="minor"/>
      </rPr>
      <t xml:space="preserve">Monetary expansion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 xml:space="preserve">r  </t>
    </r>
  </si>
  <si>
    <r>
      <t xml:space="preserve">Monetary contraction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</rPr>
      <t>→</t>
    </r>
  </si>
  <si>
    <t>/</t>
  </si>
  <si>
    <t>Required Policy Mix</t>
  </si>
  <si>
    <t>Imbalances: External and Internal</t>
  </si>
  <si>
    <t xml:space="preserve">Internal imbalance (dotted blue line) </t>
  </si>
  <si>
    <t xml:space="preserve">External imbalance (dotted red line) </t>
  </si>
  <si>
    <t>External deficit</t>
  </si>
  <si>
    <t>Monetary loosening required</t>
  </si>
  <si>
    <t>Expansion/High inflation</t>
  </si>
  <si>
    <t>External surplus</t>
  </si>
  <si>
    <t>External balance achieved</t>
  </si>
  <si>
    <t>Contraction/Low inflation</t>
  </si>
  <si>
    <t>Internal balance achieved</t>
  </si>
  <si>
    <t>Fiscal expansion may be appropriate</t>
  </si>
  <si>
    <t>Choose: Target Net Exports/GDP (in percent)</t>
  </si>
  <si>
    <t>Choose: Target Inflation Rate (in percent)</t>
  </si>
  <si>
    <t>Choose: Observed Inflation Rate (in percent)</t>
  </si>
  <si>
    <t>Choose: Observed Net Exports/GDP (in percent)</t>
  </si>
  <si>
    <t>Modest external deficit</t>
  </si>
  <si>
    <t>Modest external surplus</t>
  </si>
  <si>
    <t>Modest upward inflationary pressures</t>
  </si>
  <si>
    <t>Upward inflationary pressures</t>
  </si>
  <si>
    <t>Modest downward inflationary pressures</t>
  </si>
  <si>
    <t>Downward inflationary pressures</t>
  </si>
  <si>
    <t>ASSUMPTION: External and Internal Imbalances</t>
  </si>
  <si>
    <t>RESULTS: Required Policy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</si>
</sst>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00"/>
    <numFmt numFmtId="166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B7E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D9F5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0" fillId="0" borderId="0" xfId="1" applyNumberFormat="1" applyFont="1"/>
    <xf numFmtId="2" fontId="0" fillId="2" borderId="0" xfId="1" applyNumberFormat="1" applyFont="1" applyFill="1"/>
    <xf numFmtId="0" fontId="0" fillId="2" borderId="0" xfId="0" applyFill="1"/>
    <xf numFmtId="2" fontId="0" fillId="2" borderId="0" xfId="0" applyNumberFormat="1" applyFill="1"/>
    <xf numFmtId="164" fontId="0" fillId="4" borderId="0" xfId="1" applyNumberFormat="1" applyFont="1" applyFill="1"/>
    <xf numFmtId="164" fontId="0" fillId="5" borderId="0" xfId="1" applyNumberFormat="1" applyFont="1" applyFill="1"/>
    <xf numFmtId="166" fontId="0" fillId="5" borderId="0" xfId="0" applyNumberFormat="1" applyFill="1"/>
    <xf numFmtId="164" fontId="0" fillId="3" borderId="0" xfId="0" applyNumberFormat="1" applyFill="1"/>
    <xf numFmtId="164" fontId="2" fillId="3" borderId="0" xfId="0" applyNumberFormat="1" applyFont="1" applyFill="1"/>
    <xf numFmtId="165" fontId="2" fillId="0" borderId="0" xfId="0" applyNumberFormat="1" applyFont="1" applyAlignment="1">
      <alignment horizontal="center"/>
    </xf>
    <xf numFmtId="2" fontId="2" fillId="3" borderId="0" xfId="1" applyNumberFormat="1" applyFont="1" applyFill="1"/>
    <xf numFmtId="2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164" fontId="2" fillId="0" borderId="0" xfId="1" applyNumberFormat="1" applyFont="1"/>
    <xf numFmtId="0" fontId="0" fillId="5" borderId="0" xfId="0" applyFill="1"/>
    <xf numFmtId="0" fontId="0" fillId="6" borderId="0" xfId="0" applyFill="1"/>
    <xf numFmtId="0" fontId="0" fillId="7" borderId="0" xfId="0" applyFill="1"/>
    <xf numFmtId="9" fontId="0" fillId="0" borderId="0" xfId="0" applyNumberFormat="1"/>
    <xf numFmtId="164" fontId="4" fillId="5" borderId="0" xfId="1" applyNumberFormat="1" applyFont="1" applyFill="1"/>
    <xf numFmtId="2" fontId="0" fillId="5" borderId="0" xfId="1" applyNumberFormat="1" applyFont="1" applyFill="1"/>
    <xf numFmtId="166" fontId="0" fillId="0" borderId="0" xfId="0" applyNumberFormat="1"/>
    <xf numFmtId="164" fontId="0" fillId="6" borderId="0" xfId="0" applyNumberFormat="1" applyFill="1"/>
    <xf numFmtId="2" fontId="6" fillId="2" borderId="0" xfId="0" applyNumberFormat="1" applyFont="1" applyFill="1"/>
    <xf numFmtId="0" fontId="0" fillId="0" borderId="0" xfId="0" applyFill="1"/>
    <xf numFmtId="2" fontId="0" fillId="0" borderId="0" xfId="0" applyNumberFormat="1"/>
    <xf numFmtId="10" fontId="0" fillId="3" borderId="0" xfId="1" applyNumberFormat="1" applyFont="1" applyFill="1"/>
    <xf numFmtId="10" fontId="0" fillId="0" borderId="0" xfId="1" applyNumberFormat="1" applyFont="1"/>
    <xf numFmtId="0" fontId="0" fillId="8" borderId="0" xfId="0" applyFill="1"/>
    <xf numFmtId="1" fontId="0" fillId="5" borderId="0" xfId="1" applyNumberFormat="1" applyFont="1" applyFill="1"/>
    <xf numFmtId="166" fontId="2" fillId="0" borderId="0" xfId="0" applyNumberFormat="1" applyFont="1"/>
    <xf numFmtId="166" fontId="2" fillId="3" borderId="0" xfId="0" applyNumberFormat="1" applyFont="1" applyFill="1"/>
    <xf numFmtId="164" fontId="2" fillId="3" borderId="0" xfId="1" applyNumberFormat="1" applyFont="1" applyFill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1" applyFont="1"/>
    <xf numFmtId="2" fontId="2" fillId="3" borderId="0" xfId="0" applyNumberFormat="1" applyFont="1" applyFill="1"/>
    <xf numFmtId="165" fontId="0" fillId="9" borderId="0" xfId="0" applyNumberFormat="1" applyFill="1"/>
    <xf numFmtId="164" fontId="0" fillId="9" borderId="0" xfId="1" applyNumberFormat="1" applyFont="1" applyFill="1"/>
    <xf numFmtId="2" fontId="2" fillId="10" borderId="0" xfId="0" applyNumberFormat="1" applyFont="1" applyFill="1"/>
    <xf numFmtId="2" fontId="4" fillId="11" borderId="0" xfId="0" applyNumberFormat="1" applyFont="1" applyFill="1"/>
    <xf numFmtId="0" fontId="8" fillId="12" borderId="0" xfId="0" applyFont="1" applyFill="1"/>
    <xf numFmtId="0" fontId="7" fillId="0" borderId="0" xfId="0" applyFont="1"/>
    <xf numFmtId="2" fontId="9" fillId="13" borderId="0" xfId="0" applyNumberFormat="1" applyFont="1" applyFill="1"/>
    <xf numFmtId="2" fontId="9" fillId="0" borderId="0" xfId="0" applyNumberFormat="1" applyFont="1" applyFill="1"/>
    <xf numFmtId="2" fontId="9" fillId="12" borderId="0" xfId="0" applyNumberFormat="1" applyFont="1" applyFill="1"/>
    <xf numFmtId="164" fontId="9" fillId="13" borderId="0" xfId="1" applyNumberFormat="1" applyFont="1" applyFill="1"/>
    <xf numFmtId="164" fontId="9" fillId="0" borderId="0" xfId="1" applyNumberFormat="1" applyFont="1" applyFill="1"/>
    <xf numFmtId="164" fontId="9" fillId="12" borderId="0" xfId="1" applyNumberFormat="1" applyFont="1" applyFill="1"/>
    <xf numFmtId="1" fontId="0" fillId="9" borderId="0" xfId="0" applyNumberFormat="1" applyFill="1"/>
    <xf numFmtId="165" fontId="0" fillId="0" borderId="0" xfId="0" applyNumberFormat="1"/>
    <xf numFmtId="165" fontId="2" fillId="3" borderId="0" xfId="0" applyNumberFormat="1" applyFont="1" applyFill="1"/>
    <xf numFmtId="2" fontId="0" fillId="3" borderId="0" xfId="0" applyNumberFormat="1" applyFill="1"/>
    <xf numFmtId="9" fontId="0" fillId="14" borderId="0" xfId="0" applyNumberFormat="1" applyFill="1"/>
    <xf numFmtId="0" fontId="2" fillId="0" borderId="0" xfId="0" applyFont="1"/>
    <xf numFmtId="0" fontId="0" fillId="0" borderId="0" xfId="0" quotePrefix="1"/>
    <xf numFmtId="0" fontId="7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164" fontId="0" fillId="17" borderId="0" xfId="1" applyNumberFormat="1" applyFont="1" applyFill="1"/>
    <xf numFmtId="0" fontId="12" fillId="18" borderId="0" xfId="0" applyFont="1" applyFill="1" applyAlignment="1">
      <alignment horizontal="center" vertical="center" wrapText="1"/>
    </xf>
    <xf numFmtId="0" fontId="12" fillId="19" borderId="0" xfId="0" applyFont="1" applyFill="1" applyAlignment="1">
      <alignment horizontal="center" vertical="center" wrapText="1"/>
    </xf>
    <xf numFmtId="0" fontId="14" fillId="15" borderId="0" xfId="0" applyFont="1" applyFill="1" applyAlignment="1">
      <alignment horizontal="center" vertical="center" wrapText="1"/>
    </xf>
    <xf numFmtId="0" fontId="14" fillId="16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top" wrapText="1"/>
    </xf>
    <xf numFmtId="0" fontId="15" fillId="3" borderId="0" xfId="0" applyFont="1" applyFill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9F5FF"/>
      <color rgb="FFFFC5C5"/>
      <color rgb="FFFFCCFF"/>
      <color rgb="FFB7ECFF"/>
      <color rgb="FFFFABAB"/>
      <color rgb="FFF6B6A4"/>
      <color rgb="FFFFAD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Exports and Real Exchange Rate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175371712199144"/>
          <c:y val="0.17206698237405921"/>
          <c:w val="0.78663604441325108"/>
          <c:h val="0.6219383274716572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'OPTIONAL FULL MODEL APPENDIX'!$BI$7:$BI$27</c:f>
              <c:numCache>
                <c:formatCode>0.0%</c:formatCode>
                <c:ptCount val="21"/>
                <c:pt idx="0">
                  <c:v>2.6412105632631716E-2</c:v>
                </c:pt>
                <c:pt idx="1">
                  <c:v>2.2228463316051432E-2</c:v>
                </c:pt>
                <c:pt idx="2">
                  <c:v>1.8065635140349902E-2</c:v>
                </c:pt>
                <c:pt idx="3">
                  <c:v>1.3923517552587042E-2</c:v>
                </c:pt>
                <c:pt idx="4">
                  <c:v>9.8020075150120692E-3</c:v>
                </c:pt>
                <c:pt idx="5">
                  <c:v>5.7010025024997087E-3</c:v>
                </c:pt>
                <c:pt idx="6">
                  <c:v>1.6204004999998654E-3</c:v>
                </c:pt>
                <c:pt idx="7">
                  <c:v>-2.4399000000000833E-3</c:v>
                </c:pt>
                <c:pt idx="8">
                  <c:v>-6.4800000000000083E-3</c:v>
                </c:pt>
                <c:pt idx="9">
                  <c:v>-1.0499999999999876E-2</c:v>
                </c:pt>
                <c:pt idx="10">
                  <c:v>-1.4499999999999791E-2</c:v>
                </c:pt>
                <c:pt idx="11">
                  <c:v>-1.8499999999999794E-2</c:v>
                </c:pt>
                <c:pt idx="12">
                  <c:v>-2.2479999999999847E-2</c:v>
                </c:pt>
                <c:pt idx="13">
                  <c:v>-2.6440099999999779E-2</c:v>
                </c:pt>
                <c:pt idx="14">
                  <c:v>-3.0380399499999832E-2</c:v>
                </c:pt>
                <c:pt idx="15">
                  <c:v>-3.4300997502499903E-2</c:v>
                </c:pt>
                <c:pt idx="16">
                  <c:v>-3.8201992514987473E-2</c:v>
                </c:pt>
                <c:pt idx="17">
                  <c:v>-4.2083482552412399E-2</c:v>
                </c:pt>
                <c:pt idx="18">
                  <c:v>-4.5945565139650417E-2</c:v>
                </c:pt>
                <c:pt idx="19">
                  <c:v>-4.9788337313952193E-2</c:v>
                </c:pt>
                <c:pt idx="20">
                  <c:v>-5.3611895627382389E-2</c:v>
                </c:pt>
              </c:numCache>
            </c:numRef>
          </c:xVal>
          <c:yVal>
            <c:numRef>
              <c:f>'OPTIONAL FULL MODEL APPENDIX'!$BG$7:$BG$27</c:f>
              <c:numCache>
                <c:formatCode>0.0</c:formatCode>
                <c:ptCount val="21"/>
                <c:pt idx="0">
                  <c:v>105.11401320407893</c:v>
                </c:pt>
                <c:pt idx="1">
                  <c:v>104.59105791450641</c:v>
                </c:pt>
                <c:pt idx="2">
                  <c:v>104.0707043925437</c:v>
                </c:pt>
                <c:pt idx="3">
                  <c:v>103.55293969407334</c:v>
                </c:pt>
                <c:pt idx="4">
                  <c:v>103.03775093937648</c:v>
                </c:pt>
                <c:pt idx="5">
                  <c:v>102.52512531281243</c:v>
                </c:pt>
                <c:pt idx="6">
                  <c:v>102.01505006249995</c:v>
                </c:pt>
                <c:pt idx="7">
                  <c:v>101.50751249999996</c:v>
                </c:pt>
                <c:pt idx="8">
                  <c:v>101.00249999999997</c:v>
                </c:pt>
                <c:pt idx="9">
                  <c:v>100.49999999999999</c:v>
                </c:pt>
                <c:pt idx="10">
                  <c:v>100</c:v>
                </c:pt>
                <c:pt idx="11">
                  <c:v>99.5</c:v>
                </c:pt>
                <c:pt idx="12">
                  <c:v>99.002499999999998</c:v>
                </c:pt>
                <c:pt idx="13">
                  <c:v>98.507487499999996</c:v>
                </c:pt>
                <c:pt idx="14">
                  <c:v>98.014950062499992</c:v>
                </c:pt>
                <c:pt idx="15">
                  <c:v>97.52487531218749</c:v>
                </c:pt>
                <c:pt idx="16">
                  <c:v>97.037250935626545</c:v>
                </c:pt>
                <c:pt idx="17">
                  <c:v>96.552064680948419</c:v>
                </c:pt>
                <c:pt idx="18">
                  <c:v>96.069304357543672</c:v>
                </c:pt>
                <c:pt idx="19">
                  <c:v>95.588957835755949</c:v>
                </c:pt>
                <c:pt idx="20">
                  <c:v>95.11101304657717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65-4723-833C-208657639F36}"/>
            </c:ext>
          </c:extLst>
        </c:ser>
        <c:ser>
          <c:idx val="1"/>
          <c:order val="1"/>
          <c:spPr>
            <a:ln>
              <a:solidFill>
                <a:schemeClr val="accent2">
                  <a:lumMod val="75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APPENDIX'!$BK$7:$BK$27</c:f>
              <c:numCache>
                <c:formatCode>0.0%</c:formatCode>
                <c:ptCount val="21"/>
                <c:pt idx="0">
                  <c:v>2.6412105632631716E-2</c:v>
                </c:pt>
                <c:pt idx="1">
                  <c:v>2.2228463316051432E-2</c:v>
                </c:pt>
                <c:pt idx="2">
                  <c:v>1.8065635140349902E-2</c:v>
                </c:pt>
                <c:pt idx="3">
                  <c:v>1.3923517552587042E-2</c:v>
                </c:pt>
                <c:pt idx="4">
                  <c:v>9.8020075150120692E-3</c:v>
                </c:pt>
                <c:pt idx="5">
                  <c:v>5.7010025024997087E-3</c:v>
                </c:pt>
                <c:pt idx="6">
                  <c:v>1.6204004999998654E-3</c:v>
                </c:pt>
                <c:pt idx="7">
                  <c:v>-2.4399000000000833E-3</c:v>
                </c:pt>
                <c:pt idx="8">
                  <c:v>-6.4800000000000083E-3</c:v>
                </c:pt>
                <c:pt idx="9">
                  <c:v>-1.0499999999999876E-2</c:v>
                </c:pt>
                <c:pt idx="10">
                  <c:v>-1.4499999999999791E-2</c:v>
                </c:pt>
                <c:pt idx="11">
                  <c:v>-1.8499999999999794E-2</c:v>
                </c:pt>
                <c:pt idx="12">
                  <c:v>-2.2479999999999847E-2</c:v>
                </c:pt>
                <c:pt idx="13">
                  <c:v>-2.6440099999999779E-2</c:v>
                </c:pt>
                <c:pt idx="14">
                  <c:v>-3.0380399499999832E-2</c:v>
                </c:pt>
                <c:pt idx="15">
                  <c:v>-3.4300997502499903E-2</c:v>
                </c:pt>
                <c:pt idx="16">
                  <c:v>-3.8201992514987473E-2</c:v>
                </c:pt>
                <c:pt idx="17">
                  <c:v>-4.2083482552412399E-2</c:v>
                </c:pt>
                <c:pt idx="18">
                  <c:v>-4.5945565139650417E-2</c:v>
                </c:pt>
                <c:pt idx="19">
                  <c:v>-4.9788337313952193E-2</c:v>
                </c:pt>
                <c:pt idx="20">
                  <c:v>-5.3611895627382389E-2</c:v>
                </c:pt>
              </c:numCache>
            </c:numRef>
          </c:xVal>
          <c:yVal>
            <c:numRef>
              <c:f>'OPTIONAL FULL MODEL APPENDIX'!$BG$7:$BG$27</c:f>
              <c:numCache>
                <c:formatCode>0.0</c:formatCode>
                <c:ptCount val="21"/>
                <c:pt idx="0">
                  <c:v>105.11401320407893</c:v>
                </c:pt>
                <c:pt idx="1">
                  <c:v>104.59105791450641</c:v>
                </c:pt>
                <c:pt idx="2">
                  <c:v>104.0707043925437</c:v>
                </c:pt>
                <c:pt idx="3">
                  <c:v>103.55293969407334</c:v>
                </c:pt>
                <c:pt idx="4">
                  <c:v>103.03775093937648</c:v>
                </c:pt>
                <c:pt idx="5">
                  <c:v>102.52512531281243</c:v>
                </c:pt>
                <c:pt idx="6">
                  <c:v>102.01505006249995</c:v>
                </c:pt>
                <c:pt idx="7">
                  <c:v>101.50751249999996</c:v>
                </c:pt>
                <c:pt idx="8">
                  <c:v>101.00249999999997</c:v>
                </c:pt>
                <c:pt idx="9">
                  <c:v>100.49999999999999</c:v>
                </c:pt>
                <c:pt idx="10">
                  <c:v>100</c:v>
                </c:pt>
                <c:pt idx="11">
                  <c:v>99.5</c:v>
                </c:pt>
                <c:pt idx="12">
                  <c:v>99.002499999999998</c:v>
                </c:pt>
                <c:pt idx="13">
                  <c:v>98.507487499999996</c:v>
                </c:pt>
                <c:pt idx="14">
                  <c:v>98.014950062499992</c:v>
                </c:pt>
                <c:pt idx="15">
                  <c:v>97.52487531218749</c:v>
                </c:pt>
                <c:pt idx="16">
                  <c:v>97.037250935626545</c:v>
                </c:pt>
                <c:pt idx="17">
                  <c:v>96.552064680948419</c:v>
                </c:pt>
                <c:pt idx="18">
                  <c:v>96.069304357543672</c:v>
                </c:pt>
                <c:pt idx="19">
                  <c:v>95.588957835755949</c:v>
                </c:pt>
                <c:pt idx="20">
                  <c:v>95.11101304657717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65-4723-833C-208657639F36}"/>
            </c:ext>
          </c:extLst>
        </c:ser>
        <c:ser>
          <c:idx val="2"/>
          <c:order val="2"/>
          <c:spPr>
            <a:ln>
              <a:solidFill>
                <a:schemeClr val="accent2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'OPTIONAL FULL MODEL APPENDIX'!$BM$7:$BM$27</c:f>
              <c:numCache>
                <c:formatCode>0.0%</c:formatCode>
                <c:ptCount val="21"/>
                <c:pt idx="0">
                  <c:v>2.6412105632631716E-2</c:v>
                </c:pt>
                <c:pt idx="1">
                  <c:v>2.2228463316051432E-2</c:v>
                </c:pt>
                <c:pt idx="2">
                  <c:v>1.8065635140349902E-2</c:v>
                </c:pt>
                <c:pt idx="3">
                  <c:v>1.3923517552587042E-2</c:v>
                </c:pt>
                <c:pt idx="4">
                  <c:v>9.8020075150120692E-3</c:v>
                </c:pt>
                <c:pt idx="5">
                  <c:v>5.7010025024997087E-3</c:v>
                </c:pt>
                <c:pt idx="6">
                  <c:v>1.6204004999998654E-3</c:v>
                </c:pt>
                <c:pt idx="7">
                  <c:v>-2.4399000000000833E-3</c:v>
                </c:pt>
                <c:pt idx="8">
                  <c:v>-6.4800000000000083E-3</c:v>
                </c:pt>
                <c:pt idx="9">
                  <c:v>-1.0499999999999876E-2</c:v>
                </c:pt>
                <c:pt idx="10">
                  <c:v>-1.4499999999999791E-2</c:v>
                </c:pt>
                <c:pt idx="11">
                  <c:v>-1.8499999999999794E-2</c:v>
                </c:pt>
                <c:pt idx="12">
                  <c:v>-2.2479999999999847E-2</c:v>
                </c:pt>
                <c:pt idx="13">
                  <c:v>-2.6440099999999779E-2</c:v>
                </c:pt>
                <c:pt idx="14">
                  <c:v>-3.0380399499999832E-2</c:v>
                </c:pt>
                <c:pt idx="15">
                  <c:v>-3.4300997502499903E-2</c:v>
                </c:pt>
                <c:pt idx="16">
                  <c:v>-3.8201992514987473E-2</c:v>
                </c:pt>
                <c:pt idx="17">
                  <c:v>-4.2083482552412399E-2</c:v>
                </c:pt>
                <c:pt idx="18">
                  <c:v>-4.5945565139650417E-2</c:v>
                </c:pt>
                <c:pt idx="19">
                  <c:v>-4.9788337313952193E-2</c:v>
                </c:pt>
                <c:pt idx="20">
                  <c:v>-5.3611895627382389E-2</c:v>
                </c:pt>
              </c:numCache>
            </c:numRef>
          </c:xVal>
          <c:yVal>
            <c:numRef>
              <c:f>'OPTIONAL FULL MODEL APPENDIX'!$BG$7:$BG$27</c:f>
              <c:numCache>
                <c:formatCode>0.0</c:formatCode>
                <c:ptCount val="21"/>
                <c:pt idx="0">
                  <c:v>105.11401320407893</c:v>
                </c:pt>
                <c:pt idx="1">
                  <c:v>104.59105791450641</c:v>
                </c:pt>
                <c:pt idx="2">
                  <c:v>104.0707043925437</c:v>
                </c:pt>
                <c:pt idx="3">
                  <c:v>103.55293969407334</c:v>
                </c:pt>
                <c:pt idx="4">
                  <c:v>103.03775093937648</c:v>
                </c:pt>
                <c:pt idx="5">
                  <c:v>102.52512531281243</c:v>
                </c:pt>
                <c:pt idx="6">
                  <c:v>102.01505006249995</c:v>
                </c:pt>
                <c:pt idx="7">
                  <c:v>101.50751249999996</c:v>
                </c:pt>
                <c:pt idx="8">
                  <c:v>101.00249999999997</c:v>
                </c:pt>
                <c:pt idx="9">
                  <c:v>100.49999999999999</c:v>
                </c:pt>
                <c:pt idx="10">
                  <c:v>100</c:v>
                </c:pt>
                <c:pt idx="11">
                  <c:v>99.5</c:v>
                </c:pt>
                <c:pt idx="12">
                  <c:v>99.002499999999998</c:v>
                </c:pt>
                <c:pt idx="13">
                  <c:v>98.507487499999996</c:v>
                </c:pt>
                <c:pt idx="14">
                  <c:v>98.014950062499992</c:v>
                </c:pt>
                <c:pt idx="15">
                  <c:v>97.52487531218749</c:v>
                </c:pt>
                <c:pt idx="16">
                  <c:v>97.037250935626545</c:v>
                </c:pt>
                <c:pt idx="17">
                  <c:v>96.552064680948419</c:v>
                </c:pt>
                <c:pt idx="18">
                  <c:v>96.069304357543672</c:v>
                </c:pt>
                <c:pt idx="19">
                  <c:v>95.588957835755949</c:v>
                </c:pt>
                <c:pt idx="20">
                  <c:v>95.11101304657717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65-4723-833C-208657639F36}"/>
            </c:ext>
          </c:extLst>
        </c:ser>
        <c:ser>
          <c:idx val="3"/>
          <c:order val="3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APPENDIX'!$BI$33:$BI$34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APPENDIX'!$BJ$33:$BJ$34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65-4723-833C-208657639F36}"/>
            </c:ext>
          </c:extLst>
        </c:ser>
        <c:ser>
          <c:idx val="4"/>
          <c:order val="4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APPENDIX'!$BK$33:$BK$34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APPENDIX'!$BL$33:$BL$34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65-4723-833C-208657639F36}"/>
            </c:ext>
          </c:extLst>
        </c:ser>
        <c:ser>
          <c:idx val="5"/>
          <c:order val="5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APPENDIX'!$BI$42:$BI$43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APPENDIX'!$BJ$42:$BJ$43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65-4723-833C-208657639F36}"/>
            </c:ext>
          </c:extLst>
        </c:ser>
        <c:ser>
          <c:idx val="6"/>
          <c:order val="6"/>
          <c:spPr>
            <a:ln w="12700">
              <a:solidFill>
                <a:prstClr val="black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APPENDIX'!$BK$42:$BK$43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APPENDIX'!$BL$42:$BL$43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465-4723-833C-208657639F36}"/>
            </c:ext>
          </c:extLst>
        </c:ser>
        <c:ser>
          <c:idx val="7"/>
          <c:order val="7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APPENDIX'!$BI$52:$BI$53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APPENDIX'!$BJ$52:$BJ$53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465-4723-833C-208657639F36}"/>
            </c:ext>
          </c:extLst>
        </c:ser>
        <c:ser>
          <c:idx val="8"/>
          <c:order val="8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APPENDIX'!$BK$52:$BK$53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APPENDIX'!$BL$52:$BL$53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465-4723-833C-208657639F36}"/>
            </c:ext>
          </c:extLst>
        </c:ser>
        <c:ser>
          <c:idx val="9"/>
          <c:order val="9"/>
          <c:tx>
            <c:strRef>
              <c:f>'OPTIONAL FULL MODEL APPENDIX'!$BI$31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465-4723-833C-208657639F36}"/>
                </c:ext>
              </c:extLst>
            </c:dLbl>
            <c:dLbl>
              <c:idx val="1"/>
              <c:layout>
                <c:manualLayout>
                  <c:x val="-1.3949161347862428E-2"/>
                  <c:y val="4.6391745045580805E-3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465-4723-833C-208657639F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APPENDIX'!$BI$36:$BI$37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APPENDIX'!$BJ$36:$BJ$37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465-4723-833C-208657639F36}"/>
            </c:ext>
          </c:extLst>
        </c:ser>
        <c:ser>
          <c:idx val="10"/>
          <c:order val="10"/>
          <c:tx>
            <c:strRef>
              <c:f>'OPTIONAL FULL MODEL APPENDIX'!$BI$40</c:f>
              <c:strCache>
                <c:ptCount val="1"/>
                <c:pt idx="0">
                  <c:v>(i)</c:v>
                </c:pt>
              </c:strCache>
            </c:strRef>
          </c:tx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465-4723-833C-208657639F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APPENDIX'!$BI$45:$BI$46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APPENDIX'!$BJ$45:$BJ$46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465-4723-833C-208657639F36}"/>
            </c:ext>
          </c:extLst>
        </c:ser>
        <c:ser>
          <c:idx val="11"/>
          <c:order val="11"/>
          <c:tx>
            <c:strRef>
              <c:f>'OPTIONAL FULL MODEL APPENDIX'!$BI$50</c:f>
              <c:strCache>
                <c:ptCount val="1"/>
                <c:pt idx="0">
                  <c:v>(ii)</c:v>
                </c:pt>
              </c:strCache>
            </c:strRef>
          </c:tx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465-4723-833C-208657639F3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465-4723-833C-208657639F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APPENDIX'!$BI$55:$BI$56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APPENDIX'!$BJ$55:$BJ$56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465-4723-833C-208657639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441568"/>
        <c:axId val="377442352"/>
      </c:scatterChart>
      <c:valAx>
        <c:axId val="377441568"/>
        <c:scaling>
          <c:orientation val="minMax"/>
          <c:max val="5.000000000000001E-2"/>
          <c:min val="-3.0000000000000006E-2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Net exports (in percent of potential</a:t>
                </a:r>
                <a:r>
                  <a:rPr lang="en-US" b="0" baseline="0"/>
                  <a:t> output)</a:t>
                </a:r>
                <a:endParaRPr lang="en-US" b="0"/>
              </a:p>
            </c:rich>
          </c:tx>
          <c:layout>
            <c:manualLayout>
              <c:xMode val="edge"/>
              <c:yMode val="edge"/>
              <c:x val="0.26931171364306933"/>
              <c:y val="0.88770844250717507"/>
            </c:manualLayout>
          </c:layout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442352"/>
        <c:crosses val="autoZero"/>
        <c:crossBetween val="midCat"/>
      </c:valAx>
      <c:valAx>
        <c:axId val="377442352"/>
        <c:scaling>
          <c:orientation val="minMax"/>
          <c:max val="104"/>
          <c:min val="9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 sz="800" b="0"/>
                  <a:t>Real exchange rate index </a:t>
                </a:r>
              </a:p>
              <a:p>
                <a:pPr>
                  <a:defRPr sz="800" b="0"/>
                </a:pPr>
                <a:r>
                  <a:rPr lang="en-US" sz="800" b="0"/>
                  <a:t>(app -, base=100)</a:t>
                </a:r>
              </a:p>
            </c:rich>
          </c:tx>
          <c:layout>
            <c:manualLayout>
              <c:xMode val="edge"/>
              <c:yMode val="edge"/>
              <c:x val="3.361261807752884E-3"/>
              <c:y val="0.26151886697507193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441568"/>
        <c:crossesAt val="-7.0000000000000021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IS/RR Curve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APPENDIX'!$AK$7:$AK$27</c:f>
              <c:numCache>
                <c:formatCode>0.00%</c:formatCode>
                <c:ptCount val="21"/>
                <c:pt idx="0">
                  <c:v>-2.7909090909090901E-2</c:v>
                </c:pt>
                <c:pt idx="1">
                  <c:v>-2.3118181818181812E-2</c:v>
                </c:pt>
                <c:pt idx="2">
                  <c:v>-1.8327272727272723E-2</c:v>
                </c:pt>
                <c:pt idx="3">
                  <c:v>-1.3536363636363642E-2</c:v>
                </c:pt>
                <c:pt idx="4">
                  <c:v>-8.7454545454545458E-3</c:v>
                </c:pt>
                <c:pt idx="5">
                  <c:v>-3.9545454545454536E-3</c:v>
                </c:pt>
                <c:pt idx="6">
                  <c:v>8.3636363636363856E-4</c:v>
                </c:pt>
                <c:pt idx="7">
                  <c:v>5.6272727272727273E-3</c:v>
                </c:pt>
                <c:pt idx="8">
                  <c:v>1.0418181818181819E-2</c:v>
                </c:pt>
                <c:pt idx="9">
                  <c:v>1.520909090909091E-2</c:v>
                </c:pt>
                <c:pt idx="10" formatCode="0.0%">
                  <c:v>0.02</c:v>
                </c:pt>
                <c:pt idx="11">
                  <c:v>2.4790909090909093E-2</c:v>
                </c:pt>
                <c:pt idx="12">
                  <c:v>2.9581818181818181E-2</c:v>
                </c:pt>
                <c:pt idx="13">
                  <c:v>3.4372727272727277E-2</c:v>
                </c:pt>
                <c:pt idx="14">
                  <c:v>3.9163636363636359E-2</c:v>
                </c:pt>
                <c:pt idx="15">
                  <c:v>4.3954545454545454E-2</c:v>
                </c:pt>
                <c:pt idx="16">
                  <c:v>4.874545454545455E-2</c:v>
                </c:pt>
                <c:pt idx="17">
                  <c:v>5.3536363636363646E-2</c:v>
                </c:pt>
                <c:pt idx="18">
                  <c:v>5.8327272727272728E-2</c:v>
                </c:pt>
                <c:pt idx="19">
                  <c:v>6.3118181818181809E-2</c:v>
                </c:pt>
                <c:pt idx="20">
                  <c:v>6.7909090909090905E-2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61-487B-BE4E-DA15554004AA}"/>
            </c:ext>
          </c:extLst>
        </c:ser>
        <c:ser>
          <c:idx val="1"/>
          <c:order val="1"/>
          <c:spPr>
            <a:ln w="190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APPENDIX'!$AM$7:$AM$27</c:f>
              <c:numCache>
                <c:formatCode>0.00%</c:formatCode>
                <c:ptCount val="21"/>
                <c:pt idx="0">
                  <c:v>-2.7909090909090901E-2</c:v>
                </c:pt>
                <c:pt idx="1">
                  <c:v>-2.3118181818181812E-2</c:v>
                </c:pt>
                <c:pt idx="2">
                  <c:v>-1.8327272727272723E-2</c:v>
                </c:pt>
                <c:pt idx="3">
                  <c:v>-1.3536363636363642E-2</c:v>
                </c:pt>
                <c:pt idx="4">
                  <c:v>-8.7454545454545458E-3</c:v>
                </c:pt>
                <c:pt idx="5">
                  <c:v>-3.9545454545454536E-3</c:v>
                </c:pt>
                <c:pt idx="6">
                  <c:v>8.3636363636363856E-4</c:v>
                </c:pt>
                <c:pt idx="7">
                  <c:v>5.6272727272727273E-3</c:v>
                </c:pt>
                <c:pt idx="8">
                  <c:v>1.0418181818181819E-2</c:v>
                </c:pt>
                <c:pt idx="9">
                  <c:v>1.520909090909091E-2</c:v>
                </c:pt>
                <c:pt idx="10" formatCode="0.0%">
                  <c:v>0.02</c:v>
                </c:pt>
                <c:pt idx="11">
                  <c:v>2.4790909090909093E-2</c:v>
                </c:pt>
                <c:pt idx="12">
                  <c:v>2.9581818181818181E-2</c:v>
                </c:pt>
                <c:pt idx="13">
                  <c:v>3.4372727272727277E-2</c:v>
                </c:pt>
                <c:pt idx="14">
                  <c:v>3.9163636363636359E-2</c:v>
                </c:pt>
                <c:pt idx="15">
                  <c:v>4.3954545454545454E-2</c:v>
                </c:pt>
                <c:pt idx="16">
                  <c:v>4.874545454545455E-2</c:v>
                </c:pt>
                <c:pt idx="17">
                  <c:v>5.3536363636363646E-2</c:v>
                </c:pt>
                <c:pt idx="18">
                  <c:v>5.8327272727272728E-2</c:v>
                </c:pt>
                <c:pt idx="19">
                  <c:v>6.3118181818181809E-2</c:v>
                </c:pt>
                <c:pt idx="20">
                  <c:v>6.7909090909090905E-2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61-487B-BE4E-DA15554004AA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APPENDIX'!$AO$7:$AO$27</c:f>
              <c:numCache>
                <c:formatCode>0.00%</c:formatCode>
                <c:ptCount val="21"/>
                <c:pt idx="0">
                  <c:v>-2.7909090909090901E-2</c:v>
                </c:pt>
                <c:pt idx="1">
                  <c:v>-2.3118181818181812E-2</c:v>
                </c:pt>
                <c:pt idx="2">
                  <c:v>-1.8327272727272723E-2</c:v>
                </c:pt>
                <c:pt idx="3">
                  <c:v>-1.3536363636363642E-2</c:v>
                </c:pt>
                <c:pt idx="4">
                  <c:v>-8.7454545454545458E-3</c:v>
                </c:pt>
                <c:pt idx="5">
                  <c:v>-3.9545454545454536E-3</c:v>
                </c:pt>
                <c:pt idx="6">
                  <c:v>8.3636363636363856E-4</c:v>
                </c:pt>
                <c:pt idx="7">
                  <c:v>5.6272727272727273E-3</c:v>
                </c:pt>
                <c:pt idx="8">
                  <c:v>1.0418181818181819E-2</c:v>
                </c:pt>
                <c:pt idx="9">
                  <c:v>1.520909090909091E-2</c:v>
                </c:pt>
                <c:pt idx="10" formatCode="0.0%">
                  <c:v>0.02</c:v>
                </c:pt>
                <c:pt idx="11">
                  <c:v>2.4790909090909093E-2</c:v>
                </c:pt>
                <c:pt idx="12">
                  <c:v>2.9581818181818181E-2</c:v>
                </c:pt>
                <c:pt idx="13">
                  <c:v>3.4372727272727277E-2</c:v>
                </c:pt>
                <c:pt idx="14">
                  <c:v>3.9163636363636359E-2</c:v>
                </c:pt>
                <c:pt idx="15">
                  <c:v>4.3954545454545454E-2</c:v>
                </c:pt>
                <c:pt idx="16">
                  <c:v>4.874545454545455E-2</c:v>
                </c:pt>
                <c:pt idx="17">
                  <c:v>5.3536363636363646E-2</c:v>
                </c:pt>
                <c:pt idx="18">
                  <c:v>5.8327272727272728E-2</c:v>
                </c:pt>
                <c:pt idx="19">
                  <c:v>6.3118181818181809E-2</c:v>
                </c:pt>
                <c:pt idx="20">
                  <c:v>6.7909090909090905E-2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61-487B-BE4E-DA15554004AA}"/>
            </c:ext>
          </c:extLst>
        </c:ser>
        <c:ser>
          <c:idx val="3"/>
          <c:order val="3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APPENDIX'!$AR$7:$AR$27</c:f>
              <c:numCache>
                <c:formatCode>0.0%</c:formatCode>
                <c:ptCount val="21"/>
                <c:pt idx="0">
                  <c:v>5.4999999999999993E-2</c:v>
                </c:pt>
                <c:pt idx="1">
                  <c:v>5.1500000000000004E-2</c:v>
                </c:pt>
                <c:pt idx="2">
                  <c:v>4.8000000000000001E-2</c:v>
                </c:pt>
                <c:pt idx="3">
                  <c:v>4.4499999999999998E-2</c:v>
                </c:pt>
                <c:pt idx="4">
                  <c:v>4.1000000000000002E-2</c:v>
                </c:pt>
                <c:pt idx="5">
                  <c:v>3.7499999999999999E-2</c:v>
                </c:pt>
                <c:pt idx="6">
                  <c:v>3.4000000000000002E-2</c:v>
                </c:pt>
                <c:pt idx="7">
                  <c:v>3.0499999999999999E-2</c:v>
                </c:pt>
                <c:pt idx="8">
                  <c:v>2.7E-2</c:v>
                </c:pt>
                <c:pt idx="9">
                  <c:v>2.35E-2</c:v>
                </c:pt>
                <c:pt idx="10">
                  <c:v>0.02</c:v>
                </c:pt>
                <c:pt idx="11">
                  <c:v>1.6500000000000001E-2</c:v>
                </c:pt>
                <c:pt idx="12">
                  <c:v>1.3000000000000001E-2</c:v>
                </c:pt>
                <c:pt idx="13">
                  <c:v>9.5000000000000015E-3</c:v>
                </c:pt>
                <c:pt idx="14">
                  <c:v>6.0000000000000019E-3</c:v>
                </c:pt>
                <c:pt idx="15">
                  <c:v>2.5000000000000022E-3</c:v>
                </c:pt>
                <c:pt idx="16">
                  <c:v>-1.0000000000000009E-3</c:v>
                </c:pt>
                <c:pt idx="17">
                  <c:v>-4.5000000000000005E-3</c:v>
                </c:pt>
                <c:pt idx="18">
                  <c:v>-7.9999999999999967E-3</c:v>
                </c:pt>
                <c:pt idx="19">
                  <c:v>-1.15E-2</c:v>
                </c:pt>
                <c:pt idx="20">
                  <c:v>-1.4999999999999996E-2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61-487B-BE4E-DA15554004A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APPENDIX'!$AT$7:$AT$27</c:f>
              <c:numCache>
                <c:formatCode>0.0%</c:formatCode>
                <c:ptCount val="21"/>
                <c:pt idx="0">
                  <c:v>5.4999999999999993E-2</c:v>
                </c:pt>
                <c:pt idx="1">
                  <c:v>5.1500000000000004E-2</c:v>
                </c:pt>
                <c:pt idx="2">
                  <c:v>4.8000000000000001E-2</c:v>
                </c:pt>
                <c:pt idx="3">
                  <c:v>4.4499999999999998E-2</c:v>
                </c:pt>
                <c:pt idx="4">
                  <c:v>4.1000000000000002E-2</c:v>
                </c:pt>
                <c:pt idx="5">
                  <c:v>3.7499999999999999E-2</c:v>
                </c:pt>
                <c:pt idx="6">
                  <c:v>3.4000000000000002E-2</c:v>
                </c:pt>
                <c:pt idx="7">
                  <c:v>3.0499999999999999E-2</c:v>
                </c:pt>
                <c:pt idx="8">
                  <c:v>2.7E-2</c:v>
                </c:pt>
                <c:pt idx="9">
                  <c:v>2.35E-2</c:v>
                </c:pt>
                <c:pt idx="10">
                  <c:v>0.02</c:v>
                </c:pt>
                <c:pt idx="11">
                  <c:v>1.6500000000000001E-2</c:v>
                </c:pt>
                <c:pt idx="12">
                  <c:v>1.3000000000000001E-2</c:v>
                </c:pt>
                <c:pt idx="13">
                  <c:v>9.5000000000000015E-3</c:v>
                </c:pt>
                <c:pt idx="14">
                  <c:v>6.0000000000000019E-3</c:v>
                </c:pt>
                <c:pt idx="15">
                  <c:v>2.5000000000000022E-3</c:v>
                </c:pt>
                <c:pt idx="16">
                  <c:v>-1.0000000000000009E-3</c:v>
                </c:pt>
                <c:pt idx="17">
                  <c:v>-4.5000000000000005E-3</c:v>
                </c:pt>
                <c:pt idx="18">
                  <c:v>-7.9999999999999967E-3</c:v>
                </c:pt>
                <c:pt idx="19">
                  <c:v>-1.15E-2</c:v>
                </c:pt>
                <c:pt idx="20">
                  <c:v>-1.4999999999999996E-2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61-487B-BE4E-DA15554004AA}"/>
            </c:ext>
          </c:extLst>
        </c:ser>
        <c:ser>
          <c:idx val="5"/>
          <c:order val="5"/>
          <c:spPr>
            <a:ln w="1905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APPENDIX'!$AV$7:$AV$27</c:f>
              <c:numCache>
                <c:formatCode>0.0%</c:formatCode>
                <c:ptCount val="21"/>
                <c:pt idx="0">
                  <c:v>5.4999999999999993E-2</c:v>
                </c:pt>
                <c:pt idx="1">
                  <c:v>5.1500000000000004E-2</c:v>
                </c:pt>
                <c:pt idx="2">
                  <c:v>4.8000000000000001E-2</c:v>
                </c:pt>
                <c:pt idx="3">
                  <c:v>4.4499999999999998E-2</c:v>
                </c:pt>
                <c:pt idx="4">
                  <c:v>4.1000000000000002E-2</c:v>
                </c:pt>
                <c:pt idx="5">
                  <c:v>3.7499999999999999E-2</c:v>
                </c:pt>
                <c:pt idx="6">
                  <c:v>3.4000000000000002E-2</c:v>
                </c:pt>
                <c:pt idx="7">
                  <c:v>3.0499999999999999E-2</c:v>
                </c:pt>
                <c:pt idx="8">
                  <c:v>2.7E-2</c:v>
                </c:pt>
                <c:pt idx="9">
                  <c:v>2.35E-2</c:v>
                </c:pt>
                <c:pt idx="10">
                  <c:v>0.02</c:v>
                </c:pt>
                <c:pt idx="11">
                  <c:v>1.6500000000000001E-2</c:v>
                </c:pt>
                <c:pt idx="12">
                  <c:v>1.3000000000000001E-2</c:v>
                </c:pt>
                <c:pt idx="13">
                  <c:v>9.5000000000000015E-3</c:v>
                </c:pt>
                <c:pt idx="14">
                  <c:v>6.0000000000000019E-3</c:v>
                </c:pt>
                <c:pt idx="15">
                  <c:v>2.5000000000000022E-3</c:v>
                </c:pt>
                <c:pt idx="16">
                  <c:v>-1.0000000000000009E-3</c:v>
                </c:pt>
                <c:pt idx="17">
                  <c:v>-4.5000000000000005E-3</c:v>
                </c:pt>
                <c:pt idx="18">
                  <c:v>-7.9999999999999967E-3</c:v>
                </c:pt>
                <c:pt idx="19">
                  <c:v>-1.15E-2</c:v>
                </c:pt>
                <c:pt idx="20">
                  <c:v>-1.4999999999999996E-2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61-487B-BE4E-DA15554004AA}"/>
            </c:ext>
          </c:extLst>
        </c:ser>
        <c:ser>
          <c:idx val="6"/>
          <c:order val="6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APPENDIX'!$AK$33:$AK$34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APPENDIX'!$AL$33:$AL$34</c:f>
              <c:numCache>
                <c:formatCode>0.0%</c:formatCode>
                <c:ptCount val="2"/>
                <c:pt idx="0">
                  <c:v>-0.1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61-487B-BE4E-DA15554004AA}"/>
            </c:ext>
          </c:extLst>
        </c:ser>
        <c:ser>
          <c:idx val="7"/>
          <c:order val="7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APPENDIX'!$AK$37:$AK$38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APPENDIX'!$AL$37:$AL$38</c:f>
              <c:numCache>
                <c:formatCode>0.0%</c:formatCode>
                <c:ptCount val="2"/>
                <c:pt idx="0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61-487B-BE4E-DA15554004AA}"/>
            </c:ext>
          </c:extLst>
        </c:ser>
        <c:ser>
          <c:idx val="8"/>
          <c:order val="8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APPENDIX'!$AK$42:$AK$43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APPENDIX'!$AL$42:$AL$43</c:f>
              <c:numCache>
                <c:formatCode>0.0%</c:formatCode>
                <c:ptCount val="2"/>
                <c:pt idx="0">
                  <c:v>-0.1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61-487B-BE4E-DA15554004AA}"/>
            </c:ext>
          </c:extLst>
        </c:ser>
        <c:ser>
          <c:idx val="9"/>
          <c:order val="9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APPENDIX'!$AK$46:$AK$47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APPENDIX'!$AL$46:$AL$47</c:f>
              <c:numCache>
                <c:formatCode>0.0%</c:formatCode>
                <c:ptCount val="2"/>
                <c:pt idx="0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61-487B-BE4E-DA15554004AA}"/>
            </c:ext>
          </c:extLst>
        </c:ser>
        <c:ser>
          <c:idx val="10"/>
          <c:order val="10"/>
          <c:spPr>
            <a:ln w="1270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APPENDIX'!$AK$51:$AK$52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APPENDIX'!$AL$51:$AL$52</c:f>
              <c:numCache>
                <c:formatCode>0.0%</c:formatCode>
                <c:ptCount val="2"/>
                <c:pt idx="0">
                  <c:v>-0.1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61-487B-BE4E-DA15554004AA}"/>
            </c:ext>
          </c:extLst>
        </c:ser>
        <c:ser>
          <c:idx val="11"/>
          <c:order val="11"/>
          <c:spPr>
            <a:ln w="1270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APPENDIX'!$AK$55:$AK$56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APPENDIX'!$AL$55:$AL$56</c:f>
              <c:numCache>
                <c:formatCode>0.0%</c:formatCode>
                <c:ptCount val="2"/>
                <c:pt idx="0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61-487B-BE4E-DA15554004AA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'OPTIONAL FULL MODEL APPENDIX'!$AM$33:$AM$34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APPENDIX'!$AN$33:$AN$34</c:f>
              <c:numCache>
                <c:formatCode>0.00%</c:formatCode>
                <c:ptCount val="2"/>
                <c:pt idx="0" formatCode="0.0%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61-487B-BE4E-DA15554004AA}"/>
            </c:ext>
          </c:extLst>
        </c:ser>
        <c:ser>
          <c:idx val="13"/>
          <c:order val="13"/>
          <c:tx>
            <c:strRef>
              <c:f>'OPTIONAL FULL MODEL APPENDIX'!$AM$31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061-487B-BE4E-DA15554004AA}"/>
                </c:ext>
              </c:extLst>
            </c:dLbl>
            <c:dLbl>
              <c:idx val="1"/>
              <c:layout>
                <c:manualLayout>
                  <c:x val="-4.7397766048227243E-2"/>
                  <c:y val="2.771280946425177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061-487B-BE4E-DA15554004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APPENDIX'!$AM$33:$AM$34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APPENDIX'!$AN$33:$AN$34</c:f>
              <c:numCache>
                <c:formatCode>0.00%</c:formatCode>
                <c:ptCount val="2"/>
                <c:pt idx="0" formatCode="0.0%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61-487B-BE4E-DA15554004AA}"/>
            </c:ext>
          </c:extLst>
        </c:ser>
        <c:ser>
          <c:idx val="14"/>
          <c:order val="14"/>
          <c:tx>
            <c:strRef>
              <c:f>'OPTIONAL FULL MODEL APPENDIX'!$AM$40</c:f>
              <c:strCache>
                <c:ptCount val="1"/>
                <c:pt idx="0">
                  <c:v>(i)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061-487B-BE4E-DA15554004AA}"/>
                </c:ext>
              </c:extLst>
            </c:dLbl>
            <c:dLbl>
              <c:idx val="1"/>
              <c:layout>
                <c:manualLayout>
                  <c:x val="-3.0669142737088272E-2"/>
                  <c:y val="-2.771280946425177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061-487B-BE4E-DA15554004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APPENDIX'!$AM$42:$AM$43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APPENDIX'!$AN$42:$AN$43</c:f>
              <c:numCache>
                <c:formatCode>0.0%</c:formatCode>
                <c:ptCount val="2"/>
                <c:pt idx="0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061-487B-BE4E-DA15554004AA}"/>
            </c:ext>
          </c:extLst>
        </c:ser>
        <c:ser>
          <c:idx val="15"/>
          <c:order val="15"/>
          <c:tx>
            <c:strRef>
              <c:f>'OPTIONAL FULL MODEL APPENDIX'!$AM$49</c:f>
              <c:strCache>
                <c:ptCount val="1"/>
                <c:pt idx="0">
                  <c:v>(ii)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061-487B-BE4E-DA15554004AA}"/>
                </c:ext>
              </c:extLst>
            </c:dLbl>
            <c:dLbl>
              <c:idx val="1"/>
              <c:layout>
                <c:manualLayout>
                  <c:x val="-1.6728623311139015E-2"/>
                  <c:y val="-8.467705072203167E-17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061-487B-BE4E-DA15554004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APPENDIX'!$AM$51:$AM$52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APPENDIX'!$AN$51:$AN$52</c:f>
              <c:numCache>
                <c:formatCode>0.0%</c:formatCode>
                <c:ptCount val="2"/>
                <c:pt idx="0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8061-487B-BE4E-DA1555400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436864"/>
        <c:axId val="247204736"/>
      </c:scatterChart>
      <c:valAx>
        <c:axId val="377436864"/>
        <c:scaling>
          <c:orientation val="minMax"/>
          <c:max val="5.0000000000000024E-2"/>
          <c:min val="-5.0000000000000024E-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Output gap (in percent)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204736"/>
        <c:crossesAt val="-6.0000000000000032E-2"/>
        <c:crossBetween val="midCat"/>
      </c:valAx>
      <c:valAx>
        <c:axId val="247204736"/>
        <c:scaling>
          <c:orientation val="minMax"/>
          <c:max val="6.0000000000000032E-2"/>
          <c:min val="-2.0000000000000011E-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Real interest rate (in percent)</a:t>
                </a:r>
              </a:p>
            </c:rich>
          </c:tx>
          <c:overlay val="0"/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436864"/>
        <c:crossesAt val="-6.000000000000003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Phillips Curve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APPENDIX'!$AZ$7:$AZ$27</c:f>
              <c:numCache>
                <c:formatCode>0.0%</c:formatCode>
                <c:ptCount val="21"/>
                <c:pt idx="0">
                  <c:v>5.5E-2</c:v>
                </c:pt>
                <c:pt idx="1">
                  <c:v>5.3999999999999999E-2</c:v>
                </c:pt>
                <c:pt idx="2">
                  <c:v>5.2999999999999999E-2</c:v>
                </c:pt>
                <c:pt idx="3">
                  <c:v>5.1999999999999998E-2</c:v>
                </c:pt>
                <c:pt idx="4">
                  <c:v>5.0999999999999997E-2</c:v>
                </c:pt>
                <c:pt idx="5">
                  <c:v>0.05</c:v>
                </c:pt>
                <c:pt idx="6">
                  <c:v>4.9000000000000002E-2</c:v>
                </c:pt>
                <c:pt idx="7">
                  <c:v>4.8000000000000001E-2</c:v>
                </c:pt>
                <c:pt idx="8">
                  <c:v>4.7E-2</c:v>
                </c:pt>
                <c:pt idx="9">
                  <c:v>4.5999999999999999E-2</c:v>
                </c:pt>
                <c:pt idx="10">
                  <c:v>4.4999999999999998E-2</c:v>
                </c:pt>
                <c:pt idx="11">
                  <c:v>4.3999999999999997E-2</c:v>
                </c:pt>
                <c:pt idx="12">
                  <c:v>4.2999999999999997E-2</c:v>
                </c:pt>
                <c:pt idx="13">
                  <c:v>4.1999999999999996E-2</c:v>
                </c:pt>
                <c:pt idx="14">
                  <c:v>4.0999999999999995E-2</c:v>
                </c:pt>
                <c:pt idx="15">
                  <c:v>3.9999999999999994E-2</c:v>
                </c:pt>
                <c:pt idx="16">
                  <c:v>3.9E-2</c:v>
                </c:pt>
                <c:pt idx="17">
                  <c:v>3.7999999999999999E-2</c:v>
                </c:pt>
                <c:pt idx="18">
                  <c:v>3.6999999999999998E-2</c:v>
                </c:pt>
                <c:pt idx="19">
                  <c:v>3.5999999999999997E-2</c:v>
                </c:pt>
                <c:pt idx="20">
                  <c:v>3.4999999999999996E-2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C0-4C14-8EC9-17055AFD5333}"/>
            </c:ext>
          </c:extLst>
        </c:ser>
        <c:ser>
          <c:idx val="1"/>
          <c:order val="1"/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APPENDIX'!$BB$7:$BB$27</c:f>
              <c:numCache>
                <c:formatCode>0.0%</c:formatCode>
                <c:ptCount val="21"/>
                <c:pt idx="0">
                  <c:v>5.5E-2</c:v>
                </c:pt>
                <c:pt idx="1">
                  <c:v>5.3999999999999999E-2</c:v>
                </c:pt>
                <c:pt idx="2">
                  <c:v>5.2999999999999999E-2</c:v>
                </c:pt>
                <c:pt idx="3">
                  <c:v>5.1999999999999998E-2</c:v>
                </c:pt>
                <c:pt idx="4">
                  <c:v>5.0999999999999997E-2</c:v>
                </c:pt>
                <c:pt idx="5">
                  <c:v>0.05</c:v>
                </c:pt>
                <c:pt idx="6">
                  <c:v>4.9000000000000002E-2</c:v>
                </c:pt>
                <c:pt idx="7">
                  <c:v>4.8000000000000001E-2</c:v>
                </c:pt>
                <c:pt idx="8">
                  <c:v>4.7E-2</c:v>
                </c:pt>
                <c:pt idx="9">
                  <c:v>4.5999999999999999E-2</c:v>
                </c:pt>
                <c:pt idx="10">
                  <c:v>4.4999999999999998E-2</c:v>
                </c:pt>
                <c:pt idx="11">
                  <c:v>4.3999999999999997E-2</c:v>
                </c:pt>
                <c:pt idx="12">
                  <c:v>4.2999999999999997E-2</c:v>
                </c:pt>
                <c:pt idx="13">
                  <c:v>4.1999999999999996E-2</c:v>
                </c:pt>
                <c:pt idx="14">
                  <c:v>4.0999999999999995E-2</c:v>
                </c:pt>
                <c:pt idx="15">
                  <c:v>3.9999999999999994E-2</c:v>
                </c:pt>
                <c:pt idx="16">
                  <c:v>3.9E-2</c:v>
                </c:pt>
                <c:pt idx="17">
                  <c:v>3.7999999999999999E-2</c:v>
                </c:pt>
                <c:pt idx="18">
                  <c:v>3.6999999999999998E-2</c:v>
                </c:pt>
                <c:pt idx="19">
                  <c:v>3.5999999999999997E-2</c:v>
                </c:pt>
                <c:pt idx="20">
                  <c:v>3.4999999999999996E-2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C0-4C14-8EC9-17055AFD5333}"/>
            </c:ext>
          </c:extLst>
        </c:ser>
        <c:ser>
          <c:idx val="2"/>
          <c:order val="2"/>
          <c:spPr>
            <a:ln w="1905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APPENDIX'!$BD$7:$BD$27</c:f>
              <c:numCache>
                <c:formatCode>0.0%</c:formatCode>
                <c:ptCount val="21"/>
                <c:pt idx="0">
                  <c:v>5.5E-2</c:v>
                </c:pt>
                <c:pt idx="1">
                  <c:v>5.3999999999999999E-2</c:v>
                </c:pt>
                <c:pt idx="2">
                  <c:v>5.2999999999999999E-2</c:v>
                </c:pt>
                <c:pt idx="3">
                  <c:v>5.1999999999999998E-2</c:v>
                </c:pt>
                <c:pt idx="4">
                  <c:v>5.0999999999999997E-2</c:v>
                </c:pt>
                <c:pt idx="5">
                  <c:v>0.05</c:v>
                </c:pt>
                <c:pt idx="6">
                  <c:v>4.9000000000000002E-2</c:v>
                </c:pt>
                <c:pt idx="7">
                  <c:v>4.8000000000000001E-2</c:v>
                </c:pt>
                <c:pt idx="8">
                  <c:v>4.7E-2</c:v>
                </c:pt>
                <c:pt idx="9">
                  <c:v>4.5999999999999999E-2</c:v>
                </c:pt>
                <c:pt idx="10">
                  <c:v>4.4999999999999998E-2</c:v>
                </c:pt>
                <c:pt idx="11">
                  <c:v>4.3999999999999997E-2</c:v>
                </c:pt>
                <c:pt idx="12">
                  <c:v>4.2999999999999997E-2</c:v>
                </c:pt>
                <c:pt idx="13">
                  <c:v>4.1999999999999996E-2</c:v>
                </c:pt>
                <c:pt idx="14">
                  <c:v>4.0999999999999995E-2</c:v>
                </c:pt>
                <c:pt idx="15">
                  <c:v>3.9999999999999994E-2</c:v>
                </c:pt>
                <c:pt idx="16">
                  <c:v>3.9E-2</c:v>
                </c:pt>
                <c:pt idx="17">
                  <c:v>3.7999999999999999E-2</c:v>
                </c:pt>
                <c:pt idx="18">
                  <c:v>3.6999999999999998E-2</c:v>
                </c:pt>
                <c:pt idx="19">
                  <c:v>3.5999999999999997E-2</c:v>
                </c:pt>
                <c:pt idx="20">
                  <c:v>3.4999999999999996E-2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C0-4C14-8EC9-17055AFD5333}"/>
            </c:ext>
          </c:extLst>
        </c:ser>
        <c:ser>
          <c:idx val="3"/>
          <c:order val="3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APPENDIX'!$BA$33:$BA$34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APPENDIX'!$BB$33:$BB$34</c:f>
              <c:numCache>
                <c:formatCode>0.0%</c:formatCode>
                <c:ptCount val="2"/>
                <c:pt idx="0">
                  <c:v>-0.1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C0-4C14-8EC9-17055AFD5333}"/>
            </c:ext>
          </c:extLst>
        </c:ser>
        <c:ser>
          <c:idx val="4"/>
          <c:order val="4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APPENDIX'!$BA$37:$BA$38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APPENDIX'!$BB$37:$BB$38</c:f>
              <c:numCache>
                <c:formatCode>0.0%</c:formatCode>
                <c:ptCount val="2"/>
                <c:pt idx="0">
                  <c:v>4.4999999999999998E-2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C0-4C14-8EC9-17055AFD5333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1"/>
            <c:bubble3D val="0"/>
            <c:spPr>
              <a:ln w="12700" cap="rnd">
                <a:solidFill>
                  <a:schemeClr val="tx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DAC0-4C14-8EC9-17055AFD5333}"/>
              </c:ext>
            </c:extLst>
          </c:dPt>
          <c:xVal>
            <c:numRef>
              <c:f>'OPTIONAL FULL MODEL APPENDIX'!$BA$42:$BA$43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APPENDIX'!$BB$42:$BB$43</c:f>
              <c:numCache>
                <c:formatCode>0.0%</c:formatCode>
                <c:ptCount val="2"/>
                <c:pt idx="0">
                  <c:v>-0.1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AC0-4C14-8EC9-17055AFD5333}"/>
            </c:ext>
          </c:extLst>
        </c:ser>
        <c:ser>
          <c:idx val="6"/>
          <c:order val="6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APPENDIX'!$BA$46:$BA$47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APPENDIX'!$BB$46:$BB$47</c:f>
              <c:numCache>
                <c:formatCode>0.0%</c:formatCode>
                <c:ptCount val="2"/>
                <c:pt idx="0">
                  <c:v>4.4999999999999998E-2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AC0-4C14-8EC9-17055AFD5333}"/>
            </c:ext>
          </c:extLst>
        </c:ser>
        <c:ser>
          <c:idx val="7"/>
          <c:order val="7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APPENDIX'!$BA$51:$BA$52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APPENDIX'!$BB$51:$BB$52</c:f>
              <c:numCache>
                <c:formatCode>0.0%</c:formatCode>
                <c:ptCount val="2"/>
                <c:pt idx="0">
                  <c:v>-0.1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AC0-4C14-8EC9-17055AFD5333}"/>
            </c:ext>
          </c:extLst>
        </c:ser>
        <c:ser>
          <c:idx val="8"/>
          <c:order val="8"/>
          <c:spPr>
            <a:ln w="1270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APPENDIX'!$BA$55:$BA$56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APPENDIX'!$BB$55:$BB$56</c:f>
              <c:numCache>
                <c:formatCode>0.0%</c:formatCode>
                <c:ptCount val="2"/>
                <c:pt idx="0">
                  <c:v>4.4999999999999998E-2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AC0-4C14-8EC9-17055AFD5333}"/>
            </c:ext>
          </c:extLst>
        </c:ser>
        <c:ser>
          <c:idx val="9"/>
          <c:order val="9"/>
          <c:tx>
            <c:strRef>
              <c:f>'OPTIONAL FULL MODEL APPENDIX'!$BC$31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AC0-4C14-8EC9-17055AFD5333}"/>
                </c:ext>
              </c:extLst>
            </c:dLbl>
            <c:dLbl>
              <c:idx val="1"/>
              <c:layout>
                <c:manualLayout>
                  <c:x val="-2.5000000000000112E-2"/>
                  <c:y val="4.4994375703037133E-3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AC0-4C14-8EC9-17055AFD53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APPENDIX'!$BC$33:$BC$34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APPENDIX'!$BD$33:$BD$34</c:f>
              <c:numCache>
                <c:formatCode>0.00%</c:formatCode>
                <c:ptCount val="2"/>
                <c:pt idx="0" formatCode="0.0%">
                  <c:v>4.4999999999999998E-2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AC0-4C14-8EC9-17055AFD5333}"/>
            </c:ext>
          </c:extLst>
        </c:ser>
        <c:ser>
          <c:idx val="10"/>
          <c:order val="10"/>
          <c:tx>
            <c:strRef>
              <c:f>'OPTIONAL FULL MODEL APPENDIX'!$BC$40</c:f>
              <c:strCache>
                <c:ptCount val="1"/>
                <c:pt idx="0">
                  <c:v>(i)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AC0-4C14-8EC9-17055AFD5333}"/>
                </c:ext>
              </c:extLst>
            </c:dLbl>
            <c:dLbl>
              <c:idx val="1"/>
              <c:layout>
                <c:manualLayout>
                  <c:x val="-1.9444444444444545E-2"/>
                  <c:y val="1.799766900613248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AC0-4C14-8EC9-17055AFD53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APPENDIX'!$BC$42:$BC$43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APPENDIX'!$BD$42:$BD$43</c:f>
              <c:numCache>
                <c:formatCode>0.0%</c:formatCode>
                <c:ptCount val="2"/>
                <c:pt idx="0">
                  <c:v>4.4999999999999998E-2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AC0-4C14-8EC9-17055AFD5333}"/>
            </c:ext>
          </c:extLst>
        </c:ser>
        <c:ser>
          <c:idx val="11"/>
          <c:order val="11"/>
          <c:tx>
            <c:strRef>
              <c:f>'OPTIONAL FULL MODEL APPENDIX'!$BC$49</c:f>
              <c:strCache>
                <c:ptCount val="1"/>
                <c:pt idx="0">
                  <c:v>(ii)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AC0-4C14-8EC9-17055AFD5333}"/>
                </c:ext>
              </c:extLst>
            </c:dLbl>
            <c:dLbl>
              <c:idx val="1"/>
              <c:layout>
                <c:manualLayout>
                  <c:x val="-4.1666666666666782E-2"/>
                  <c:y val="-5.161662775625505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AC0-4C14-8EC9-17055AFD53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APPENDIX'!$BC$51:$BC$52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APPENDIX'!$BD$51:$BD$52</c:f>
              <c:numCache>
                <c:formatCode>0.0%</c:formatCode>
                <c:ptCount val="2"/>
                <c:pt idx="0">
                  <c:v>4.4999999999999998E-2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AC0-4C14-8EC9-17055AFD5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181888"/>
        <c:axId val="372184632"/>
      </c:scatterChart>
      <c:valAx>
        <c:axId val="372181888"/>
        <c:scaling>
          <c:orientation val="minMax"/>
          <c:max val="5.0000000000000024E-2"/>
          <c:min val="-5.0000000000000024E-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Output gap (in percent)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184632"/>
        <c:crossesAt val="-6.0000000000000032E-2"/>
        <c:crossBetween val="midCat"/>
      </c:valAx>
      <c:valAx>
        <c:axId val="372184632"/>
        <c:scaling>
          <c:orientation val="minMax"/>
          <c:max val="9.0000000000000024E-2"/>
          <c:min val="-2.0000000000000011E-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Inflation rate (in percent)</a:t>
                </a:r>
              </a:p>
            </c:rich>
          </c:tx>
          <c:overlay val="0"/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181888"/>
        <c:crossesAt val="-6.000000000000003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Exports and Real Exchange Rate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175371712199144"/>
          <c:y val="0.17206698237405921"/>
          <c:w val="0.78663604441325108"/>
          <c:h val="0.6219383274716572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'OPTIONAL FULL MODEL APPENDIX'!$BI$7:$BI$27</c:f>
              <c:numCache>
                <c:formatCode>0.0%</c:formatCode>
                <c:ptCount val="21"/>
                <c:pt idx="0">
                  <c:v>2.6412105632631716E-2</c:v>
                </c:pt>
                <c:pt idx="1">
                  <c:v>2.2228463316051432E-2</c:v>
                </c:pt>
                <c:pt idx="2">
                  <c:v>1.8065635140349902E-2</c:v>
                </c:pt>
                <c:pt idx="3">
                  <c:v>1.3923517552587042E-2</c:v>
                </c:pt>
                <c:pt idx="4">
                  <c:v>9.8020075150120692E-3</c:v>
                </c:pt>
                <c:pt idx="5">
                  <c:v>5.7010025024997087E-3</c:v>
                </c:pt>
                <c:pt idx="6">
                  <c:v>1.6204004999998654E-3</c:v>
                </c:pt>
                <c:pt idx="7">
                  <c:v>-2.4399000000000833E-3</c:v>
                </c:pt>
                <c:pt idx="8">
                  <c:v>-6.4800000000000083E-3</c:v>
                </c:pt>
                <c:pt idx="9">
                  <c:v>-1.0499999999999876E-2</c:v>
                </c:pt>
                <c:pt idx="10">
                  <c:v>-1.4499999999999791E-2</c:v>
                </c:pt>
                <c:pt idx="11">
                  <c:v>-1.8499999999999794E-2</c:v>
                </c:pt>
                <c:pt idx="12">
                  <c:v>-2.2479999999999847E-2</c:v>
                </c:pt>
                <c:pt idx="13">
                  <c:v>-2.6440099999999779E-2</c:v>
                </c:pt>
                <c:pt idx="14">
                  <c:v>-3.0380399499999832E-2</c:v>
                </c:pt>
                <c:pt idx="15">
                  <c:v>-3.4300997502499903E-2</c:v>
                </c:pt>
                <c:pt idx="16">
                  <c:v>-3.8201992514987473E-2</c:v>
                </c:pt>
                <c:pt idx="17">
                  <c:v>-4.2083482552412399E-2</c:v>
                </c:pt>
                <c:pt idx="18">
                  <c:v>-4.5945565139650417E-2</c:v>
                </c:pt>
                <c:pt idx="19">
                  <c:v>-4.9788337313952193E-2</c:v>
                </c:pt>
                <c:pt idx="20">
                  <c:v>-5.3611895627382389E-2</c:v>
                </c:pt>
              </c:numCache>
            </c:numRef>
          </c:xVal>
          <c:yVal>
            <c:numRef>
              <c:f>'OPTIONAL FULL MODEL APPENDIX'!$BG$7:$BG$27</c:f>
              <c:numCache>
                <c:formatCode>0.0</c:formatCode>
                <c:ptCount val="21"/>
                <c:pt idx="0">
                  <c:v>105.11401320407893</c:v>
                </c:pt>
                <c:pt idx="1">
                  <c:v>104.59105791450641</c:v>
                </c:pt>
                <c:pt idx="2">
                  <c:v>104.0707043925437</c:v>
                </c:pt>
                <c:pt idx="3">
                  <c:v>103.55293969407334</c:v>
                </c:pt>
                <c:pt idx="4">
                  <c:v>103.03775093937648</c:v>
                </c:pt>
                <c:pt idx="5">
                  <c:v>102.52512531281243</c:v>
                </c:pt>
                <c:pt idx="6">
                  <c:v>102.01505006249995</c:v>
                </c:pt>
                <c:pt idx="7">
                  <c:v>101.50751249999996</c:v>
                </c:pt>
                <c:pt idx="8">
                  <c:v>101.00249999999997</c:v>
                </c:pt>
                <c:pt idx="9">
                  <c:v>100.49999999999999</c:v>
                </c:pt>
                <c:pt idx="10">
                  <c:v>100</c:v>
                </c:pt>
                <c:pt idx="11">
                  <c:v>99.5</c:v>
                </c:pt>
                <c:pt idx="12">
                  <c:v>99.002499999999998</c:v>
                </c:pt>
                <c:pt idx="13">
                  <c:v>98.507487499999996</c:v>
                </c:pt>
                <c:pt idx="14">
                  <c:v>98.014950062499992</c:v>
                </c:pt>
                <c:pt idx="15">
                  <c:v>97.52487531218749</c:v>
                </c:pt>
                <c:pt idx="16">
                  <c:v>97.037250935626545</c:v>
                </c:pt>
                <c:pt idx="17">
                  <c:v>96.552064680948419</c:v>
                </c:pt>
                <c:pt idx="18">
                  <c:v>96.069304357543672</c:v>
                </c:pt>
                <c:pt idx="19">
                  <c:v>95.588957835755949</c:v>
                </c:pt>
                <c:pt idx="20">
                  <c:v>95.11101304657717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6A-47DB-A1DF-8B47A7BE54B0}"/>
            </c:ext>
          </c:extLst>
        </c:ser>
        <c:ser>
          <c:idx val="1"/>
          <c:order val="1"/>
          <c:spPr>
            <a:ln>
              <a:solidFill>
                <a:schemeClr val="accent2">
                  <a:lumMod val="75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APPENDIX'!$BK$7:$BK$27</c:f>
              <c:numCache>
                <c:formatCode>0.0%</c:formatCode>
                <c:ptCount val="21"/>
                <c:pt idx="0">
                  <c:v>2.6412105632631716E-2</c:v>
                </c:pt>
                <c:pt idx="1">
                  <c:v>2.2228463316051432E-2</c:v>
                </c:pt>
                <c:pt idx="2">
                  <c:v>1.8065635140349902E-2</c:v>
                </c:pt>
                <c:pt idx="3">
                  <c:v>1.3923517552587042E-2</c:v>
                </c:pt>
                <c:pt idx="4">
                  <c:v>9.8020075150120692E-3</c:v>
                </c:pt>
                <c:pt idx="5">
                  <c:v>5.7010025024997087E-3</c:v>
                </c:pt>
                <c:pt idx="6">
                  <c:v>1.6204004999998654E-3</c:v>
                </c:pt>
                <c:pt idx="7">
                  <c:v>-2.4399000000000833E-3</c:v>
                </c:pt>
                <c:pt idx="8">
                  <c:v>-6.4800000000000083E-3</c:v>
                </c:pt>
                <c:pt idx="9">
                  <c:v>-1.0499999999999876E-2</c:v>
                </c:pt>
                <c:pt idx="10">
                  <c:v>-1.4499999999999791E-2</c:v>
                </c:pt>
                <c:pt idx="11">
                  <c:v>-1.8499999999999794E-2</c:v>
                </c:pt>
                <c:pt idx="12">
                  <c:v>-2.2479999999999847E-2</c:v>
                </c:pt>
                <c:pt idx="13">
                  <c:v>-2.6440099999999779E-2</c:v>
                </c:pt>
                <c:pt idx="14">
                  <c:v>-3.0380399499999832E-2</c:v>
                </c:pt>
                <c:pt idx="15">
                  <c:v>-3.4300997502499903E-2</c:v>
                </c:pt>
                <c:pt idx="16">
                  <c:v>-3.8201992514987473E-2</c:v>
                </c:pt>
                <c:pt idx="17">
                  <c:v>-4.2083482552412399E-2</c:v>
                </c:pt>
                <c:pt idx="18">
                  <c:v>-4.5945565139650417E-2</c:v>
                </c:pt>
                <c:pt idx="19">
                  <c:v>-4.9788337313952193E-2</c:v>
                </c:pt>
                <c:pt idx="20">
                  <c:v>-5.3611895627382389E-2</c:v>
                </c:pt>
              </c:numCache>
            </c:numRef>
          </c:xVal>
          <c:yVal>
            <c:numRef>
              <c:f>'OPTIONAL FULL MODEL APPENDIX'!$BG$7:$BG$27</c:f>
              <c:numCache>
                <c:formatCode>0.0</c:formatCode>
                <c:ptCount val="21"/>
                <c:pt idx="0">
                  <c:v>105.11401320407893</c:v>
                </c:pt>
                <c:pt idx="1">
                  <c:v>104.59105791450641</c:v>
                </c:pt>
                <c:pt idx="2">
                  <c:v>104.0707043925437</c:v>
                </c:pt>
                <c:pt idx="3">
                  <c:v>103.55293969407334</c:v>
                </c:pt>
                <c:pt idx="4">
                  <c:v>103.03775093937648</c:v>
                </c:pt>
                <c:pt idx="5">
                  <c:v>102.52512531281243</c:v>
                </c:pt>
                <c:pt idx="6">
                  <c:v>102.01505006249995</c:v>
                </c:pt>
                <c:pt idx="7">
                  <c:v>101.50751249999996</c:v>
                </c:pt>
                <c:pt idx="8">
                  <c:v>101.00249999999997</c:v>
                </c:pt>
                <c:pt idx="9">
                  <c:v>100.49999999999999</c:v>
                </c:pt>
                <c:pt idx="10">
                  <c:v>100</c:v>
                </c:pt>
                <c:pt idx="11">
                  <c:v>99.5</c:v>
                </c:pt>
                <c:pt idx="12">
                  <c:v>99.002499999999998</c:v>
                </c:pt>
                <c:pt idx="13">
                  <c:v>98.507487499999996</c:v>
                </c:pt>
                <c:pt idx="14">
                  <c:v>98.014950062499992</c:v>
                </c:pt>
                <c:pt idx="15">
                  <c:v>97.52487531218749</c:v>
                </c:pt>
                <c:pt idx="16">
                  <c:v>97.037250935626545</c:v>
                </c:pt>
                <c:pt idx="17">
                  <c:v>96.552064680948419</c:v>
                </c:pt>
                <c:pt idx="18">
                  <c:v>96.069304357543672</c:v>
                </c:pt>
                <c:pt idx="19">
                  <c:v>95.588957835755949</c:v>
                </c:pt>
                <c:pt idx="20">
                  <c:v>95.11101304657717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6A-47DB-A1DF-8B47A7BE54B0}"/>
            </c:ext>
          </c:extLst>
        </c:ser>
        <c:ser>
          <c:idx val="2"/>
          <c:order val="2"/>
          <c:spPr>
            <a:ln>
              <a:solidFill>
                <a:schemeClr val="accent2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'OPTIONAL FULL MODEL APPENDIX'!$BM$7:$BM$27</c:f>
              <c:numCache>
                <c:formatCode>0.0%</c:formatCode>
                <c:ptCount val="21"/>
                <c:pt idx="0">
                  <c:v>2.6412105632631716E-2</c:v>
                </c:pt>
                <c:pt idx="1">
                  <c:v>2.2228463316051432E-2</c:v>
                </c:pt>
                <c:pt idx="2">
                  <c:v>1.8065635140349902E-2</c:v>
                </c:pt>
                <c:pt idx="3">
                  <c:v>1.3923517552587042E-2</c:v>
                </c:pt>
                <c:pt idx="4">
                  <c:v>9.8020075150120692E-3</c:v>
                </c:pt>
                <c:pt idx="5">
                  <c:v>5.7010025024997087E-3</c:v>
                </c:pt>
                <c:pt idx="6">
                  <c:v>1.6204004999998654E-3</c:v>
                </c:pt>
                <c:pt idx="7">
                  <c:v>-2.4399000000000833E-3</c:v>
                </c:pt>
                <c:pt idx="8">
                  <c:v>-6.4800000000000083E-3</c:v>
                </c:pt>
                <c:pt idx="9">
                  <c:v>-1.0499999999999876E-2</c:v>
                </c:pt>
                <c:pt idx="10">
                  <c:v>-1.4499999999999791E-2</c:v>
                </c:pt>
                <c:pt idx="11">
                  <c:v>-1.8499999999999794E-2</c:v>
                </c:pt>
                <c:pt idx="12">
                  <c:v>-2.2479999999999847E-2</c:v>
                </c:pt>
                <c:pt idx="13">
                  <c:v>-2.6440099999999779E-2</c:v>
                </c:pt>
                <c:pt idx="14">
                  <c:v>-3.0380399499999832E-2</c:v>
                </c:pt>
                <c:pt idx="15">
                  <c:v>-3.4300997502499903E-2</c:v>
                </c:pt>
                <c:pt idx="16">
                  <c:v>-3.8201992514987473E-2</c:v>
                </c:pt>
                <c:pt idx="17">
                  <c:v>-4.2083482552412399E-2</c:v>
                </c:pt>
                <c:pt idx="18">
                  <c:v>-4.5945565139650417E-2</c:v>
                </c:pt>
                <c:pt idx="19">
                  <c:v>-4.9788337313952193E-2</c:v>
                </c:pt>
                <c:pt idx="20">
                  <c:v>-5.3611895627382389E-2</c:v>
                </c:pt>
              </c:numCache>
            </c:numRef>
          </c:xVal>
          <c:yVal>
            <c:numRef>
              <c:f>'OPTIONAL FULL MODEL APPENDIX'!$BG$7:$BG$27</c:f>
              <c:numCache>
                <c:formatCode>0.0</c:formatCode>
                <c:ptCount val="21"/>
                <c:pt idx="0">
                  <c:v>105.11401320407893</c:v>
                </c:pt>
                <c:pt idx="1">
                  <c:v>104.59105791450641</c:v>
                </c:pt>
                <c:pt idx="2">
                  <c:v>104.0707043925437</c:v>
                </c:pt>
                <c:pt idx="3">
                  <c:v>103.55293969407334</c:v>
                </c:pt>
                <c:pt idx="4">
                  <c:v>103.03775093937648</c:v>
                </c:pt>
                <c:pt idx="5">
                  <c:v>102.52512531281243</c:v>
                </c:pt>
                <c:pt idx="6">
                  <c:v>102.01505006249995</c:v>
                </c:pt>
                <c:pt idx="7">
                  <c:v>101.50751249999996</c:v>
                </c:pt>
                <c:pt idx="8">
                  <c:v>101.00249999999997</c:v>
                </c:pt>
                <c:pt idx="9">
                  <c:v>100.49999999999999</c:v>
                </c:pt>
                <c:pt idx="10">
                  <c:v>100</c:v>
                </c:pt>
                <c:pt idx="11">
                  <c:v>99.5</c:v>
                </c:pt>
                <c:pt idx="12">
                  <c:v>99.002499999999998</c:v>
                </c:pt>
                <c:pt idx="13">
                  <c:v>98.507487499999996</c:v>
                </c:pt>
                <c:pt idx="14">
                  <c:v>98.014950062499992</c:v>
                </c:pt>
                <c:pt idx="15">
                  <c:v>97.52487531218749</c:v>
                </c:pt>
                <c:pt idx="16">
                  <c:v>97.037250935626545</c:v>
                </c:pt>
                <c:pt idx="17">
                  <c:v>96.552064680948419</c:v>
                </c:pt>
                <c:pt idx="18">
                  <c:v>96.069304357543672</c:v>
                </c:pt>
                <c:pt idx="19">
                  <c:v>95.588957835755949</c:v>
                </c:pt>
                <c:pt idx="20">
                  <c:v>95.11101304657717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6A-47DB-A1DF-8B47A7BE54B0}"/>
            </c:ext>
          </c:extLst>
        </c:ser>
        <c:ser>
          <c:idx val="3"/>
          <c:order val="3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APPENDIX'!$BI$33:$BI$34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APPENDIX'!$BJ$33:$BJ$34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6A-47DB-A1DF-8B47A7BE54B0}"/>
            </c:ext>
          </c:extLst>
        </c:ser>
        <c:ser>
          <c:idx val="4"/>
          <c:order val="4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APPENDIX'!$BK$33:$BK$34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APPENDIX'!$BL$33:$BL$34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16A-47DB-A1DF-8B47A7BE54B0}"/>
            </c:ext>
          </c:extLst>
        </c:ser>
        <c:ser>
          <c:idx val="5"/>
          <c:order val="5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APPENDIX'!$BI$42:$BI$43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APPENDIX'!$BJ$42:$BJ$43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16A-47DB-A1DF-8B47A7BE54B0}"/>
            </c:ext>
          </c:extLst>
        </c:ser>
        <c:ser>
          <c:idx val="6"/>
          <c:order val="6"/>
          <c:spPr>
            <a:ln w="12700">
              <a:solidFill>
                <a:prstClr val="black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APPENDIX'!$BK$42:$BK$43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APPENDIX'!$BL$42:$BL$43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16A-47DB-A1DF-8B47A7BE54B0}"/>
            </c:ext>
          </c:extLst>
        </c:ser>
        <c:ser>
          <c:idx val="7"/>
          <c:order val="7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APPENDIX'!$BI$52:$BI$53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APPENDIX'!$BJ$52:$BJ$53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16A-47DB-A1DF-8B47A7BE54B0}"/>
            </c:ext>
          </c:extLst>
        </c:ser>
        <c:ser>
          <c:idx val="8"/>
          <c:order val="8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APPENDIX'!$BK$52:$BK$53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APPENDIX'!$BL$52:$BL$53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16A-47DB-A1DF-8B47A7BE54B0}"/>
            </c:ext>
          </c:extLst>
        </c:ser>
        <c:ser>
          <c:idx val="9"/>
          <c:order val="9"/>
          <c:tx>
            <c:strRef>
              <c:f>'OPTIONAL FULL MODEL APPENDIX'!$BI$31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16A-47DB-A1DF-8B47A7BE54B0}"/>
                </c:ext>
              </c:extLst>
            </c:dLbl>
            <c:dLbl>
              <c:idx val="1"/>
              <c:layout>
                <c:manualLayout>
                  <c:x val="-1.3949161347862428E-2"/>
                  <c:y val="4.6391745045580805E-3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16A-47DB-A1DF-8B47A7BE54B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APPENDIX'!$BI$36:$BI$37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APPENDIX'!$BJ$36:$BJ$37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16A-47DB-A1DF-8B47A7BE54B0}"/>
            </c:ext>
          </c:extLst>
        </c:ser>
        <c:ser>
          <c:idx val="10"/>
          <c:order val="10"/>
          <c:tx>
            <c:strRef>
              <c:f>'OPTIONAL FULL MODEL APPENDIX'!$BI$40</c:f>
              <c:strCache>
                <c:ptCount val="1"/>
                <c:pt idx="0">
                  <c:v>(i)</c:v>
                </c:pt>
              </c:strCache>
            </c:strRef>
          </c:tx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16A-47DB-A1DF-8B47A7BE54B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APPENDIX'!$BI$45:$BI$46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APPENDIX'!$BJ$45:$BJ$46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16A-47DB-A1DF-8B47A7BE54B0}"/>
            </c:ext>
          </c:extLst>
        </c:ser>
        <c:ser>
          <c:idx val="11"/>
          <c:order val="11"/>
          <c:tx>
            <c:strRef>
              <c:f>'OPTIONAL FULL MODEL APPENDIX'!$BI$50</c:f>
              <c:strCache>
                <c:ptCount val="1"/>
                <c:pt idx="0">
                  <c:v>(ii)</c:v>
                </c:pt>
              </c:strCache>
            </c:strRef>
          </c:tx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16A-47DB-A1DF-8B47A7BE54B0}"/>
                </c:ext>
              </c:extLst>
            </c:dLbl>
            <c:dLbl>
              <c:idx val="1"/>
              <c:layout>
                <c:manualLayout>
                  <c:x val="-1.952904555883965E-2"/>
                  <c:y val="3.247385624257549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16A-47DB-A1DF-8B47A7BE54B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APPENDIX'!$BI$55:$BI$56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APPENDIX'!$BJ$55:$BJ$56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16A-47DB-A1DF-8B47A7BE5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666000"/>
        <c:axId val="480670704"/>
      </c:scatterChart>
      <c:valAx>
        <c:axId val="480666000"/>
        <c:scaling>
          <c:orientation val="minMax"/>
          <c:max val="7.0000000000000021E-2"/>
          <c:min val="-7.0000000000000021E-2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Net exports (in percent of potential</a:t>
                </a:r>
                <a:r>
                  <a:rPr lang="en-US" b="0" baseline="0"/>
                  <a:t> output)</a:t>
                </a:r>
                <a:endParaRPr lang="en-US" b="0"/>
              </a:p>
            </c:rich>
          </c:tx>
          <c:layout>
            <c:manualLayout>
              <c:xMode val="edge"/>
              <c:yMode val="edge"/>
              <c:x val="0.26931171364306933"/>
              <c:y val="0.88770844250717507"/>
            </c:manualLayout>
          </c:layout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70704"/>
        <c:crosses val="autoZero"/>
        <c:crossBetween val="midCat"/>
      </c:valAx>
      <c:valAx>
        <c:axId val="480670704"/>
        <c:scaling>
          <c:orientation val="minMax"/>
          <c:max val="106"/>
          <c:min val="9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 sz="800" b="0"/>
                  <a:t>Real exchange rate index </a:t>
                </a:r>
              </a:p>
              <a:p>
                <a:pPr>
                  <a:defRPr sz="800" b="0"/>
                </a:pPr>
                <a:r>
                  <a:rPr lang="en-US" sz="800" b="0"/>
                  <a:t>(app -, base=100)</a:t>
                </a:r>
              </a:p>
            </c:rich>
          </c:tx>
          <c:layout>
            <c:manualLayout>
              <c:xMode val="edge"/>
              <c:yMode val="edge"/>
              <c:x val="3.361261807752884E-3"/>
              <c:y val="0.26151886697507193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66000"/>
        <c:crossesAt val="-7.0000000000000021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Joint</a:t>
            </a:r>
            <a:r>
              <a:rPr lang="en-US" sz="1800" baseline="0"/>
              <a:t> Balance Internal/External</a:t>
            </a:r>
            <a:endParaRPr lang="en-US" sz="1800"/>
          </a:p>
        </c:rich>
      </c:tx>
      <c:layout>
        <c:manualLayout>
          <c:xMode val="edge"/>
          <c:yMode val="edge"/>
          <c:x val="0.30438437732596857"/>
          <c:y val="1.57433390217288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4783138408873"/>
          <c:y val="0.13658405687544536"/>
          <c:w val="0.73970536396534647"/>
          <c:h val="0.7816641806503555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'NEW Assignment Problem'!$T$7:$T$21</c:f>
              <c:numCache>
                <c:formatCode>0.0%</c:formatCode>
                <c:ptCount val="15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0.15000000000000002</c:v>
                </c:pt>
                <c:pt idx="5">
                  <c:v>0.1</c:v>
                </c:pt>
                <c:pt idx="6">
                  <c:v>0.05</c:v>
                </c:pt>
                <c:pt idx="7">
                  <c:v>0</c:v>
                </c:pt>
                <c:pt idx="8">
                  <c:v>-0.05</c:v>
                </c:pt>
                <c:pt idx="9">
                  <c:v>-0.1</c:v>
                </c:pt>
                <c:pt idx="10">
                  <c:v>-0.15000000000000002</c:v>
                </c:pt>
                <c:pt idx="11">
                  <c:v>-0.2</c:v>
                </c:pt>
                <c:pt idx="12">
                  <c:v>-0.25</c:v>
                </c:pt>
                <c:pt idx="13">
                  <c:v>-0.3</c:v>
                </c:pt>
                <c:pt idx="14">
                  <c:v>-0.35</c:v>
                </c:pt>
              </c:numCache>
            </c:numRef>
          </c:xVal>
          <c:yVal>
            <c:numRef>
              <c:f>'NEW Assignment Problem'!$V$7:$V$21</c:f>
              <c:numCache>
                <c:formatCode>0.0%</c:formatCode>
                <c:ptCount val="15"/>
                <c:pt idx="0">
                  <c:v>-0.7471333333333332</c:v>
                </c:pt>
                <c:pt idx="1">
                  <c:v>-0.64039999999999997</c:v>
                </c:pt>
                <c:pt idx="2">
                  <c:v>-0.53366666666666662</c:v>
                </c:pt>
                <c:pt idx="3">
                  <c:v>-0.42693333333333333</c:v>
                </c:pt>
                <c:pt idx="4">
                  <c:v>-0.32020000000000004</c:v>
                </c:pt>
                <c:pt idx="5">
                  <c:v>-0.21346666666666667</c:v>
                </c:pt>
                <c:pt idx="6">
                  <c:v>-0.10673333333333333</c:v>
                </c:pt>
                <c:pt idx="7">
                  <c:v>0</c:v>
                </c:pt>
                <c:pt idx="8">
                  <c:v>0.10673333333333333</c:v>
                </c:pt>
                <c:pt idx="9">
                  <c:v>0.21346666666666667</c:v>
                </c:pt>
                <c:pt idx="10">
                  <c:v>0.32020000000000004</c:v>
                </c:pt>
                <c:pt idx="11">
                  <c:v>0.42693333333333333</c:v>
                </c:pt>
                <c:pt idx="12">
                  <c:v>0.53366666666666662</c:v>
                </c:pt>
                <c:pt idx="13">
                  <c:v>0.64039999999999997</c:v>
                </c:pt>
                <c:pt idx="14">
                  <c:v>0.7471333333333332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36-4FA1-A2B8-0DBF3DF47A8D}"/>
            </c:ext>
          </c:extLst>
        </c:ser>
        <c:ser>
          <c:idx val="1"/>
          <c:order val="1"/>
          <c:spPr>
            <a:ln w="1905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'NEW Assignment Problem'!$T$7:$T$21</c:f>
              <c:numCache>
                <c:formatCode>0.0%</c:formatCode>
                <c:ptCount val="15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0.15000000000000002</c:v>
                </c:pt>
                <c:pt idx="5">
                  <c:v>0.1</c:v>
                </c:pt>
                <c:pt idx="6">
                  <c:v>0.05</c:v>
                </c:pt>
                <c:pt idx="7">
                  <c:v>0</c:v>
                </c:pt>
                <c:pt idx="8">
                  <c:v>-0.05</c:v>
                </c:pt>
                <c:pt idx="9">
                  <c:v>-0.1</c:v>
                </c:pt>
                <c:pt idx="10">
                  <c:v>-0.15000000000000002</c:v>
                </c:pt>
                <c:pt idx="11">
                  <c:v>-0.2</c:v>
                </c:pt>
                <c:pt idx="12">
                  <c:v>-0.25</c:v>
                </c:pt>
                <c:pt idx="13">
                  <c:v>-0.3</c:v>
                </c:pt>
                <c:pt idx="14">
                  <c:v>-0.35</c:v>
                </c:pt>
              </c:numCache>
            </c:numRef>
          </c:xVal>
          <c:yVal>
            <c:numRef>
              <c:f>'NEW Assignment Problem'!$Z$7:$Z$21</c:f>
              <c:numCache>
                <c:formatCode>0.0%</c:formatCode>
                <c:ptCount val="15"/>
                <c:pt idx="0">
                  <c:v>0.38500000000000001</c:v>
                </c:pt>
                <c:pt idx="1">
                  <c:v>0.33</c:v>
                </c:pt>
                <c:pt idx="2">
                  <c:v>0.27500000000000002</c:v>
                </c:pt>
                <c:pt idx="3">
                  <c:v>0.22000000000000003</c:v>
                </c:pt>
                <c:pt idx="4">
                  <c:v>0.16500000000000004</c:v>
                </c:pt>
                <c:pt idx="5">
                  <c:v>0.11000000000000001</c:v>
                </c:pt>
                <c:pt idx="6">
                  <c:v>5.5000000000000007E-2</c:v>
                </c:pt>
                <c:pt idx="7">
                  <c:v>0</c:v>
                </c:pt>
                <c:pt idx="8">
                  <c:v>-5.5000000000000007E-2</c:v>
                </c:pt>
                <c:pt idx="9">
                  <c:v>-0.11000000000000001</c:v>
                </c:pt>
                <c:pt idx="10">
                  <c:v>-0.16500000000000004</c:v>
                </c:pt>
                <c:pt idx="11">
                  <c:v>-0.22000000000000003</c:v>
                </c:pt>
                <c:pt idx="12">
                  <c:v>-0.27500000000000002</c:v>
                </c:pt>
                <c:pt idx="13">
                  <c:v>-0.33</c:v>
                </c:pt>
                <c:pt idx="14">
                  <c:v>-0.38500000000000001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36-4FA1-A2B8-0DBF3DF47A8D}"/>
            </c:ext>
          </c:extLst>
        </c:ser>
        <c:ser>
          <c:idx val="2"/>
          <c:order val="2"/>
          <c:tx>
            <c:strRef>
              <c:f>'NEW Assignment Problem'!$W$24</c:f>
              <c:strCache>
                <c:ptCount val="1"/>
              </c:strCache>
            </c:strRef>
          </c:tx>
          <c:spPr>
            <a:ln w="190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3010664562452577E-2"/>
                  <c:y val="3.1529154040523155E-3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536-4FA1-A2B8-0DBF3DF47A8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536-4FA1-A2B8-0DBF3DF47A8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536-4FA1-A2B8-0DBF3DF47A8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536-4FA1-A2B8-0DBF3DF47A8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536-4FA1-A2B8-0DBF3DF47A8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536-4FA1-A2B8-0DBF3DF47A8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536-4FA1-A2B8-0DBF3DF47A8D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536-4FA1-A2B8-0DBF3DF47A8D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536-4FA1-A2B8-0DBF3DF47A8D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536-4FA1-A2B8-0DBF3DF47A8D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536-4FA1-A2B8-0DBF3DF47A8D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536-4FA1-A2B8-0DBF3DF47A8D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536-4FA1-A2B8-0DBF3DF47A8D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536-4FA1-A2B8-0DBF3DF47A8D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536-4FA1-A2B8-0DBF3DF47A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Problem'!$T$7:$T$21</c:f>
              <c:numCache>
                <c:formatCode>0.0%</c:formatCode>
                <c:ptCount val="15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0.15000000000000002</c:v>
                </c:pt>
                <c:pt idx="5">
                  <c:v>0.1</c:v>
                </c:pt>
                <c:pt idx="6">
                  <c:v>0.05</c:v>
                </c:pt>
                <c:pt idx="7">
                  <c:v>0</c:v>
                </c:pt>
                <c:pt idx="8">
                  <c:v>-0.05</c:v>
                </c:pt>
                <c:pt idx="9">
                  <c:v>-0.1</c:v>
                </c:pt>
                <c:pt idx="10">
                  <c:v>-0.15000000000000002</c:v>
                </c:pt>
                <c:pt idx="11">
                  <c:v>-0.2</c:v>
                </c:pt>
                <c:pt idx="12">
                  <c:v>-0.25</c:v>
                </c:pt>
                <c:pt idx="13">
                  <c:v>-0.3</c:v>
                </c:pt>
                <c:pt idx="14">
                  <c:v>-0.35</c:v>
                </c:pt>
              </c:numCache>
            </c:numRef>
          </c:xVal>
          <c:yVal>
            <c:numRef>
              <c:f>'NEW Assignment Problem'!$W$7:$W$21</c:f>
              <c:numCache>
                <c:formatCode>0.0%</c:formatCode>
                <c:ptCount val="15"/>
                <c:pt idx="0">
                  <c:v>-0.7471333333333332</c:v>
                </c:pt>
                <c:pt idx="1">
                  <c:v>-0.64039999999999997</c:v>
                </c:pt>
                <c:pt idx="2">
                  <c:v>-0.53366666666666662</c:v>
                </c:pt>
                <c:pt idx="3">
                  <c:v>-0.42693333333333333</c:v>
                </c:pt>
                <c:pt idx="4">
                  <c:v>-0.32020000000000004</c:v>
                </c:pt>
                <c:pt idx="5">
                  <c:v>-0.21346666666666667</c:v>
                </c:pt>
                <c:pt idx="6">
                  <c:v>-0.10673333333333333</c:v>
                </c:pt>
                <c:pt idx="7">
                  <c:v>0</c:v>
                </c:pt>
                <c:pt idx="8">
                  <c:v>0.10673333333333333</c:v>
                </c:pt>
                <c:pt idx="9">
                  <c:v>0.21346666666666667</c:v>
                </c:pt>
                <c:pt idx="10">
                  <c:v>0.32020000000000004</c:v>
                </c:pt>
                <c:pt idx="11">
                  <c:v>0.42693333333333333</c:v>
                </c:pt>
                <c:pt idx="12">
                  <c:v>0.53366666666666662</c:v>
                </c:pt>
                <c:pt idx="13">
                  <c:v>0.64039999999999997</c:v>
                </c:pt>
                <c:pt idx="14">
                  <c:v>0.7471333333333332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536-4FA1-A2B8-0DBF3DF47A8D}"/>
            </c:ext>
          </c:extLst>
        </c:ser>
        <c:ser>
          <c:idx val="3"/>
          <c:order val="3"/>
          <c:tx>
            <c:strRef>
              <c:f>'NEW Assignment Problem'!$AA$24</c:f>
              <c:strCache>
                <c:ptCount val="1"/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'NEW Assignment Problem'!$T$7:$T$21</c:f>
              <c:numCache>
                <c:formatCode>0.0%</c:formatCode>
                <c:ptCount val="15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0.15000000000000002</c:v>
                </c:pt>
                <c:pt idx="5">
                  <c:v>0.1</c:v>
                </c:pt>
                <c:pt idx="6">
                  <c:v>0.05</c:v>
                </c:pt>
                <c:pt idx="7">
                  <c:v>0</c:v>
                </c:pt>
                <c:pt idx="8">
                  <c:v>-0.05</c:v>
                </c:pt>
                <c:pt idx="9">
                  <c:v>-0.1</c:v>
                </c:pt>
                <c:pt idx="10">
                  <c:v>-0.15000000000000002</c:v>
                </c:pt>
                <c:pt idx="11">
                  <c:v>-0.2</c:v>
                </c:pt>
                <c:pt idx="12">
                  <c:v>-0.25</c:v>
                </c:pt>
                <c:pt idx="13">
                  <c:v>-0.3</c:v>
                </c:pt>
                <c:pt idx="14">
                  <c:v>-0.35</c:v>
                </c:pt>
              </c:numCache>
            </c:numRef>
          </c:xVal>
          <c:yVal>
            <c:numRef>
              <c:f>'NEW Assignment Problem'!$AA$7:$AA$21</c:f>
              <c:numCache>
                <c:formatCode>0.0%</c:formatCode>
                <c:ptCount val="15"/>
                <c:pt idx="0">
                  <c:v>0.38500000000000001</c:v>
                </c:pt>
                <c:pt idx="1">
                  <c:v>0.33</c:v>
                </c:pt>
                <c:pt idx="2">
                  <c:v>0.27500000000000002</c:v>
                </c:pt>
                <c:pt idx="3">
                  <c:v>0.22000000000000003</c:v>
                </c:pt>
                <c:pt idx="4">
                  <c:v>0.16500000000000004</c:v>
                </c:pt>
                <c:pt idx="5">
                  <c:v>0.11000000000000001</c:v>
                </c:pt>
                <c:pt idx="6">
                  <c:v>5.5000000000000007E-2</c:v>
                </c:pt>
                <c:pt idx="7">
                  <c:v>0</c:v>
                </c:pt>
                <c:pt idx="8">
                  <c:v>-5.5000000000000007E-2</c:v>
                </c:pt>
                <c:pt idx="9">
                  <c:v>-0.11000000000000001</c:v>
                </c:pt>
                <c:pt idx="10">
                  <c:v>-0.16500000000000004</c:v>
                </c:pt>
                <c:pt idx="11">
                  <c:v>-0.22000000000000003</c:v>
                </c:pt>
                <c:pt idx="12">
                  <c:v>-0.27500000000000002</c:v>
                </c:pt>
                <c:pt idx="13">
                  <c:v>-0.33</c:v>
                </c:pt>
                <c:pt idx="14">
                  <c:v>-0.38500000000000001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536-4FA1-A2B8-0DBF3DF47A8D}"/>
            </c:ext>
          </c:extLst>
        </c:ser>
        <c:ser>
          <c:idx val="4"/>
          <c:order val="4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'NEW Assignment Problem'!$W$31:$W$32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'NEW Assignment Problem'!$X$31:$X$32</c:f>
              <c:numCache>
                <c:formatCode>0.0%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536-4FA1-A2B8-0DBF3DF47A8D}"/>
            </c:ext>
          </c:extLst>
        </c:ser>
        <c:ser>
          <c:idx val="5"/>
          <c:order val="5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'NEW Assignment Problem'!$W$35:$W$36</c:f>
              <c:numCache>
                <c:formatCode>0.0%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xVal>
          <c:yVal>
            <c:numRef>
              <c:f>'NEW Assignment Problem'!$X$35:$X$36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536-4FA1-A2B8-0DBF3DF47A8D}"/>
            </c:ext>
          </c:extLst>
        </c:ser>
        <c:ser>
          <c:idx val="6"/>
          <c:order val="6"/>
          <c:tx>
            <c:strRef>
              <c:f>'NEW Assignment Problem'!$L$72</c:f>
              <c:strCache>
                <c:ptCount val="1"/>
                <c:pt idx="0">
                  <c:v>Fiscal Expansion ↑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536-4FA1-A2B8-0DBF3DF47A8D}"/>
                </c:ext>
              </c:extLst>
            </c:dLbl>
            <c:dLbl>
              <c:idx val="1"/>
              <c:layout>
                <c:manualLayout>
                  <c:x val="-9.9338803462878544E-2"/>
                  <c:y val="-3.5300209146693878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536-4FA1-A2B8-0DBF3DF47A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Problem'!$L$74:$L$75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'NEW Assignment Problem'!$M$74:$M$75</c:f>
              <c:numCache>
                <c:formatCode>General</c:formatCode>
                <c:ptCount val="2"/>
                <c:pt idx="0">
                  <c:v>0.1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9536-4FA1-A2B8-0DBF3DF47A8D}"/>
            </c:ext>
          </c:extLst>
        </c:ser>
        <c:ser>
          <c:idx val="7"/>
          <c:order val="7"/>
          <c:tx>
            <c:strRef>
              <c:f>'NEW Assignment Problem'!$L$77</c:f>
              <c:strCache>
                <c:ptCount val="1"/>
                <c:pt idx="0">
                  <c:v>Fiscal Contraction  ↓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536-4FA1-A2B8-0DBF3DF47A8D}"/>
                </c:ext>
              </c:extLst>
            </c:dLbl>
            <c:dLbl>
              <c:idx val="1"/>
              <c:layout>
                <c:manualLayout>
                  <c:x val="-0.10156553192045024"/>
                  <c:y val="2.569471033071119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831668429506013"/>
                      <c:h val="8.475799009547851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9-9536-4FA1-A2B8-0DBF3DF47A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Problem'!$L$79:$L$80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'NEW Assignment Problem'!$M$79:$M$80</c:f>
              <c:numCache>
                <c:formatCode>General</c:formatCode>
                <c:ptCount val="2"/>
                <c:pt idx="0">
                  <c:v>-0.15</c:v>
                </c:pt>
                <c:pt idx="1">
                  <c:v>-0.15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536-4FA1-A2B8-0DBF3DF47A8D}"/>
            </c:ext>
          </c:extLst>
        </c:ser>
        <c:ser>
          <c:idx val="8"/>
          <c:order val="8"/>
          <c:tx>
            <c:strRef>
              <c:f>'NEW Assignment Problem'!$O$72</c:f>
              <c:strCache>
                <c:ptCount val="1"/>
                <c:pt idx="0">
                  <c:v>Monetary contraction Δr→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536-4FA1-A2B8-0DBF3DF47A8D}"/>
                </c:ext>
              </c:extLst>
            </c:dLbl>
            <c:dLbl>
              <c:idx val="1"/>
              <c:layout>
                <c:manualLayout>
                  <c:x val="-1.4661469555111582E-2"/>
                  <c:y val="-1.132814610542357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416474060145466"/>
                      <c:h val="0.1525434164226795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C-9536-4FA1-A2B8-0DBF3DF47A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Problem'!$O$74:$O$75</c:f>
              <c:numCache>
                <c:formatCode>General</c:formatCode>
                <c:ptCount val="2"/>
                <c:pt idx="0">
                  <c:v>0.05</c:v>
                </c:pt>
                <c:pt idx="1">
                  <c:v>0.05</c:v>
                </c:pt>
              </c:numCache>
            </c:numRef>
          </c:xVal>
          <c:yVal>
            <c:numRef>
              <c:f>'NEW Assignment Problem'!$P$74:$P$75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9536-4FA1-A2B8-0DBF3DF47A8D}"/>
            </c:ext>
          </c:extLst>
        </c:ser>
        <c:ser>
          <c:idx val="9"/>
          <c:order val="9"/>
          <c:tx>
            <c:strRef>
              <c:f>'NEW Assignment Problem'!$O$77</c:f>
              <c:strCache>
                <c:ptCount val="1"/>
                <c:pt idx="0">
                  <c:v>← Monetary expansion Δr 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3558261269545296"/>
                  <c:y val="-4.7608790481016823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845725963267839"/>
                      <c:h val="9.34120468584863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E-9536-4FA1-A2B8-0DBF3DF47A8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9536-4FA1-A2B8-0DBF3DF47A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Problem'!$O$79:$O$80</c:f>
              <c:numCache>
                <c:formatCode>General</c:formatCode>
                <c:ptCount val="2"/>
                <c:pt idx="0">
                  <c:v>-0.05</c:v>
                </c:pt>
                <c:pt idx="1">
                  <c:v>-0.05</c:v>
                </c:pt>
              </c:numCache>
            </c:numRef>
          </c:xVal>
          <c:yVal>
            <c:numRef>
              <c:f>'NEW Assignment Problem'!$P$79:$P$80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9536-4FA1-A2B8-0DBF3DF47A8D}"/>
            </c:ext>
          </c:extLst>
        </c:ser>
        <c:ser>
          <c:idx val="10"/>
          <c:order val="10"/>
          <c:tx>
            <c:strRef>
              <c:f>'NEW Assignment Problem'!$W$38</c:f>
              <c:strCache>
                <c:ptCount val="1"/>
                <c:pt idx="0">
                  <c:v>No monetary adjustment/No fiscal adjustment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2333708819519468E-2"/>
                  <c:y val="0.1018557411219180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008170224182053"/>
                      <c:h val="0.126738117007086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1-9536-4FA1-A2B8-0DBF3DF47A8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9536-4FA1-A2B8-0DBF3DF47A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Problem'!$W$40:$W$41</c:f>
              <c:numCache>
                <c:formatCode>0%</c:formatCode>
                <c:ptCount val="2"/>
                <c:pt idx="0" formatCode="0.0%">
                  <c:v>0</c:v>
                </c:pt>
                <c:pt idx="1">
                  <c:v>0</c:v>
                </c:pt>
              </c:numCache>
            </c:numRef>
          </c:xVal>
          <c:yVal>
            <c:numRef>
              <c:f>'NEW Assignment Problem'!$X$40:$X$41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9536-4FA1-A2B8-0DBF3DF47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669920"/>
        <c:axId val="480671096"/>
      </c:scatterChart>
      <c:valAx>
        <c:axId val="480669920"/>
        <c:scaling>
          <c:orientation val="minMax"/>
          <c:max val="5.000000000000001E-2"/>
          <c:min val="-5.000000000000001E-2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71096"/>
        <c:crosses val="autoZero"/>
        <c:crossBetween val="midCat"/>
      </c:valAx>
      <c:valAx>
        <c:axId val="480671096"/>
        <c:scaling>
          <c:orientation val="minMax"/>
          <c:max val="0.1"/>
          <c:min val="-0.15000000000000002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6992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Joint</a:t>
            </a:r>
            <a:r>
              <a:rPr lang="en-US" baseline="0"/>
              <a:t> Balance Internal/External</a:t>
            </a:r>
            <a:endParaRPr lang="en-US"/>
          </a:p>
        </c:rich>
      </c:tx>
      <c:layout>
        <c:manualLayout>
          <c:xMode val="edge"/>
          <c:yMode val="edge"/>
          <c:x val="0.29945793234179063"/>
          <c:y val="1.86359510975034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233887430737831E-2"/>
          <c:y val="0.12451921324981884"/>
          <c:w val="0.89324639107611548"/>
          <c:h val="0.7816641806503555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'NEW Assignment Problem'!$T$7:$T$21</c:f>
              <c:numCache>
                <c:formatCode>0.0%</c:formatCode>
                <c:ptCount val="15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0.15000000000000002</c:v>
                </c:pt>
                <c:pt idx="5">
                  <c:v>0.1</c:v>
                </c:pt>
                <c:pt idx="6">
                  <c:v>0.05</c:v>
                </c:pt>
                <c:pt idx="7">
                  <c:v>0</c:v>
                </c:pt>
                <c:pt idx="8">
                  <c:v>-0.05</c:v>
                </c:pt>
                <c:pt idx="9">
                  <c:v>-0.1</c:v>
                </c:pt>
                <c:pt idx="10">
                  <c:v>-0.15000000000000002</c:v>
                </c:pt>
                <c:pt idx="11">
                  <c:v>-0.2</c:v>
                </c:pt>
                <c:pt idx="12">
                  <c:v>-0.25</c:v>
                </c:pt>
                <c:pt idx="13">
                  <c:v>-0.3</c:v>
                </c:pt>
                <c:pt idx="14">
                  <c:v>-0.35</c:v>
                </c:pt>
              </c:numCache>
            </c:numRef>
          </c:xVal>
          <c:yVal>
            <c:numRef>
              <c:f>'NEW Assignment Problem'!$V$7:$V$21</c:f>
              <c:numCache>
                <c:formatCode>0.0%</c:formatCode>
                <c:ptCount val="15"/>
                <c:pt idx="0">
                  <c:v>-0.7471333333333332</c:v>
                </c:pt>
                <c:pt idx="1">
                  <c:v>-0.64039999999999997</c:v>
                </c:pt>
                <c:pt idx="2">
                  <c:v>-0.53366666666666662</c:v>
                </c:pt>
                <c:pt idx="3">
                  <c:v>-0.42693333333333333</c:v>
                </c:pt>
                <c:pt idx="4">
                  <c:v>-0.32020000000000004</c:v>
                </c:pt>
                <c:pt idx="5">
                  <c:v>-0.21346666666666667</c:v>
                </c:pt>
                <c:pt idx="6">
                  <c:v>-0.10673333333333333</c:v>
                </c:pt>
                <c:pt idx="7">
                  <c:v>0</c:v>
                </c:pt>
                <c:pt idx="8">
                  <c:v>0.10673333333333333</c:v>
                </c:pt>
                <c:pt idx="9">
                  <c:v>0.21346666666666667</c:v>
                </c:pt>
                <c:pt idx="10">
                  <c:v>0.32020000000000004</c:v>
                </c:pt>
                <c:pt idx="11">
                  <c:v>0.42693333333333333</c:v>
                </c:pt>
                <c:pt idx="12">
                  <c:v>0.53366666666666662</c:v>
                </c:pt>
                <c:pt idx="13">
                  <c:v>0.64039999999999997</c:v>
                </c:pt>
                <c:pt idx="14">
                  <c:v>0.7471333333333332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08-4343-9900-A190A7AA794A}"/>
            </c:ext>
          </c:extLst>
        </c:ser>
        <c:ser>
          <c:idx val="1"/>
          <c:order val="1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 Assignment Problem'!$T$7:$T$21</c:f>
              <c:numCache>
                <c:formatCode>0.0%</c:formatCode>
                <c:ptCount val="15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0.15000000000000002</c:v>
                </c:pt>
                <c:pt idx="5">
                  <c:v>0.1</c:v>
                </c:pt>
                <c:pt idx="6">
                  <c:v>0.05</c:v>
                </c:pt>
                <c:pt idx="7">
                  <c:v>0</c:v>
                </c:pt>
                <c:pt idx="8">
                  <c:v>-0.05</c:v>
                </c:pt>
                <c:pt idx="9">
                  <c:v>-0.1</c:v>
                </c:pt>
                <c:pt idx="10">
                  <c:v>-0.15000000000000002</c:v>
                </c:pt>
                <c:pt idx="11">
                  <c:v>-0.2</c:v>
                </c:pt>
                <c:pt idx="12">
                  <c:v>-0.25</c:v>
                </c:pt>
                <c:pt idx="13">
                  <c:v>-0.3</c:v>
                </c:pt>
                <c:pt idx="14">
                  <c:v>-0.35</c:v>
                </c:pt>
              </c:numCache>
            </c:numRef>
          </c:xVal>
          <c:yVal>
            <c:numRef>
              <c:f>'NEW Assignment Problem'!$Z$7:$Z$21</c:f>
              <c:numCache>
                <c:formatCode>0.0%</c:formatCode>
                <c:ptCount val="15"/>
                <c:pt idx="0">
                  <c:v>0.38500000000000001</c:v>
                </c:pt>
                <c:pt idx="1">
                  <c:v>0.33</c:v>
                </c:pt>
                <c:pt idx="2">
                  <c:v>0.27500000000000002</c:v>
                </c:pt>
                <c:pt idx="3">
                  <c:v>0.22000000000000003</c:v>
                </c:pt>
                <c:pt idx="4">
                  <c:v>0.16500000000000004</c:v>
                </c:pt>
                <c:pt idx="5">
                  <c:v>0.11000000000000001</c:v>
                </c:pt>
                <c:pt idx="6">
                  <c:v>5.5000000000000007E-2</c:v>
                </c:pt>
                <c:pt idx="7">
                  <c:v>0</c:v>
                </c:pt>
                <c:pt idx="8">
                  <c:v>-5.5000000000000007E-2</c:v>
                </c:pt>
                <c:pt idx="9">
                  <c:v>-0.11000000000000001</c:v>
                </c:pt>
                <c:pt idx="10">
                  <c:v>-0.16500000000000004</c:v>
                </c:pt>
                <c:pt idx="11">
                  <c:v>-0.22000000000000003</c:v>
                </c:pt>
                <c:pt idx="12">
                  <c:v>-0.27500000000000002</c:v>
                </c:pt>
                <c:pt idx="13">
                  <c:v>-0.33</c:v>
                </c:pt>
                <c:pt idx="14">
                  <c:v>-0.38500000000000001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08-4343-9900-A190A7AA794A}"/>
            </c:ext>
          </c:extLst>
        </c:ser>
        <c:ser>
          <c:idx val="2"/>
          <c:order val="2"/>
          <c:tx>
            <c:strRef>
              <c:f>'NEW Assignment Problem'!$W$24</c:f>
              <c:strCache>
                <c:ptCount val="1"/>
              </c:strCache>
            </c:strRef>
          </c:tx>
          <c:spPr>
            <a:ln w="190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3010664562452577E-2"/>
                  <c:y val="3.1529154040523155E-3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08-4343-9900-A190A7AA794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08-4343-9900-A190A7AA794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08-4343-9900-A190A7AA794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08-4343-9900-A190A7AA794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08-4343-9900-A190A7AA794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808-4343-9900-A190A7AA794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808-4343-9900-A190A7AA794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808-4343-9900-A190A7AA794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808-4343-9900-A190A7AA794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808-4343-9900-A190A7AA794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808-4343-9900-A190A7AA794A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808-4343-9900-A190A7AA794A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808-4343-9900-A190A7AA794A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808-4343-9900-A190A7AA794A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808-4343-9900-A190A7AA79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Problem'!$T$7:$T$21</c:f>
              <c:numCache>
                <c:formatCode>0.0%</c:formatCode>
                <c:ptCount val="15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0.15000000000000002</c:v>
                </c:pt>
                <c:pt idx="5">
                  <c:v>0.1</c:v>
                </c:pt>
                <c:pt idx="6">
                  <c:v>0.05</c:v>
                </c:pt>
                <c:pt idx="7">
                  <c:v>0</c:v>
                </c:pt>
                <c:pt idx="8">
                  <c:v>-0.05</c:v>
                </c:pt>
                <c:pt idx="9">
                  <c:v>-0.1</c:v>
                </c:pt>
                <c:pt idx="10">
                  <c:v>-0.15000000000000002</c:v>
                </c:pt>
                <c:pt idx="11">
                  <c:v>-0.2</c:v>
                </c:pt>
                <c:pt idx="12">
                  <c:v>-0.25</c:v>
                </c:pt>
                <c:pt idx="13">
                  <c:v>-0.3</c:v>
                </c:pt>
                <c:pt idx="14">
                  <c:v>-0.35</c:v>
                </c:pt>
              </c:numCache>
            </c:numRef>
          </c:xVal>
          <c:yVal>
            <c:numRef>
              <c:f>'NEW Assignment Problem'!$W$7:$W$21</c:f>
              <c:numCache>
                <c:formatCode>0.0%</c:formatCode>
                <c:ptCount val="15"/>
                <c:pt idx="0">
                  <c:v>-0.7471333333333332</c:v>
                </c:pt>
                <c:pt idx="1">
                  <c:v>-0.64039999999999997</c:v>
                </c:pt>
                <c:pt idx="2">
                  <c:v>-0.53366666666666662</c:v>
                </c:pt>
                <c:pt idx="3">
                  <c:v>-0.42693333333333333</c:v>
                </c:pt>
                <c:pt idx="4">
                  <c:v>-0.32020000000000004</c:v>
                </c:pt>
                <c:pt idx="5">
                  <c:v>-0.21346666666666667</c:v>
                </c:pt>
                <c:pt idx="6">
                  <c:v>-0.10673333333333333</c:v>
                </c:pt>
                <c:pt idx="7">
                  <c:v>0</c:v>
                </c:pt>
                <c:pt idx="8">
                  <c:v>0.10673333333333333</c:v>
                </c:pt>
                <c:pt idx="9">
                  <c:v>0.21346666666666667</c:v>
                </c:pt>
                <c:pt idx="10">
                  <c:v>0.32020000000000004</c:v>
                </c:pt>
                <c:pt idx="11">
                  <c:v>0.42693333333333333</c:v>
                </c:pt>
                <c:pt idx="12">
                  <c:v>0.53366666666666662</c:v>
                </c:pt>
                <c:pt idx="13">
                  <c:v>0.64039999999999997</c:v>
                </c:pt>
                <c:pt idx="14">
                  <c:v>0.7471333333333332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808-4343-9900-A190A7AA794A}"/>
            </c:ext>
          </c:extLst>
        </c:ser>
        <c:ser>
          <c:idx val="3"/>
          <c:order val="3"/>
          <c:tx>
            <c:strRef>
              <c:f>'NEW Assignment Problem'!$AA$24</c:f>
              <c:strCache>
                <c:ptCount val="1"/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808-4343-9900-A190A7AA794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808-4343-9900-A190A7AA794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808-4343-9900-A190A7AA794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808-4343-9900-A190A7AA794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808-4343-9900-A190A7AA794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0808-4343-9900-A190A7AA794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0808-4343-9900-A190A7AA794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808-4343-9900-A190A7AA794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0808-4343-9900-A190A7AA794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0808-4343-9900-A190A7AA794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0808-4343-9900-A190A7AA794A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0808-4343-9900-A190A7AA794A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808-4343-9900-A190A7AA794A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0808-4343-9900-A190A7AA79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Problem'!$T$7:$T$21</c:f>
              <c:numCache>
                <c:formatCode>0.0%</c:formatCode>
                <c:ptCount val="15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0.15000000000000002</c:v>
                </c:pt>
                <c:pt idx="5">
                  <c:v>0.1</c:v>
                </c:pt>
                <c:pt idx="6">
                  <c:v>0.05</c:v>
                </c:pt>
                <c:pt idx="7">
                  <c:v>0</c:v>
                </c:pt>
                <c:pt idx="8">
                  <c:v>-0.05</c:v>
                </c:pt>
                <c:pt idx="9">
                  <c:v>-0.1</c:v>
                </c:pt>
                <c:pt idx="10">
                  <c:v>-0.15000000000000002</c:v>
                </c:pt>
                <c:pt idx="11">
                  <c:v>-0.2</c:v>
                </c:pt>
                <c:pt idx="12">
                  <c:v>-0.25</c:v>
                </c:pt>
                <c:pt idx="13">
                  <c:v>-0.3</c:v>
                </c:pt>
                <c:pt idx="14">
                  <c:v>-0.35</c:v>
                </c:pt>
              </c:numCache>
            </c:numRef>
          </c:xVal>
          <c:yVal>
            <c:numRef>
              <c:f>'NEW Assignment Problem'!$AA$7:$AA$21</c:f>
              <c:numCache>
                <c:formatCode>0.0%</c:formatCode>
                <c:ptCount val="15"/>
                <c:pt idx="0">
                  <c:v>0.38500000000000001</c:v>
                </c:pt>
                <c:pt idx="1">
                  <c:v>0.33</c:v>
                </c:pt>
                <c:pt idx="2">
                  <c:v>0.27500000000000002</c:v>
                </c:pt>
                <c:pt idx="3">
                  <c:v>0.22000000000000003</c:v>
                </c:pt>
                <c:pt idx="4">
                  <c:v>0.16500000000000004</c:v>
                </c:pt>
                <c:pt idx="5">
                  <c:v>0.11000000000000001</c:v>
                </c:pt>
                <c:pt idx="6">
                  <c:v>5.5000000000000007E-2</c:v>
                </c:pt>
                <c:pt idx="7">
                  <c:v>0</c:v>
                </c:pt>
                <c:pt idx="8">
                  <c:v>-5.5000000000000007E-2</c:v>
                </c:pt>
                <c:pt idx="9">
                  <c:v>-0.11000000000000001</c:v>
                </c:pt>
                <c:pt idx="10">
                  <c:v>-0.16500000000000004</c:v>
                </c:pt>
                <c:pt idx="11">
                  <c:v>-0.22000000000000003</c:v>
                </c:pt>
                <c:pt idx="12">
                  <c:v>-0.27500000000000002</c:v>
                </c:pt>
                <c:pt idx="13">
                  <c:v>-0.33</c:v>
                </c:pt>
                <c:pt idx="14">
                  <c:v>-0.38500000000000001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0808-4343-9900-A190A7AA794A}"/>
            </c:ext>
          </c:extLst>
        </c:ser>
        <c:ser>
          <c:idx val="4"/>
          <c:order val="4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'NEW Assignment Problem'!$W$31:$W$32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'NEW Assignment Problem'!$X$31:$X$32</c:f>
              <c:numCache>
                <c:formatCode>0.0%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0808-4343-9900-A190A7AA794A}"/>
            </c:ext>
          </c:extLst>
        </c:ser>
        <c:ser>
          <c:idx val="5"/>
          <c:order val="5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'NEW Assignment Problem'!$W$35:$W$36</c:f>
              <c:numCache>
                <c:formatCode>0.0%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xVal>
          <c:yVal>
            <c:numRef>
              <c:f>'NEW Assignment Problem'!$X$35:$X$36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0808-4343-9900-A190A7AA7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672664"/>
        <c:axId val="480665216"/>
      </c:scatterChart>
      <c:valAx>
        <c:axId val="480672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Interest rate adjustment in percent </a:t>
                </a:r>
              </a:p>
            </c:rich>
          </c:tx>
          <c:layout>
            <c:manualLayout>
              <c:xMode val="edge"/>
              <c:yMode val="edge"/>
              <c:x val="0.32861402741324003"/>
              <c:y val="0.934137320546429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65216"/>
        <c:crosses val="autoZero"/>
        <c:crossBetween val="midCat"/>
      </c:valAx>
      <c:valAx>
        <c:axId val="480665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Adjustment in percent of potential output</a:t>
                </a:r>
              </a:p>
            </c:rich>
          </c:tx>
          <c:layout>
            <c:manualLayout>
              <c:xMode val="edge"/>
              <c:yMode val="edge"/>
              <c:x val="6.9444444444444441E-3"/>
              <c:y val="0.205730383766081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72664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Joint</a:t>
            </a:r>
            <a:r>
              <a:rPr lang="en-US" baseline="0"/>
              <a:t> Balance Internal/External</a:t>
            </a:r>
            <a:endParaRPr lang="en-US"/>
          </a:p>
        </c:rich>
      </c:tx>
      <c:layout>
        <c:manualLayout>
          <c:xMode val="edge"/>
          <c:yMode val="edge"/>
          <c:x val="0.29945793234179063"/>
          <c:y val="1.86359510975034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82100184669779"/>
          <c:y val="0.13658403355357218"/>
          <c:w val="0.73970536396534647"/>
          <c:h val="0.7816641806503555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'NEW Assignment Problem'!$T$7:$T$21</c:f>
              <c:numCache>
                <c:formatCode>0.0%</c:formatCode>
                <c:ptCount val="15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0.15000000000000002</c:v>
                </c:pt>
                <c:pt idx="5">
                  <c:v>0.1</c:v>
                </c:pt>
                <c:pt idx="6">
                  <c:v>0.05</c:v>
                </c:pt>
                <c:pt idx="7">
                  <c:v>0</c:v>
                </c:pt>
                <c:pt idx="8">
                  <c:v>-0.05</c:v>
                </c:pt>
                <c:pt idx="9">
                  <c:v>-0.1</c:v>
                </c:pt>
                <c:pt idx="10">
                  <c:v>-0.15000000000000002</c:v>
                </c:pt>
                <c:pt idx="11">
                  <c:v>-0.2</c:v>
                </c:pt>
                <c:pt idx="12">
                  <c:v>-0.25</c:v>
                </c:pt>
                <c:pt idx="13">
                  <c:v>-0.3</c:v>
                </c:pt>
                <c:pt idx="14">
                  <c:v>-0.35</c:v>
                </c:pt>
              </c:numCache>
            </c:numRef>
          </c:xVal>
          <c:yVal>
            <c:numRef>
              <c:f>'NEW Assignment Problem'!$V$7:$V$21</c:f>
              <c:numCache>
                <c:formatCode>0.0%</c:formatCode>
                <c:ptCount val="15"/>
                <c:pt idx="0">
                  <c:v>-0.7471333333333332</c:v>
                </c:pt>
                <c:pt idx="1">
                  <c:v>-0.64039999999999997</c:v>
                </c:pt>
                <c:pt idx="2">
                  <c:v>-0.53366666666666662</c:v>
                </c:pt>
                <c:pt idx="3">
                  <c:v>-0.42693333333333333</c:v>
                </c:pt>
                <c:pt idx="4">
                  <c:v>-0.32020000000000004</c:v>
                </c:pt>
                <c:pt idx="5">
                  <c:v>-0.21346666666666667</c:v>
                </c:pt>
                <c:pt idx="6">
                  <c:v>-0.10673333333333333</c:v>
                </c:pt>
                <c:pt idx="7">
                  <c:v>0</c:v>
                </c:pt>
                <c:pt idx="8">
                  <c:v>0.10673333333333333</c:v>
                </c:pt>
                <c:pt idx="9">
                  <c:v>0.21346666666666667</c:v>
                </c:pt>
                <c:pt idx="10">
                  <c:v>0.32020000000000004</c:v>
                </c:pt>
                <c:pt idx="11">
                  <c:v>0.42693333333333333</c:v>
                </c:pt>
                <c:pt idx="12">
                  <c:v>0.53366666666666662</c:v>
                </c:pt>
                <c:pt idx="13">
                  <c:v>0.64039999999999997</c:v>
                </c:pt>
                <c:pt idx="14">
                  <c:v>0.7471333333333332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F6-4B3D-8803-BF366C07EDDD}"/>
            </c:ext>
          </c:extLst>
        </c:ser>
        <c:ser>
          <c:idx val="1"/>
          <c:order val="1"/>
          <c:spPr>
            <a:ln w="1905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'NEW Assignment Problem'!$T$7:$T$21</c:f>
              <c:numCache>
                <c:formatCode>0.0%</c:formatCode>
                <c:ptCount val="15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0.15000000000000002</c:v>
                </c:pt>
                <c:pt idx="5">
                  <c:v>0.1</c:v>
                </c:pt>
                <c:pt idx="6">
                  <c:v>0.05</c:v>
                </c:pt>
                <c:pt idx="7">
                  <c:v>0</c:v>
                </c:pt>
                <c:pt idx="8">
                  <c:v>-0.05</c:v>
                </c:pt>
                <c:pt idx="9">
                  <c:v>-0.1</c:v>
                </c:pt>
                <c:pt idx="10">
                  <c:v>-0.15000000000000002</c:v>
                </c:pt>
                <c:pt idx="11">
                  <c:v>-0.2</c:v>
                </c:pt>
                <c:pt idx="12">
                  <c:v>-0.25</c:v>
                </c:pt>
                <c:pt idx="13">
                  <c:v>-0.3</c:v>
                </c:pt>
                <c:pt idx="14">
                  <c:v>-0.35</c:v>
                </c:pt>
              </c:numCache>
            </c:numRef>
          </c:xVal>
          <c:yVal>
            <c:numRef>
              <c:f>'NEW Assignment Problem'!$Z$7:$Z$21</c:f>
              <c:numCache>
                <c:formatCode>0.0%</c:formatCode>
                <c:ptCount val="15"/>
                <c:pt idx="0">
                  <c:v>0.38500000000000001</c:v>
                </c:pt>
                <c:pt idx="1">
                  <c:v>0.33</c:v>
                </c:pt>
                <c:pt idx="2">
                  <c:v>0.27500000000000002</c:v>
                </c:pt>
                <c:pt idx="3">
                  <c:v>0.22000000000000003</c:v>
                </c:pt>
                <c:pt idx="4">
                  <c:v>0.16500000000000004</c:v>
                </c:pt>
                <c:pt idx="5">
                  <c:v>0.11000000000000001</c:v>
                </c:pt>
                <c:pt idx="6">
                  <c:v>5.5000000000000007E-2</c:v>
                </c:pt>
                <c:pt idx="7">
                  <c:v>0</c:v>
                </c:pt>
                <c:pt idx="8">
                  <c:v>-5.5000000000000007E-2</c:v>
                </c:pt>
                <c:pt idx="9">
                  <c:v>-0.11000000000000001</c:v>
                </c:pt>
                <c:pt idx="10">
                  <c:v>-0.16500000000000004</c:v>
                </c:pt>
                <c:pt idx="11">
                  <c:v>-0.22000000000000003</c:v>
                </c:pt>
                <c:pt idx="12">
                  <c:v>-0.27500000000000002</c:v>
                </c:pt>
                <c:pt idx="13">
                  <c:v>-0.33</c:v>
                </c:pt>
                <c:pt idx="14">
                  <c:v>-0.38500000000000001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F6-4B3D-8803-BF366C07EDDD}"/>
            </c:ext>
          </c:extLst>
        </c:ser>
        <c:ser>
          <c:idx val="2"/>
          <c:order val="2"/>
          <c:tx>
            <c:strRef>
              <c:f>'NEW Assignment Problem'!$W$24</c:f>
              <c:strCache>
                <c:ptCount val="1"/>
              </c:strCache>
            </c:strRef>
          </c:tx>
          <c:spPr>
            <a:ln w="190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3010664562452577E-2"/>
                  <c:y val="3.1529154040523155E-3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F6-4B3D-8803-BF366C07EDD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6F6-4B3D-8803-BF366C07EDD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F6-4B3D-8803-BF366C07EDD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F6-4B3D-8803-BF366C07EDD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6F6-4B3D-8803-BF366C07EDD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6F6-4B3D-8803-BF366C07EDD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6F6-4B3D-8803-BF366C07EDDD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6F6-4B3D-8803-BF366C07EDDD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6F6-4B3D-8803-BF366C07EDDD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6F6-4B3D-8803-BF366C07EDDD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6F6-4B3D-8803-BF366C07EDDD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6F6-4B3D-8803-BF366C07EDDD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6F6-4B3D-8803-BF366C07EDDD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6F6-4B3D-8803-BF366C07EDDD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6F6-4B3D-8803-BF366C07ED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Problem'!$T$7:$T$21</c:f>
              <c:numCache>
                <c:formatCode>0.0%</c:formatCode>
                <c:ptCount val="15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0.15000000000000002</c:v>
                </c:pt>
                <c:pt idx="5">
                  <c:v>0.1</c:v>
                </c:pt>
                <c:pt idx="6">
                  <c:v>0.05</c:v>
                </c:pt>
                <c:pt idx="7">
                  <c:v>0</c:v>
                </c:pt>
                <c:pt idx="8">
                  <c:v>-0.05</c:v>
                </c:pt>
                <c:pt idx="9">
                  <c:v>-0.1</c:v>
                </c:pt>
                <c:pt idx="10">
                  <c:v>-0.15000000000000002</c:v>
                </c:pt>
                <c:pt idx="11">
                  <c:v>-0.2</c:v>
                </c:pt>
                <c:pt idx="12">
                  <c:v>-0.25</c:v>
                </c:pt>
                <c:pt idx="13">
                  <c:v>-0.3</c:v>
                </c:pt>
                <c:pt idx="14">
                  <c:v>-0.35</c:v>
                </c:pt>
              </c:numCache>
            </c:numRef>
          </c:xVal>
          <c:yVal>
            <c:numRef>
              <c:f>'NEW Assignment Problem'!$W$7:$W$21</c:f>
              <c:numCache>
                <c:formatCode>0.0%</c:formatCode>
                <c:ptCount val="15"/>
                <c:pt idx="0">
                  <c:v>-0.7471333333333332</c:v>
                </c:pt>
                <c:pt idx="1">
                  <c:v>-0.64039999999999997</c:v>
                </c:pt>
                <c:pt idx="2">
                  <c:v>-0.53366666666666662</c:v>
                </c:pt>
                <c:pt idx="3">
                  <c:v>-0.42693333333333333</c:v>
                </c:pt>
                <c:pt idx="4">
                  <c:v>-0.32020000000000004</c:v>
                </c:pt>
                <c:pt idx="5">
                  <c:v>-0.21346666666666667</c:v>
                </c:pt>
                <c:pt idx="6">
                  <c:v>-0.10673333333333333</c:v>
                </c:pt>
                <c:pt idx="7">
                  <c:v>0</c:v>
                </c:pt>
                <c:pt idx="8">
                  <c:v>0.10673333333333333</c:v>
                </c:pt>
                <c:pt idx="9">
                  <c:v>0.21346666666666667</c:v>
                </c:pt>
                <c:pt idx="10">
                  <c:v>0.32020000000000004</c:v>
                </c:pt>
                <c:pt idx="11">
                  <c:v>0.42693333333333333</c:v>
                </c:pt>
                <c:pt idx="12">
                  <c:v>0.53366666666666662</c:v>
                </c:pt>
                <c:pt idx="13">
                  <c:v>0.64039999999999997</c:v>
                </c:pt>
                <c:pt idx="14">
                  <c:v>0.7471333333333332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6F6-4B3D-8803-BF366C07EDDD}"/>
            </c:ext>
          </c:extLst>
        </c:ser>
        <c:ser>
          <c:idx val="3"/>
          <c:order val="3"/>
          <c:tx>
            <c:strRef>
              <c:f>'NEW Assignment Problem'!$AA$24</c:f>
              <c:strCache>
                <c:ptCount val="1"/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'NEW Assignment Problem'!$T$7:$T$21</c:f>
              <c:numCache>
                <c:formatCode>0.0%</c:formatCode>
                <c:ptCount val="15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0.15000000000000002</c:v>
                </c:pt>
                <c:pt idx="5">
                  <c:v>0.1</c:v>
                </c:pt>
                <c:pt idx="6">
                  <c:v>0.05</c:v>
                </c:pt>
                <c:pt idx="7">
                  <c:v>0</c:v>
                </c:pt>
                <c:pt idx="8">
                  <c:v>-0.05</c:v>
                </c:pt>
                <c:pt idx="9">
                  <c:v>-0.1</c:v>
                </c:pt>
                <c:pt idx="10">
                  <c:v>-0.15000000000000002</c:v>
                </c:pt>
                <c:pt idx="11">
                  <c:v>-0.2</c:v>
                </c:pt>
                <c:pt idx="12">
                  <c:v>-0.25</c:v>
                </c:pt>
                <c:pt idx="13">
                  <c:v>-0.3</c:v>
                </c:pt>
                <c:pt idx="14">
                  <c:v>-0.35</c:v>
                </c:pt>
              </c:numCache>
            </c:numRef>
          </c:xVal>
          <c:yVal>
            <c:numRef>
              <c:f>'NEW Assignment Problem'!$AA$7:$AA$21</c:f>
              <c:numCache>
                <c:formatCode>0.0%</c:formatCode>
                <c:ptCount val="15"/>
                <c:pt idx="0">
                  <c:v>0.38500000000000001</c:v>
                </c:pt>
                <c:pt idx="1">
                  <c:v>0.33</c:v>
                </c:pt>
                <c:pt idx="2">
                  <c:v>0.27500000000000002</c:v>
                </c:pt>
                <c:pt idx="3">
                  <c:v>0.22000000000000003</c:v>
                </c:pt>
                <c:pt idx="4">
                  <c:v>0.16500000000000004</c:v>
                </c:pt>
                <c:pt idx="5">
                  <c:v>0.11000000000000001</c:v>
                </c:pt>
                <c:pt idx="6">
                  <c:v>5.5000000000000007E-2</c:v>
                </c:pt>
                <c:pt idx="7">
                  <c:v>0</c:v>
                </c:pt>
                <c:pt idx="8">
                  <c:v>-5.5000000000000007E-2</c:v>
                </c:pt>
                <c:pt idx="9">
                  <c:v>-0.11000000000000001</c:v>
                </c:pt>
                <c:pt idx="10">
                  <c:v>-0.16500000000000004</c:v>
                </c:pt>
                <c:pt idx="11">
                  <c:v>-0.22000000000000003</c:v>
                </c:pt>
                <c:pt idx="12">
                  <c:v>-0.27500000000000002</c:v>
                </c:pt>
                <c:pt idx="13">
                  <c:v>-0.33</c:v>
                </c:pt>
                <c:pt idx="14">
                  <c:v>-0.38500000000000001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6F6-4B3D-8803-BF366C07EDDD}"/>
            </c:ext>
          </c:extLst>
        </c:ser>
        <c:ser>
          <c:idx val="4"/>
          <c:order val="4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'NEW Assignment Problem'!$W$31:$W$32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'NEW Assignment Problem'!$X$31:$X$32</c:f>
              <c:numCache>
                <c:formatCode>0.0%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6F6-4B3D-8803-BF366C07EDDD}"/>
            </c:ext>
          </c:extLst>
        </c:ser>
        <c:ser>
          <c:idx val="5"/>
          <c:order val="5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'NEW Assignment Problem'!$W$35:$W$36</c:f>
              <c:numCache>
                <c:formatCode>0.0%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xVal>
          <c:yVal>
            <c:numRef>
              <c:f>'NEW Assignment Problem'!$X$35:$X$36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6F6-4B3D-8803-BF366C07EDDD}"/>
            </c:ext>
          </c:extLst>
        </c:ser>
        <c:ser>
          <c:idx val="6"/>
          <c:order val="6"/>
          <c:tx>
            <c:strRef>
              <c:f>'NEW Assignment Problem'!$L$72</c:f>
              <c:strCache>
                <c:ptCount val="1"/>
                <c:pt idx="0">
                  <c:v>Fiscal Expansion ↑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76F6-4B3D-8803-BF366C07EDDD}"/>
                </c:ext>
              </c:extLst>
            </c:dLbl>
            <c:dLbl>
              <c:idx val="1"/>
              <c:layout>
                <c:manualLayout>
                  <c:x val="-8.9390911597738654E-2"/>
                  <c:y val="-3.3178326976331052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76F6-4B3D-8803-BF366C07ED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Problem'!$L$74:$L$75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'NEW Assignment Problem'!$M$74:$M$75</c:f>
              <c:numCache>
                <c:formatCode>General</c:formatCode>
                <c:ptCount val="2"/>
                <c:pt idx="0">
                  <c:v>0.1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6F6-4B3D-8803-BF366C07EDDD}"/>
            </c:ext>
          </c:extLst>
        </c:ser>
        <c:ser>
          <c:idx val="7"/>
          <c:order val="7"/>
          <c:tx>
            <c:strRef>
              <c:f>'NEW Assignment Problem'!$L$77</c:f>
              <c:strCache>
                <c:ptCount val="1"/>
                <c:pt idx="0">
                  <c:v>Fiscal Contraction  ↓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76F6-4B3D-8803-BF366C07EDDD}"/>
                </c:ext>
              </c:extLst>
            </c:dLbl>
            <c:dLbl>
              <c:idx val="1"/>
              <c:layout>
                <c:manualLayout>
                  <c:x val="-0.10571145525169968"/>
                  <c:y val="4.2226961606239413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76F6-4B3D-8803-BF366C07ED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Problem'!$L$79:$L$80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'NEW Assignment Problem'!$M$79:$M$80</c:f>
              <c:numCache>
                <c:formatCode>General</c:formatCode>
                <c:ptCount val="2"/>
                <c:pt idx="0">
                  <c:v>-0.15</c:v>
                </c:pt>
                <c:pt idx="1">
                  <c:v>-0.15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6F6-4B3D-8803-BF366C07EDDD}"/>
            </c:ext>
          </c:extLst>
        </c:ser>
        <c:ser>
          <c:idx val="8"/>
          <c:order val="8"/>
          <c:tx>
            <c:strRef>
              <c:f>'NEW Assignment Problem'!$O$72</c:f>
              <c:strCache>
                <c:ptCount val="1"/>
                <c:pt idx="0">
                  <c:v>Monetary contraction Δr→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76F6-4B3D-8803-BF366C07EDDD}"/>
                </c:ext>
              </c:extLst>
            </c:dLbl>
            <c:dLbl>
              <c:idx val="1"/>
              <c:layout>
                <c:manualLayout>
                  <c:x val="-1.1303944418946308E-3"/>
                  <c:y val="-9.04863462990858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820847565789674"/>
                      <c:h val="0.111509340755905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C-76F6-4B3D-8803-BF366C07ED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Problem'!$O$74:$O$75</c:f>
              <c:numCache>
                <c:formatCode>General</c:formatCode>
                <c:ptCount val="2"/>
                <c:pt idx="0">
                  <c:v>0.05</c:v>
                </c:pt>
                <c:pt idx="1">
                  <c:v>0.05</c:v>
                </c:pt>
              </c:numCache>
            </c:numRef>
          </c:xVal>
          <c:yVal>
            <c:numRef>
              <c:f>'NEW Assignment Problem'!$P$74:$P$75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76F6-4B3D-8803-BF366C07EDDD}"/>
            </c:ext>
          </c:extLst>
        </c:ser>
        <c:ser>
          <c:idx val="9"/>
          <c:order val="9"/>
          <c:tx>
            <c:strRef>
              <c:f>'NEW Assignment Problem'!$O$77</c:f>
              <c:strCache>
                <c:ptCount val="1"/>
                <c:pt idx="0">
                  <c:v>← Monetary expansion Δr 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4799648610581978"/>
                  <c:y val="6.032304338119633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362944950418517"/>
                      <c:h val="9.341207149608840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E-76F6-4B3D-8803-BF366C07EDD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76F6-4B3D-8803-BF366C07ED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Problem'!$O$79:$O$80</c:f>
              <c:numCache>
                <c:formatCode>General</c:formatCode>
                <c:ptCount val="2"/>
                <c:pt idx="0">
                  <c:v>-0.05</c:v>
                </c:pt>
                <c:pt idx="1">
                  <c:v>-0.05</c:v>
                </c:pt>
              </c:numCache>
            </c:numRef>
          </c:xVal>
          <c:yVal>
            <c:numRef>
              <c:f>'NEW Assignment Problem'!$P$79:$P$80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76F6-4B3D-8803-BF366C07EDDD}"/>
            </c:ext>
          </c:extLst>
        </c:ser>
        <c:ser>
          <c:idx val="10"/>
          <c:order val="10"/>
          <c:tx>
            <c:strRef>
              <c:f>'NEW Assignment Problem'!$W$38</c:f>
              <c:strCache>
                <c:ptCount val="1"/>
                <c:pt idx="0">
                  <c:v>No monetary adjustment/No fiscal adjustment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2199458870190012"/>
                  <c:y val="6.94763785717093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76F6-4B3D-8803-BF366C07EDD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76F6-4B3D-8803-BF366C07ED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Problem'!$W$40:$W$41</c:f>
              <c:numCache>
                <c:formatCode>0%</c:formatCode>
                <c:ptCount val="2"/>
                <c:pt idx="0" formatCode="0.0%">
                  <c:v>0</c:v>
                </c:pt>
                <c:pt idx="1">
                  <c:v>0</c:v>
                </c:pt>
              </c:numCache>
            </c:numRef>
          </c:xVal>
          <c:yVal>
            <c:numRef>
              <c:f>'NEW Assignment Problem'!$X$40:$X$41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76F6-4B3D-8803-BF366C07E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666392"/>
        <c:axId val="480666784"/>
      </c:scatterChart>
      <c:valAx>
        <c:axId val="480666392"/>
        <c:scaling>
          <c:orientation val="minMax"/>
          <c:max val="5.000000000000001E-2"/>
          <c:min val="-5.000000000000001E-2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66784"/>
        <c:crosses val="autoZero"/>
        <c:crossBetween val="midCat"/>
      </c:valAx>
      <c:valAx>
        <c:axId val="480666784"/>
        <c:scaling>
          <c:orientation val="minMax"/>
          <c:max val="0.1"/>
          <c:min val="-0.15000000000000002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6639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Internal Balance </a:t>
            </a:r>
          </a:p>
        </c:rich>
      </c:tx>
      <c:layout>
        <c:manualLayout>
          <c:xMode val="edge"/>
          <c:yMode val="edge"/>
          <c:x val="0.41152692486158676"/>
          <c:y val="1.86359123921170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82100184669779"/>
          <c:y val="0.13658403355357218"/>
          <c:w val="0.73970536396534647"/>
          <c:h val="0.78166418065035559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'NEW Assignment Problem'!$T$7:$T$21</c:f>
              <c:numCache>
                <c:formatCode>0.0%</c:formatCode>
                <c:ptCount val="15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0.15000000000000002</c:v>
                </c:pt>
                <c:pt idx="5">
                  <c:v>0.1</c:v>
                </c:pt>
                <c:pt idx="6">
                  <c:v>0.05</c:v>
                </c:pt>
                <c:pt idx="7">
                  <c:v>0</c:v>
                </c:pt>
                <c:pt idx="8">
                  <c:v>-0.05</c:v>
                </c:pt>
                <c:pt idx="9">
                  <c:v>-0.1</c:v>
                </c:pt>
                <c:pt idx="10">
                  <c:v>-0.15000000000000002</c:v>
                </c:pt>
                <c:pt idx="11">
                  <c:v>-0.2</c:v>
                </c:pt>
                <c:pt idx="12">
                  <c:v>-0.25</c:v>
                </c:pt>
                <c:pt idx="13">
                  <c:v>-0.3</c:v>
                </c:pt>
                <c:pt idx="14">
                  <c:v>-0.35</c:v>
                </c:pt>
              </c:numCache>
            </c:numRef>
          </c:xVal>
          <c:yVal>
            <c:numRef>
              <c:f>'NEW Assignment Problem'!$Z$7:$Z$21</c:f>
              <c:numCache>
                <c:formatCode>0.0%</c:formatCode>
                <c:ptCount val="15"/>
                <c:pt idx="0">
                  <c:v>0.38500000000000001</c:v>
                </c:pt>
                <c:pt idx="1">
                  <c:v>0.33</c:v>
                </c:pt>
                <c:pt idx="2">
                  <c:v>0.27500000000000002</c:v>
                </c:pt>
                <c:pt idx="3">
                  <c:v>0.22000000000000003</c:v>
                </c:pt>
                <c:pt idx="4">
                  <c:v>0.16500000000000004</c:v>
                </c:pt>
                <c:pt idx="5">
                  <c:v>0.11000000000000001</c:v>
                </c:pt>
                <c:pt idx="6">
                  <c:v>5.5000000000000007E-2</c:v>
                </c:pt>
                <c:pt idx="7">
                  <c:v>0</c:v>
                </c:pt>
                <c:pt idx="8">
                  <c:v>-5.5000000000000007E-2</c:v>
                </c:pt>
                <c:pt idx="9">
                  <c:v>-0.11000000000000001</c:v>
                </c:pt>
                <c:pt idx="10">
                  <c:v>-0.16500000000000004</c:v>
                </c:pt>
                <c:pt idx="11">
                  <c:v>-0.22000000000000003</c:v>
                </c:pt>
                <c:pt idx="12">
                  <c:v>-0.27500000000000002</c:v>
                </c:pt>
                <c:pt idx="13">
                  <c:v>-0.33</c:v>
                </c:pt>
                <c:pt idx="14">
                  <c:v>-0.38500000000000001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B4-47E0-9D35-76791AF18CB8}"/>
            </c:ext>
          </c:extLst>
        </c:ser>
        <c:ser>
          <c:idx val="3"/>
          <c:order val="1"/>
          <c:tx>
            <c:strRef>
              <c:f>'NEW Assignment Problem'!$AA$24</c:f>
              <c:strCache>
                <c:ptCount val="1"/>
              </c:strCache>
            </c:strRef>
          </c:tx>
          <c:spPr>
            <a:ln w="1905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4B4-47E0-9D35-76791AF18CB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4B4-47E0-9D35-76791AF18CB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4B4-47E0-9D35-76791AF18CB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4B4-47E0-9D35-76791AF18CB8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4B4-47E0-9D35-76791AF18CB8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4B4-47E0-9D35-76791AF18CB8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4B4-47E0-9D35-76791AF18CB8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4B4-47E0-9D35-76791AF18CB8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4B4-47E0-9D35-76791AF18CB8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4B4-47E0-9D35-76791AF18CB8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4B4-47E0-9D35-76791AF18CB8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4B4-47E0-9D35-76791AF18CB8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4B4-47E0-9D35-76791AF18CB8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4B4-47E0-9D35-76791AF18C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Problem'!$T$7:$T$21</c:f>
              <c:numCache>
                <c:formatCode>0.0%</c:formatCode>
                <c:ptCount val="15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0.15000000000000002</c:v>
                </c:pt>
                <c:pt idx="5">
                  <c:v>0.1</c:v>
                </c:pt>
                <c:pt idx="6">
                  <c:v>0.05</c:v>
                </c:pt>
                <c:pt idx="7">
                  <c:v>0</c:v>
                </c:pt>
                <c:pt idx="8">
                  <c:v>-0.05</c:v>
                </c:pt>
                <c:pt idx="9">
                  <c:v>-0.1</c:v>
                </c:pt>
                <c:pt idx="10">
                  <c:v>-0.15000000000000002</c:v>
                </c:pt>
                <c:pt idx="11">
                  <c:v>-0.2</c:v>
                </c:pt>
                <c:pt idx="12">
                  <c:v>-0.25</c:v>
                </c:pt>
                <c:pt idx="13">
                  <c:v>-0.3</c:v>
                </c:pt>
                <c:pt idx="14">
                  <c:v>-0.35</c:v>
                </c:pt>
              </c:numCache>
            </c:numRef>
          </c:xVal>
          <c:yVal>
            <c:numRef>
              <c:f>'NEW Assignment Problem'!$AA$7:$AA$21</c:f>
              <c:numCache>
                <c:formatCode>0.0%</c:formatCode>
                <c:ptCount val="15"/>
                <c:pt idx="0">
                  <c:v>0.38500000000000001</c:v>
                </c:pt>
                <c:pt idx="1">
                  <c:v>0.33</c:v>
                </c:pt>
                <c:pt idx="2">
                  <c:v>0.27500000000000002</c:v>
                </c:pt>
                <c:pt idx="3">
                  <c:v>0.22000000000000003</c:v>
                </c:pt>
                <c:pt idx="4">
                  <c:v>0.16500000000000004</c:v>
                </c:pt>
                <c:pt idx="5">
                  <c:v>0.11000000000000001</c:v>
                </c:pt>
                <c:pt idx="6">
                  <c:v>5.5000000000000007E-2</c:v>
                </c:pt>
                <c:pt idx="7">
                  <c:v>0</c:v>
                </c:pt>
                <c:pt idx="8">
                  <c:v>-5.5000000000000007E-2</c:v>
                </c:pt>
                <c:pt idx="9">
                  <c:v>-0.11000000000000001</c:v>
                </c:pt>
                <c:pt idx="10">
                  <c:v>-0.16500000000000004</c:v>
                </c:pt>
                <c:pt idx="11">
                  <c:v>-0.22000000000000003</c:v>
                </c:pt>
                <c:pt idx="12">
                  <c:v>-0.27500000000000002</c:v>
                </c:pt>
                <c:pt idx="13">
                  <c:v>-0.33</c:v>
                </c:pt>
                <c:pt idx="14">
                  <c:v>-0.38500000000000001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4B4-47E0-9D35-76791AF18CB8}"/>
            </c:ext>
          </c:extLst>
        </c:ser>
        <c:ser>
          <c:idx val="6"/>
          <c:order val="2"/>
          <c:tx>
            <c:strRef>
              <c:f>'NEW Assignment Problem'!$L$72</c:f>
              <c:strCache>
                <c:ptCount val="1"/>
                <c:pt idx="0">
                  <c:v>Fiscal Expansion ↑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4B4-47E0-9D35-76791AF18CB8}"/>
                </c:ext>
              </c:extLst>
            </c:dLbl>
            <c:dLbl>
              <c:idx val="1"/>
              <c:layout>
                <c:manualLayout>
                  <c:x val="-8.9390911597738654E-2"/>
                  <c:y val="-3.3178326976331052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4B4-47E0-9D35-76791AF18C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Problem'!$L$74:$L$75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'NEW Assignment Problem'!$M$74:$M$75</c:f>
              <c:numCache>
                <c:formatCode>General</c:formatCode>
                <c:ptCount val="2"/>
                <c:pt idx="0">
                  <c:v>0.1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4B4-47E0-9D35-76791AF18CB8}"/>
            </c:ext>
          </c:extLst>
        </c:ser>
        <c:ser>
          <c:idx val="7"/>
          <c:order val="3"/>
          <c:tx>
            <c:strRef>
              <c:f>'NEW Assignment Problem'!$L$77</c:f>
              <c:strCache>
                <c:ptCount val="1"/>
                <c:pt idx="0">
                  <c:v>Fiscal Contraction  ↓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4B4-47E0-9D35-76791AF18CB8}"/>
                </c:ext>
              </c:extLst>
            </c:dLbl>
            <c:dLbl>
              <c:idx val="1"/>
              <c:layout>
                <c:manualLayout>
                  <c:x val="-0.10571145525169968"/>
                  <c:y val="4.2226961606239413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4B4-47E0-9D35-76791AF18C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Problem'!$L$79:$L$80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'NEW Assignment Problem'!$M$79:$M$80</c:f>
              <c:numCache>
                <c:formatCode>General</c:formatCode>
                <c:ptCount val="2"/>
                <c:pt idx="0">
                  <c:v>-0.15</c:v>
                </c:pt>
                <c:pt idx="1">
                  <c:v>-0.15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4B4-47E0-9D35-76791AF18CB8}"/>
            </c:ext>
          </c:extLst>
        </c:ser>
        <c:ser>
          <c:idx val="8"/>
          <c:order val="4"/>
          <c:tx>
            <c:strRef>
              <c:f>'NEW Assignment Problem'!$O$72</c:f>
              <c:strCache>
                <c:ptCount val="1"/>
                <c:pt idx="0">
                  <c:v>Monetary contraction Δr→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4B4-47E0-9D35-76791AF18CB8}"/>
                </c:ext>
              </c:extLst>
            </c:dLbl>
            <c:dLbl>
              <c:idx val="1"/>
              <c:layout>
                <c:manualLayout>
                  <c:x val="-1.1303944418946308E-3"/>
                  <c:y val="-9.04863462990858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820847565789674"/>
                      <c:h val="0.111509340755905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7-F4B4-47E0-9D35-76791AF18C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Problem'!$O$74:$O$75</c:f>
              <c:numCache>
                <c:formatCode>General</c:formatCode>
                <c:ptCount val="2"/>
                <c:pt idx="0">
                  <c:v>0.05</c:v>
                </c:pt>
                <c:pt idx="1">
                  <c:v>0.05</c:v>
                </c:pt>
              </c:numCache>
            </c:numRef>
          </c:xVal>
          <c:yVal>
            <c:numRef>
              <c:f>'NEW Assignment Problem'!$P$74:$P$75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4B4-47E0-9D35-76791AF18CB8}"/>
            </c:ext>
          </c:extLst>
        </c:ser>
        <c:ser>
          <c:idx val="9"/>
          <c:order val="5"/>
          <c:tx>
            <c:strRef>
              <c:f>'NEW Assignment Problem'!$O$77</c:f>
              <c:strCache>
                <c:ptCount val="1"/>
                <c:pt idx="0">
                  <c:v>← Monetary expansion Δr 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4799648610581978"/>
                  <c:y val="6.032304338119633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362944950418517"/>
                      <c:h val="9.341207149608840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9-F4B4-47E0-9D35-76791AF18CB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F4B4-47E0-9D35-76791AF18C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Problem'!$O$79:$O$80</c:f>
              <c:numCache>
                <c:formatCode>General</c:formatCode>
                <c:ptCount val="2"/>
                <c:pt idx="0">
                  <c:v>-0.05</c:v>
                </c:pt>
                <c:pt idx="1">
                  <c:v>-0.05</c:v>
                </c:pt>
              </c:numCache>
            </c:numRef>
          </c:xVal>
          <c:yVal>
            <c:numRef>
              <c:f>'NEW Assignment Problem'!$P$79:$P$80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F4B4-47E0-9D35-76791AF18CB8}"/>
            </c:ext>
          </c:extLst>
        </c:ser>
        <c:ser>
          <c:idx val="10"/>
          <c:order val="6"/>
          <c:tx>
            <c:strRef>
              <c:f>'NEW Assignment Problem'!$W$38</c:f>
              <c:strCache>
                <c:ptCount val="1"/>
                <c:pt idx="0">
                  <c:v>No monetary adjustment/No fiscal adjustment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F4B4-47E0-9D35-76791AF18CB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F4B4-47E0-9D35-76791AF18C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Problem'!$W$40:$W$41</c:f>
              <c:numCache>
                <c:formatCode>0%</c:formatCode>
                <c:ptCount val="2"/>
                <c:pt idx="0" formatCode="0.0%">
                  <c:v>0</c:v>
                </c:pt>
                <c:pt idx="1">
                  <c:v>0</c:v>
                </c:pt>
              </c:numCache>
            </c:numRef>
          </c:xVal>
          <c:yVal>
            <c:numRef>
              <c:f>'NEW Assignment Problem'!$X$40:$X$41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F4B4-47E0-9D35-76791AF18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667176"/>
        <c:axId val="480667568"/>
      </c:scatterChart>
      <c:valAx>
        <c:axId val="480667176"/>
        <c:scaling>
          <c:orientation val="minMax"/>
          <c:max val="5.000000000000001E-2"/>
          <c:min val="-5.000000000000001E-2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67568"/>
        <c:crosses val="autoZero"/>
        <c:crossBetween val="midCat"/>
      </c:valAx>
      <c:valAx>
        <c:axId val="480667568"/>
        <c:scaling>
          <c:orientation val="minMax"/>
          <c:max val="0.1"/>
          <c:min val="-0.15000000000000002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6717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External </a:t>
            </a:r>
            <a:r>
              <a:rPr lang="en-US" baseline="0"/>
              <a:t>Balance</a:t>
            </a:r>
            <a:endParaRPr lang="en-US"/>
          </a:p>
        </c:rich>
      </c:tx>
      <c:layout>
        <c:manualLayout>
          <c:xMode val="edge"/>
          <c:yMode val="edge"/>
          <c:x val="0.40779129288898924"/>
          <c:y val="1.56197008488141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82100184669779"/>
          <c:y val="0.13658403355357218"/>
          <c:w val="0.73970536396534647"/>
          <c:h val="0.7816641806503555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'NEW Assignment Problem'!$T$7:$T$21</c:f>
              <c:numCache>
                <c:formatCode>0.0%</c:formatCode>
                <c:ptCount val="15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0.15000000000000002</c:v>
                </c:pt>
                <c:pt idx="5">
                  <c:v>0.1</c:v>
                </c:pt>
                <c:pt idx="6">
                  <c:v>0.05</c:v>
                </c:pt>
                <c:pt idx="7">
                  <c:v>0</c:v>
                </c:pt>
                <c:pt idx="8">
                  <c:v>-0.05</c:v>
                </c:pt>
                <c:pt idx="9">
                  <c:v>-0.1</c:v>
                </c:pt>
                <c:pt idx="10">
                  <c:v>-0.15000000000000002</c:v>
                </c:pt>
                <c:pt idx="11">
                  <c:v>-0.2</c:v>
                </c:pt>
                <c:pt idx="12">
                  <c:v>-0.25</c:v>
                </c:pt>
                <c:pt idx="13">
                  <c:v>-0.3</c:v>
                </c:pt>
                <c:pt idx="14">
                  <c:v>-0.35</c:v>
                </c:pt>
              </c:numCache>
            </c:numRef>
          </c:xVal>
          <c:yVal>
            <c:numRef>
              <c:f>'NEW Assignment Problem'!$V$7:$V$21</c:f>
              <c:numCache>
                <c:formatCode>0.0%</c:formatCode>
                <c:ptCount val="15"/>
                <c:pt idx="0">
                  <c:v>-0.7471333333333332</c:v>
                </c:pt>
                <c:pt idx="1">
                  <c:v>-0.64039999999999997</c:v>
                </c:pt>
                <c:pt idx="2">
                  <c:v>-0.53366666666666662</c:v>
                </c:pt>
                <c:pt idx="3">
                  <c:v>-0.42693333333333333</c:v>
                </c:pt>
                <c:pt idx="4">
                  <c:v>-0.32020000000000004</c:v>
                </c:pt>
                <c:pt idx="5">
                  <c:v>-0.21346666666666667</c:v>
                </c:pt>
                <c:pt idx="6">
                  <c:v>-0.10673333333333333</c:v>
                </c:pt>
                <c:pt idx="7">
                  <c:v>0</c:v>
                </c:pt>
                <c:pt idx="8">
                  <c:v>0.10673333333333333</c:v>
                </c:pt>
                <c:pt idx="9">
                  <c:v>0.21346666666666667</c:v>
                </c:pt>
                <c:pt idx="10">
                  <c:v>0.32020000000000004</c:v>
                </c:pt>
                <c:pt idx="11">
                  <c:v>0.42693333333333333</c:v>
                </c:pt>
                <c:pt idx="12">
                  <c:v>0.53366666666666662</c:v>
                </c:pt>
                <c:pt idx="13">
                  <c:v>0.64039999999999997</c:v>
                </c:pt>
                <c:pt idx="14">
                  <c:v>0.7471333333333332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1F-42C9-8B4A-4C758D4C77AD}"/>
            </c:ext>
          </c:extLst>
        </c:ser>
        <c:ser>
          <c:idx val="2"/>
          <c:order val="1"/>
          <c:tx>
            <c:strRef>
              <c:f>'NEW Assignment Problem'!$W$24</c:f>
              <c:strCache>
                <c:ptCount val="1"/>
              </c:strCache>
            </c:strRef>
          </c:tx>
          <c:spPr>
            <a:ln w="190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3010664562452577E-2"/>
                  <c:y val="3.1529154040523155E-3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1F-42C9-8B4A-4C758D4C77A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1F-42C9-8B4A-4C758D4C77A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F1F-42C9-8B4A-4C758D4C77A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F1F-42C9-8B4A-4C758D4C77A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F1F-42C9-8B4A-4C758D4C77A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F1F-42C9-8B4A-4C758D4C77AD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F1F-42C9-8B4A-4C758D4C77AD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F1F-42C9-8B4A-4C758D4C77AD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F1F-42C9-8B4A-4C758D4C77AD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F1F-42C9-8B4A-4C758D4C77AD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F1F-42C9-8B4A-4C758D4C77AD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F1F-42C9-8B4A-4C758D4C77AD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F1F-42C9-8B4A-4C758D4C77AD}"/>
                </c:ext>
              </c:extLst>
            </c:dLbl>
            <c:dLbl>
              <c:idx val="14"/>
              <c:layout>
                <c:manualLayout>
                  <c:x val="-8.0316087410846712E-2"/>
                  <c:y val="-3.0162115433028228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F1F-42C9-8B4A-4C758D4C77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Problem'!$T$7:$T$21</c:f>
              <c:numCache>
                <c:formatCode>0.0%</c:formatCode>
                <c:ptCount val="15"/>
                <c:pt idx="0">
                  <c:v>0.35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0.15000000000000002</c:v>
                </c:pt>
                <c:pt idx="5">
                  <c:v>0.1</c:v>
                </c:pt>
                <c:pt idx="6">
                  <c:v>0.05</c:v>
                </c:pt>
                <c:pt idx="7">
                  <c:v>0</c:v>
                </c:pt>
                <c:pt idx="8">
                  <c:v>-0.05</c:v>
                </c:pt>
                <c:pt idx="9">
                  <c:v>-0.1</c:v>
                </c:pt>
                <c:pt idx="10">
                  <c:v>-0.15000000000000002</c:v>
                </c:pt>
                <c:pt idx="11">
                  <c:v>-0.2</c:v>
                </c:pt>
                <c:pt idx="12">
                  <c:v>-0.25</c:v>
                </c:pt>
                <c:pt idx="13">
                  <c:v>-0.3</c:v>
                </c:pt>
                <c:pt idx="14">
                  <c:v>-0.35</c:v>
                </c:pt>
              </c:numCache>
            </c:numRef>
          </c:xVal>
          <c:yVal>
            <c:numRef>
              <c:f>'NEW Assignment Problem'!$W$7:$W$21</c:f>
              <c:numCache>
                <c:formatCode>0.0%</c:formatCode>
                <c:ptCount val="15"/>
                <c:pt idx="0">
                  <c:v>-0.7471333333333332</c:v>
                </c:pt>
                <c:pt idx="1">
                  <c:v>-0.64039999999999997</c:v>
                </c:pt>
                <c:pt idx="2">
                  <c:v>-0.53366666666666662</c:v>
                </c:pt>
                <c:pt idx="3">
                  <c:v>-0.42693333333333333</c:v>
                </c:pt>
                <c:pt idx="4">
                  <c:v>-0.32020000000000004</c:v>
                </c:pt>
                <c:pt idx="5">
                  <c:v>-0.21346666666666667</c:v>
                </c:pt>
                <c:pt idx="6">
                  <c:v>-0.10673333333333333</c:v>
                </c:pt>
                <c:pt idx="7">
                  <c:v>0</c:v>
                </c:pt>
                <c:pt idx="8">
                  <c:v>0.10673333333333333</c:v>
                </c:pt>
                <c:pt idx="9">
                  <c:v>0.21346666666666667</c:v>
                </c:pt>
                <c:pt idx="10">
                  <c:v>0.32020000000000004</c:v>
                </c:pt>
                <c:pt idx="11">
                  <c:v>0.42693333333333333</c:v>
                </c:pt>
                <c:pt idx="12">
                  <c:v>0.53366666666666662</c:v>
                </c:pt>
                <c:pt idx="13">
                  <c:v>0.64039999999999997</c:v>
                </c:pt>
                <c:pt idx="14">
                  <c:v>0.7471333333333332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F1F-42C9-8B4A-4C758D4C77AD}"/>
            </c:ext>
          </c:extLst>
        </c:ser>
        <c:ser>
          <c:idx val="6"/>
          <c:order val="2"/>
          <c:tx>
            <c:strRef>
              <c:f>'NEW Assignment Problem'!$L$72</c:f>
              <c:strCache>
                <c:ptCount val="1"/>
                <c:pt idx="0">
                  <c:v>Fiscal Expansion ↑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3F1F-42C9-8B4A-4C758D4C77AD}"/>
                </c:ext>
              </c:extLst>
            </c:dLbl>
            <c:dLbl>
              <c:idx val="1"/>
              <c:layout>
                <c:manualLayout>
                  <c:x val="-8.9390911597738654E-2"/>
                  <c:y val="-3.3178326976331052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F1F-42C9-8B4A-4C758D4C77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Problem'!$L$74:$L$75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'NEW Assignment Problem'!$M$74:$M$75</c:f>
              <c:numCache>
                <c:formatCode>General</c:formatCode>
                <c:ptCount val="2"/>
                <c:pt idx="0">
                  <c:v>0.1</c:v>
                </c:pt>
                <c:pt idx="1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3F1F-42C9-8B4A-4C758D4C77AD}"/>
            </c:ext>
          </c:extLst>
        </c:ser>
        <c:ser>
          <c:idx val="7"/>
          <c:order val="3"/>
          <c:tx>
            <c:strRef>
              <c:f>'NEW Assignment Problem'!$L$77</c:f>
              <c:strCache>
                <c:ptCount val="1"/>
                <c:pt idx="0">
                  <c:v>Fiscal Contraction  ↓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F1F-42C9-8B4A-4C758D4C77AD}"/>
                </c:ext>
              </c:extLst>
            </c:dLbl>
            <c:dLbl>
              <c:idx val="1"/>
              <c:layout>
                <c:manualLayout>
                  <c:x val="-0.10571145525169968"/>
                  <c:y val="4.2226961606239413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3F1F-42C9-8B4A-4C758D4C77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Problem'!$L$79:$L$80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'NEW Assignment Problem'!$M$79:$M$80</c:f>
              <c:numCache>
                <c:formatCode>General</c:formatCode>
                <c:ptCount val="2"/>
                <c:pt idx="0">
                  <c:v>-0.15</c:v>
                </c:pt>
                <c:pt idx="1">
                  <c:v>-0.15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3F1F-42C9-8B4A-4C758D4C77AD}"/>
            </c:ext>
          </c:extLst>
        </c:ser>
        <c:ser>
          <c:idx val="8"/>
          <c:order val="4"/>
          <c:tx>
            <c:strRef>
              <c:f>'NEW Assignment Problem'!$O$72</c:f>
              <c:strCache>
                <c:ptCount val="1"/>
                <c:pt idx="0">
                  <c:v>Monetary contraction Δr→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3F1F-42C9-8B4A-4C758D4C77AD}"/>
                </c:ext>
              </c:extLst>
            </c:dLbl>
            <c:dLbl>
              <c:idx val="1"/>
              <c:layout>
                <c:manualLayout>
                  <c:x val="-1.1303944418946308E-3"/>
                  <c:y val="-9.04863462990858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820847565789674"/>
                      <c:h val="0.111509340755905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7-3F1F-42C9-8B4A-4C758D4C77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Problem'!$O$74:$O$75</c:f>
              <c:numCache>
                <c:formatCode>General</c:formatCode>
                <c:ptCount val="2"/>
                <c:pt idx="0">
                  <c:v>0.05</c:v>
                </c:pt>
                <c:pt idx="1">
                  <c:v>0.05</c:v>
                </c:pt>
              </c:numCache>
            </c:numRef>
          </c:xVal>
          <c:yVal>
            <c:numRef>
              <c:f>'NEW Assignment Problem'!$P$74:$P$75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3F1F-42C9-8B4A-4C758D4C77AD}"/>
            </c:ext>
          </c:extLst>
        </c:ser>
        <c:ser>
          <c:idx val="9"/>
          <c:order val="5"/>
          <c:tx>
            <c:strRef>
              <c:f>'NEW Assignment Problem'!$O$77</c:f>
              <c:strCache>
                <c:ptCount val="1"/>
                <c:pt idx="0">
                  <c:v>← Monetary expansion Δr 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4799648610581978"/>
                  <c:y val="6.032304338119633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362944950418517"/>
                      <c:h val="9.341207149608840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9-3F1F-42C9-8B4A-4C758D4C77A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3F1F-42C9-8B4A-4C758D4C77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Problem'!$O$79:$O$80</c:f>
              <c:numCache>
                <c:formatCode>General</c:formatCode>
                <c:ptCount val="2"/>
                <c:pt idx="0">
                  <c:v>-0.05</c:v>
                </c:pt>
                <c:pt idx="1">
                  <c:v>-0.05</c:v>
                </c:pt>
              </c:numCache>
            </c:numRef>
          </c:xVal>
          <c:yVal>
            <c:numRef>
              <c:f>'NEW Assignment Problem'!$P$79:$P$80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3F1F-42C9-8B4A-4C758D4C77AD}"/>
            </c:ext>
          </c:extLst>
        </c:ser>
        <c:ser>
          <c:idx val="10"/>
          <c:order val="6"/>
          <c:tx>
            <c:strRef>
              <c:f>'NEW Assignment Problem'!$W$38</c:f>
              <c:strCache>
                <c:ptCount val="1"/>
                <c:pt idx="0">
                  <c:v>No monetary adjustment/No fiscal adjustment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3F1F-42C9-8B4A-4C758D4C77A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3F1F-42C9-8B4A-4C758D4C77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'NEW Assignment Problem'!$W$40:$W$41</c:f>
              <c:numCache>
                <c:formatCode>0%</c:formatCode>
                <c:ptCount val="2"/>
                <c:pt idx="0" formatCode="0.0%">
                  <c:v>0</c:v>
                </c:pt>
                <c:pt idx="1">
                  <c:v>0</c:v>
                </c:pt>
              </c:numCache>
            </c:numRef>
          </c:xVal>
          <c:yVal>
            <c:numRef>
              <c:f>'NEW Assignment Problem'!$X$40:$X$41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3F1F-42C9-8B4A-4C758D4C7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668744"/>
        <c:axId val="480669136"/>
      </c:scatterChart>
      <c:valAx>
        <c:axId val="480668744"/>
        <c:scaling>
          <c:orientation val="minMax"/>
          <c:max val="5.000000000000001E-2"/>
          <c:min val="-5.000000000000001E-2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69136"/>
        <c:crosses val="autoZero"/>
        <c:crossBetween val="midCat"/>
      </c:valAx>
      <c:valAx>
        <c:axId val="480669136"/>
        <c:scaling>
          <c:orientation val="minMax"/>
          <c:max val="0.1"/>
          <c:min val="-0.15000000000000002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68744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IS/RR Curve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820932361302771"/>
          <c:y val="0.16014315695282533"/>
          <c:w val="0.78193806099231"/>
          <c:h val="0.6481370863473592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APPENDIX'!$AK$7:$AK$27</c:f>
              <c:numCache>
                <c:formatCode>0.00%</c:formatCode>
                <c:ptCount val="21"/>
                <c:pt idx="0">
                  <c:v>-2.7909090909090901E-2</c:v>
                </c:pt>
                <c:pt idx="1">
                  <c:v>-2.3118181818181812E-2</c:v>
                </c:pt>
                <c:pt idx="2">
                  <c:v>-1.8327272727272723E-2</c:v>
                </c:pt>
                <c:pt idx="3">
                  <c:v>-1.3536363636363642E-2</c:v>
                </c:pt>
                <c:pt idx="4">
                  <c:v>-8.7454545454545458E-3</c:v>
                </c:pt>
                <c:pt idx="5">
                  <c:v>-3.9545454545454536E-3</c:v>
                </c:pt>
                <c:pt idx="6">
                  <c:v>8.3636363636363856E-4</c:v>
                </c:pt>
                <c:pt idx="7">
                  <c:v>5.6272727272727273E-3</c:v>
                </c:pt>
                <c:pt idx="8">
                  <c:v>1.0418181818181819E-2</c:v>
                </c:pt>
                <c:pt idx="9">
                  <c:v>1.520909090909091E-2</c:v>
                </c:pt>
                <c:pt idx="10" formatCode="0.0%">
                  <c:v>0.02</c:v>
                </c:pt>
                <c:pt idx="11">
                  <c:v>2.4790909090909093E-2</c:v>
                </c:pt>
                <c:pt idx="12">
                  <c:v>2.9581818181818181E-2</c:v>
                </c:pt>
                <c:pt idx="13">
                  <c:v>3.4372727272727277E-2</c:v>
                </c:pt>
                <c:pt idx="14">
                  <c:v>3.9163636363636359E-2</c:v>
                </c:pt>
                <c:pt idx="15">
                  <c:v>4.3954545454545454E-2</c:v>
                </c:pt>
                <c:pt idx="16">
                  <c:v>4.874545454545455E-2</c:v>
                </c:pt>
                <c:pt idx="17">
                  <c:v>5.3536363636363646E-2</c:v>
                </c:pt>
                <c:pt idx="18">
                  <c:v>5.8327272727272728E-2</c:v>
                </c:pt>
                <c:pt idx="19">
                  <c:v>6.3118181818181809E-2</c:v>
                </c:pt>
                <c:pt idx="20">
                  <c:v>6.7909090909090905E-2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C-49BD-9D90-6ADC2A920446}"/>
            </c:ext>
          </c:extLst>
        </c:ser>
        <c:ser>
          <c:idx val="1"/>
          <c:order val="1"/>
          <c:spPr>
            <a:ln w="190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APPENDIX'!$AM$7:$AM$27</c:f>
              <c:numCache>
                <c:formatCode>0.00%</c:formatCode>
                <c:ptCount val="21"/>
                <c:pt idx="0">
                  <c:v>-2.7909090909090901E-2</c:v>
                </c:pt>
                <c:pt idx="1">
                  <c:v>-2.3118181818181812E-2</c:v>
                </c:pt>
                <c:pt idx="2">
                  <c:v>-1.8327272727272723E-2</c:v>
                </c:pt>
                <c:pt idx="3">
                  <c:v>-1.3536363636363642E-2</c:v>
                </c:pt>
                <c:pt idx="4">
                  <c:v>-8.7454545454545458E-3</c:v>
                </c:pt>
                <c:pt idx="5">
                  <c:v>-3.9545454545454536E-3</c:v>
                </c:pt>
                <c:pt idx="6">
                  <c:v>8.3636363636363856E-4</c:v>
                </c:pt>
                <c:pt idx="7">
                  <c:v>5.6272727272727273E-3</c:v>
                </c:pt>
                <c:pt idx="8">
                  <c:v>1.0418181818181819E-2</c:v>
                </c:pt>
                <c:pt idx="9">
                  <c:v>1.520909090909091E-2</c:v>
                </c:pt>
                <c:pt idx="10" formatCode="0.0%">
                  <c:v>0.02</c:v>
                </c:pt>
                <c:pt idx="11">
                  <c:v>2.4790909090909093E-2</c:v>
                </c:pt>
                <c:pt idx="12">
                  <c:v>2.9581818181818181E-2</c:v>
                </c:pt>
                <c:pt idx="13">
                  <c:v>3.4372727272727277E-2</c:v>
                </c:pt>
                <c:pt idx="14">
                  <c:v>3.9163636363636359E-2</c:v>
                </c:pt>
                <c:pt idx="15">
                  <c:v>4.3954545454545454E-2</c:v>
                </c:pt>
                <c:pt idx="16">
                  <c:v>4.874545454545455E-2</c:v>
                </c:pt>
                <c:pt idx="17">
                  <c:v>5.3536363636363646E-2</c:v>
                </c:pt>
                <c:pt idx="18">
                  <c:v>5.8327272727272728E-2</c:v>
                </c:pt>
                <c:pt idx="19">
                  <c:v>6.3118181818181809E-2</c:v>
                </c:pt>
                <c:pt idx="20">
                  <c:v>6.7909090909090905E-2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1C-49BD-9D90-6ADC2A920446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APPENDIX'!$AO$7:$AO$27</c:f>
              <c:numCache>
                <c:formatCode>0.00%</c:formatCode>
                <c:ptCount val="21"/>
                <c:pt idx="0">
                  <c:v>-2.7909090909090901E-2</c:v>
                </c:pt>
                <c:pt idx="1">
                  <c:v>-2.3118181818181812E-2</c:v>
                </c:pt>
                <c:pt idx="2">
                  <c:v>-1.8327272727272723E-2</c:v>
                </c:pt>
                <c:pt idx="3">
                  <c:v>-1.3536363636363642E-2</c:v>
                </c:pt>
                <c:pt idx="4">
                  <c:v>-8.7454545454545458E-3</c:v>
                </c:pt>
                <c:pt idx="5">
                  <c:v>-3.9545454545454536E-3</c:v>
                </c:pt>
                <c:pt idx="6">
                  <c:v>8.3636363636363856E-4</c:v>
                </c:pt>
                <c:pt idx="7">
                  <c:v>5.6272727272727273E-3</c:v>
                </c:pt>
                <c:pt idx="8">
                  <c:v>1.0418181818181819E-2</c:v>
                </c:pt>
                <c:pt idx="9">
                  <c:v>1.520909090909091E-2</c:v>
                </c:pt>
                <c:pt idx="10" formatCode="0.0%">
                  <c:v>0.02</c:v>
                </c:pt>
                <c:pt idx="11">
                  <c:v>2.4790909090909093E-2</c:v>
                </c:pt>
                <c:pt idx="12">
                  <c:v>2.9581818181818181E-2</c:v>
                </c:pt>
                <c:pt idx="13">
                  <c:v>3.4372727272727277E-2</c:v>
                </c:pt>
                <c:pt idx="14">
                  <c:v>3.9163636363636359E-2</c:v>
                </c:pt>
                <c:pt idx="15">
                  <c:v>4.3954545454545454E-2</c:v>
                </c:pt>
                <c:pt idx="16">
                  <c:v>4.874545454545455E-2</c:v>
                </c:pt>
                <c:pt idx="17">
                  <c:v>5.3536363636363646E-2</c:v>
                </c:pt>
                <c:pt idx="18">
                  <c:v>5.8327272727272728E-2</c:v>
                </c:pt>
                <c:pt idx="19">
                  <c:v>6.3118181818181809E-2</c:v>
                </c:pt>
                <c:pt idx="20">
                  <c:v>6.7909090909090905E-2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1C-49BD-9D90-6ADC2A920446}"/>
            </c:ext>
          </c:extLst>
        </c:ser>
        <c:ser>
          <c:idx val="3"/>
          <c:order val="3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APPENDIX'!$AR$7:$AR$27</c:f>
              <c:numCache>
                <c:formatCode>0.0%</c:formatCode>
                <c:ptCount val="21"/>
                <c:pt idx="0">
                  <c:v>5.4999999999999993E-2</c:v>
                </c:pt>
                <c:pt idx="1">
                  <c:v>5.1500000000000004E-2</c:v>
                </c:pt>
                <c:pt idx="2">
                  <c:v>4.8000000000000001E-2</c:v>
                </c:pt>
                <c:pt idx="3">
                  <c:v>4.4499999999999998E-2</c:v>
                </c:pt>
                <c:pt idx="4">
                  <c:v>4.1000000000000002E-2</c:v>
                </c:pt>
                <c:pt idx="5">
                  <c:v>3.7499999999999999E-2</c:v>
                </c:pt>
                <c:pt idx="6">
                  <c:v>3.4000000000000002E-2</c:v>
                </c:pt>
                <c:pt idx="7">
                  <c:v>3.0499999999999999E-2</c:v>
                </c:pt>
                <c:pt idx="8">
                  <c:v>2.7E-2</c:v>
                </c:pt>
                <c:pt idx="9">
                  <c:v>2.35E-2</c:v>
                </c:pt>
                <c:pt idx="10">
                  <c:v>0.02</c:v>
                </c:pt>
                <c:pt idx="11">
                  <c:v>1.6500000000000001E-2</c:v>
                </c:pt>
                <c:pt idx="12">
                  <c:v>1.3000000000000001E-2</c:v>
                </c:pt>
                <c:pt idx="13">
                  <c:v>9.5000000000000015E-3</c:v>
                </c:pt>
                <c:pt idx="14">
                  <c:v>6.0000000000000019E-3</c:v>
                </c:pt>
                <c:pt idx="15">
                  <c:v>2.5000000000000022E-3</c:v>
                </c:pt>
                <c:pt idx="16">
                  <c:v>-1.0000000000000009E-3</c:v>
                </c:pt>
                <c:pt idx="17">
                  <c:v>-4.5000000000000005E-3</c:v>
                </c:pt>
                <c:pt idx="18">
                  <c:v>-7.9999999999999967E-3</c:v>
                </c:pt>
                <c:pt idx="19">
                  <c:v>-1.15E-2</c:v>
                </c:pt>
                <c:pt idx="20">
                  <c:v>-1.4999999999999996E-2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1C-49BD-9D90-6ADC2A92044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APPENDIX'!$AT$7:$AT$27</c:f>
              <c:numCache>
                <c:formatCode>0.0%</c:formatCode>
                <c:ptCount val="21"/>
                <c:pt idx="0">
                  <c:v>5.4999999999999993E-2</c:v>
                </c:pt>
                <c:pt idx="1">
                  <c:v>5.1500000000000004E-2</c:v>
                </c:pt>
                <c:pt idx="2">
                  <c:v>4.8000000000000001E-2</c:v>
                </c:pt>
                <c:pt idx="3">
                  <c:v>4.4499999999999998E-2</c:v>
                </c:pt>
                <c:pt idx="4">
                  <c:v>4.1000000000000002E-2</c:v>
                </c:pt>
                <c:pt idx="5">
                  <c:v>3.7499999999999999E-2</c:v>
                </c:pt>
                <c:pt idx="6">
                  <c:v>3.4000000000000002E-2</c:v>
                </c:pt>
                <c:pt idx="7">
                  <c:v>3.0499999999999999E-2</c:v>
                </c:pt>
                <c:pt idx="8">
                  <c:v>2.7E-2</c:v>
                </c:pt>
                <c:pt idx="9">
                  <c:v>2.35E-2</c:v>
                </c:pt>
                <c:pt idx="10">
                  <c:v>0.02</c:v>
                </c:pt>
                <c:pt idx="11">
                  <c:v>1.6500000000000001E-2</c:v>
                </c:pt>
                <c:pt idx="12">
                  <c:v>1.3000000000000001E-2</c:v>
                </c:pt>
                <c:pt idx="13">
                  <c:v>9.5000000000000015E-3</c:v>
                </c:pt>
                <c:pt idx="14">
                  <c:v>6.0000000000000019E-3</c:v>
                </c:pt>
                <c:pt idx="15">
                  <c:v>2.5000000000000022E-3</c:v>
                </c:pt>
                <c:pt idx="16">
                  <c:v>-1.0000000000000009E-3</c:v>
                </c:pt>
                <c:pt idx="17">
                  <c:v>-4.5000000000000005E-3</c:v>
                </c:pt>
                <c:pt idx="18">
                  <c:v>-7.9999999999999967E-3</c:v>
                </c:pt>
                <c:pt idx="19">
                  <c:v>-1.15E-2</c:v>
                </c:pt>
                <c:pt idx="20">
                  <c:v>-1.4999999999999996E-2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01C-49BD-9D90-6ADC2A920446}"/>
            </c:ext>
          </c:extLst>
        </c:ser>
        <c:ser>
          <c:idx val="5"/>
          <c:order val="5"/>
          <c:spPr>
            <a:ln w="1905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APPENDIX'!$AV$7:$AV$27</c:f>
              <c:numCache>
                <c:formatCode>0.0%</c:formatCode>
                <c:ptCount val="21"/>
                <c:pt idx="0">
                  <c:v>5.4999999999999993E-2</c:v>
                </c:pt>
                <c:pt idx="1">
                  <c:v>5.1500000000000004E-2</c:v>
                </c:pt>
                <c:pt idx="2">
                  <c:v>4.8000000000000001E-2</c:v>
                </c:pt>
                <c:pt idx="3">
                  <c:v>4.4499999999999998E-2</c:v>
                </c:pt>
                <c:pt idx="4">
                  <c:v>4.1000000000000002E-2</c:v>
                </c:pt>
                <c:pt idx="5">
                  <c:v>3.7499999999999999E-2</c:v>
                </c:pt>
                <c:pt idx="6">
                  <c:v>3.4000000000000002E-2</c:v>
                </c:pt>
                <c:pt idx="7">
                  <c:v>3.0499999999999999E-2</c:v>
                </c:pt>
                <c:pt idx="8">
                  <c:v>2.7E-2</c:v>
                </c:pt>
                <c:pt idx="9">
                  <c:v>2.35E-2</c:v>
                </c:pt>
                <c:pt idx="10">
                  <c:v>0.02</c:v>
                </c:pt>
                <c:pt idx="11">
                  <c:v>1.6500000000000001E-2</c:v>
                </c:pt>
                <c:pt idx="12">
                  <c:v>1.3000000000000001E-2</c:v>
                </c:pt>
                <c:pt idx="13">
                  <c:v>9.5000000000000015E-3</c:v>
                </c:pt>
                <c:pt idx="14">
                  <c:v>6.0000000000000019E-3</c:v>
                </c:pt>
                <c:pt idx="15">
                  <c:v>2.5000000000000022E-3</c:v>
                </c:pt>
                <c:pt idx="16">
                  <c:v>-1.0000000000000009E-3</c:v>
                </c:pt>
                <c:pt idx="17">
                  <c:v>-4.5000000000000005E-3</c:v>
                </c:pt>
                <c:pt idx="18">
                  <c:v>-7.9999999999999967E-3</c:v>
                </c:pt>
                <c:pt idx="19">
                  <c:v>-1.15E-2</c:v>
                </c:pt>
                <c:pt idx="20">
                  <c:v>-1.4999999999999996E-2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1C-49BD-9D90-6ADC2A920446}"/>
            </c:ext>
          </c:extLst>
        </c:ser>
        <c:ser>
          <c:idx val="6"/>
          <c:order val="6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APPENDIX'!$AK$33:$AK$34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APPENDIX'!$AL$33:$AL$34</c:f>
              <c:numCache>
                <c:formatCode>0.0%</c:formatCode>
                <c:ptCount val="2"/>
                <c:pt idx="0">
                  <c:v>-0.1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1C-49BD-9D90-6ADC2A920446}"/>
            </c:ext>
          </c:extLst>
        </c:ser>
        <c:ser>
          <c:idx val="7"/>
          <c:order val="7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APPENDIX'!$AK$37:$AK$38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APPENDIX'!$AL$37:$AL$38</c:f>
              <c:numCache>
                <c:formatCode>0.0%</c:formatCode>
                <c:ptCount val="2"/>
                <c:pt idx="0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1C-49BD-9D90-6ADC2A920446}"/>
            </c:ext>
          </c:extLst>
        </c:ser>
        <c:ser>
          <c:idx val="8"/>
          <c:order val="8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APPENDIX'!$AK$42:$AK$43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APPENDIX'!$AL$42:$AL$43</c:f>
              <c:numCache>
                <c:formatCode>0.0%</c:formatCode>
                <c:ptCount val="2"/>
                <c:pt idx="0">
                  <c:v>-0.1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01C-49BD-9D90-6ADC2A920446}"/>
            </c:ext>
          </c:extLst>
        </c:ser>
        <c:ser>
          <c:idx val="9"/>
          <c:order val="9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APPENDIX'!$AK$46:$AK$47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APPENDIX'!$AL$46:$AL$47</c:f>
              <c:numCache>
                <c:formatCode>0.0%</c:formatCode>
                <c:ptCount val="2"/>
                <c:pt idx="0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1C-49BD-9D90-6ADC2A920446}"/>
            </c:ext>
          </c:extLst>
        </c:ser>
        <c:ser>
          <c:idx val="10"/>
          <c:order val="10"/>
          <c:spPr>
            <a:ln w="1270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APPENDIX'!$AK$51:$AK$52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APPENDIX'!$AL$51:$AL$52</c:f>
              <c:numCache>
                <c:formatCode>0.0%</c:formatCode>
                <c:ptCount val="2"/>
                <c:pt idx="0">
                  <c:v>-0.1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01C-49BD-9D90-6ADC2A920446}"/>
            </c:ext>
          </c:extLst>
        </c:ser>
        <c:ser>
          <c:idx val="11"/>
          <c:order val="11"/>
          <c:spPr>
            <a:ln w="1270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APPENDIX'!$AK$55:$AK$56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APPENDIX'!$AL$55:$AL$56</c:f>
              <c:numCache>
                <c:formatCode>0.0%</c:formatCode>
                <c:ptCount val="2"/>
                <c:pt idx="0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01C-49BD-9D90-6ADC2A920446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'OPTIONAL FULL MODEL APPENDIX'!$AM$33:$AM$34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APPENDIX'!$AN$33:$AN$34</c:f>
              <c:numCache>
                <c:formatCode>0.00%</c:formatCode>
                <c:ptCount val="2"/>
                <c:pt idx="0" formatCode="0.0%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01C-49BD-9D90-6ADC2A920446}"/>
            </c:ext>
          </c:extLst>
        </c:ser>
        <c:ser>
          <c:idx val="13"/>
          <c:order val="13"/>
          <c:tx>
            <c:strRef>
              <c:f>'OPTIONAL FULL MODEL APPENDIX'!$AM$31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01C-49BD-9D90-6ADC2A920446}"/>
                </c:ext>
              </c:extLst>
            </c:dLbl>
            <c:dLbl>
              <c:idx val="1"/>
              <c:layout>
                <c:manualLayout>
                  <c:x val="-4.7397766048227243E-2"/>
                  <c:y val="2.771280946425177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01C-49BD-9D90-6ADC2A9204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APPENDIX'!$AM$33:$AM$34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APPENDIX'!$AN$33:$AN$34</c:f>
              <c:numCache>
                <c:formatCode>0.00%</c:formatCode>
                <c:ptCount val="2"/>
                <c:pt idx="0" formatCode="0.0%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01C-49BD-9D90-6ADC2A920446}"/>
            </c:ext>
          </c:extLst>
        </c:ser>
        <c:ser>
          <c:idx val="14"/>
          <c:order val="14"/>
          <c:tx>
            <c:strRef>
              <c:f>'OPTIONAL FULL MODEL APPENDIX'!$AM$40</c:f>
              <c:strCache>
                <c:ptCount val="1"/>
                <c:pt idx="0">
                  <c:v>(i)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01C-49BD-9D90-6ADC2A920446}"/>
                </c:ext>
              </c:extLst>
            </c:dLbl>
            <c:dLbl>
              <c:idx val="1"/>
              <c:layout>
                <c:manualLayout>
                  <c:x val="-3.0669142737088272E-2"/>
                  <c:y val="-2.771280946425177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01C-49BD-9D90-6ADC2A9204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APPENDIX'!$AM$42:$AM$43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APPENDIX'!$AN$42:$AN$43</c:f>
              <c:numCache>
                <c:formatCode>0.0%</c:formatCode>
                <c:ptCount val="2"/>
                <c:pt idx="0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01C-49BD-9D90-6ADC2A920446}"/>
            </c:ext>
          </c:extLst>
        </c:ser>
        <c:ser>
          <c:idx val="15"/>
          <c:order val="15"/>
          <c:tx>
            <c:strRef>
              <c:f>'OPTIONAL FULL MODEL APPENDIX'!$AM$49</c:f>
              <c:strCache>
                <c:ptCount val="1"/>
                <c:pt idx="0">
                  <c:v>(ii)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01C-49BD-9D90-6ADC2A920446}"/>
                </c:ext>
              </c:extLst>
            </c:dLbl>
            <c:dLbl>
              <c:idx val="1"/>
              <c:layout>
                <c:manualLayout>
                  <c:x val="-1.6728623311139015E-2"/>
                  <c:y val="-8.467705072203167E-17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C01C-49BD-9D90-6ADC2A9204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APPENDIX'!$AM$51:$AM$52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APPENDIX'!$AN$51:$AN$52</c:f>
              <c:numCache>
                <c:formatCode>0.0%</c:formatCode>
                <c:ptCount val="2"/>
                <c:pt idx="0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C01C-49BD-9D90-6ADC2A920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889944"/>
        <c:axId val="372887984"/>
      </c:scatterChart>
      <c:valAx>
        <c:axId val="372889944"/>
        <c:scaling>
          <c:orientation val="minMax"/>
          <c:max val="5.0000000000000024E-2"/>
          <c:min val="-5.0000000000000024E-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Output gap (in percent)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87984"/>
        <c:crossesAt val="-6.0000000000000032E-2"/>
        <c:crossBetween val="midCat"/>
      </c:valAx>
      <c:valAx>
        <c:axId val="372887984"/>
        <c:scaling>
          <c:orientation val="minMax"/>
          <c:max val="0.1"/>
          <c:min val="-2.0000000000000011E-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Real interest rate (in percent)</a:t>
                </a:r>
              </a:p>
            </c:rich>
          </c:tx>
          <c:overlay val="0"/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89944"/>
        <c:crossesAt val="-6.000000000000003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Phillips Curve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APPENDIX'!$AZ$7:$AZ$27</c:f>
              <c:numCache>
                <c:formatCode>0.0%</c:formatCode>
                <c:ptCount val="21"/>
                <c:pt idx="0">
                  <c:v>5.5E-2</c:v>
                </c:pt>
                <c:pt idx="1">
                  <c:v>5.3999999999999999E-2</c:v>
                </c:pt>
                <c:pt idx="2">
                  <c:v>5.2999999999999999E-2</c:v>
                </c:pt>
                <c:pt idx="3">
                  <c:v>5.1999999999999998E-2</c:v>
                </c:pt>
                <c:pt idx="4">
                  <c:v>5.0999999999999997E-2</c:v>
                </c:pt>
                <c:pt idx="5">
                  <c:v>0.05</c:v>
                </c:pt>
                <c:pt idx="6">
                  <c:v>4.9000000000000002E-2</c:v>
                </c:pt>
                <c:pt idx="7">
                  <c:v>4.8000000000000001E-2</c:v>
                </c:pt>
                <c:pt idx="8">
                  <c:v>4.7E-2</c:v>
                </c:pt>
                <c:pt idx="9">
                  <c:v>4.5999999999999999E-2</c:v>
                </c:pt>
                <c:pt idx="10">
                  <c:v>4.4999999999999998E-2</c:v>
                </c:pt>
                <c:pt idx="11">
                  <c:v>4.3999999999999997E-2</c:v>
                </c:pt>
                <c:pt idx="12">
                  <c:v>4.2999999999999997E-2</c:v>
                </c:pt>
                <c:pt idx="13">
                  <c:v>4.1999999999999996E-2</c:v>
                </c:pt>
                <c:pt idx="14">
                  <c:v>4.0999999999999995E-2</c:v>
                </c:pt>
                <c:pt idx="15">
                  <c:v>3.9999999999999994E-2</c:v>
                </c:pt>
                <c:pt idx="16">
                  <c:v>3.9E-2</c:v>
                </c:pt>
                <c:pt idx="17">
                  <c:v>3.7999999999999999E-2</c:v>
                </c:pt>
                <c:pt idx="18">
                  <c:v>3.6999999999999998E-2</c:v>
                </c:pt>
                <c:pt idx="19">
                  <c:v>3.5999999999999997E-2</c:v>
                </c:pt>
                <c:pt idx="20">
                  <c:v>3.4999999999999996E-2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15-418C-9286-C24AD7A75E08}"/>
            </c:ext>
          </c:extLst>
        </c:ser>
        <c:ser>
          <c:idx val="1"/>
          <c:order val="1"/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APPENDIX'!$BB$7:$BB$27</c:f>
              <c:numCache>
                <c:formatCode>0.0%</c:formatCode>
                <c:ptCount val="21"/>
                <c:pt idx="0">
                  <c:v>5.5E-2</c:v>
                </c:pt>
                <c:pt idx="1">
                  <c:v>5.3999999999999999E-2</c:v>
                </c:pt>
                <c:pt idx="2">
                  <c:v>5.2999999999999999E-2</c:v>
                </c:pt>
                <c:pt idx="3">
                  <c:v>5.1999999999999998E-2</c:v>
                </c:pt>
                <c:pt idx="4">
                  <c:v>5.0999999999999997E-2</c:v>
                </c:pt>
                <c:pt idx="5">
                  <c:v>0.05</c:v>
                </c:pt>
                <c:pt idx="6">
                  <c:v>4.9000000000000002E-2</c:v>
                </c:pt>
                <c:pt idx="7">
                  <c:v>4.8000000000000001E-2</c:v>
                </c:pt>
                <c:pt idx="8">
                  <c:v>4.7E-2</c:v>
                </c:pt>
                <c:pt idx="9">
                  <c:v>4.5999999999999999E-2</c:v>
                </c:pt>
                <c:pt idx="10">
                  <c:v>4.4999999999999998E-2</c:v>
                </c:pt>
                <c:pt idx="11">
                  <c:v>4.3999999999999997E-2</c:v>
                </c:pt>
                <c:pt idx="12">
                  <c:v>4.2999999999999997E-2</c:v>
                </c:pt>
                <c:pt idx="13">
                  <c:v>4.1999999999999996E-2</c:v>
                </c:pt>
                <c:pt idx="14">
                  <c:v>4.0999999999999995E-2</c:v>
                </c:pt>
                <c:pt idx="15">
                  <c:v>3.9999999999999994E-2</c:v>
                </c:pt>
                <c:pt idx="16">
                  <c:v>3.9E-2</c:v>
                </c:pt>
                <c:pt idx="17">
                  <c:v>3.7999999999999999E-2</c:v>
                </c:pt>
                <c:pt idx="18">
                  <c:v>3.6999999999999998E-2</c:v>
                </c:pt>
                <c:pt idx="19">
                  <c:v>3.5999999999999997E-2</c:v>
                </c:pt>
                <c:pt idx="20">
                  <c:v>3.4999999999999996E-2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15-418C-9286-C24AD7A75E08}"/>
            </c:ext>
          </c:extLst>
        </c:ser>
        <c:ser>
          <c:idx val="2"/>
          <c:order val="2"/>
          <c:spPr>
            <a:ln w="1905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APPENDIX'!$BD$7:$BD$27</c:f>
              <c:numCache>
                <c:formatCode>0.0%</c:formatCode>
                <c:ptCount val="21"/>
                <c:pt idx="0">
                  <c:v>5.5E-2</c:v>
                </c:pt>
                <c:pt idx="1">
                  <c:v>5.3999999999999999E-2</c:v>
                </c:pt>
                <c:pt idx="2">
                  <c:v>5.2999999999999999E-2</c:v>
                </c:pt>
                <c:pt idx="3">
                  <c:v>5.1999999999999998E-2</c:v>
                </c:pt>
                <c:pt idx="4">
                  <c:v>5.0999999999999997E-2</c:v>
                </c:pt>
                <c:pt idx="5">
                  <c:v>0.05</c:v>
                </c:pt>
                <c:pt idx="6">
                  <c:v>4.9000000000000002E-2</c:v>
                </c:pt>
                <c:pt idx="7">
                  <c:v>4.8000000000000001E-2</c:v>
                </c:pt>
                <c:pt idx="8">
                  <c:v>4.7E-2</c:v>
                </c:pt>
                <c:pt idx="9">
                  <c:v>4.5999999999999999E-2</c:v>
                </c:pt>
                <c:pt idx="10">
                  <c:v>4.4999999999999998E-2</c:v>
                </c:pt>
                <c:pt idx="11">
                  <c:v>4.3999999999999997E-2</c:v>
                </c:pt>
                <c:pt idx="12">
                  <c:v>4.2999999999999997E-2</c:v>
                </c:pt>
                <c:pt idx="13">
                  <c:v>4.1999999999999996E-2</c:v>
                </c:pt>
                <c:pt idx="14">
                  <c:v>4.0999999999999995E-2</c:v>
                </c:pt>
                <c:pt idx="15">
                  <c:v>3.9999999999999994E-2</c:v>
                </c:pt>
                <c:pt idx="16">
                  <c:v>3.9E-2</c:v>
                </c:pt>
                <c:pt idx="17">
                  <c:v>3.7999999999999999E-2</c:v>
                </c:pt>
                <c:pt idx="18">
                  <c:v>3.6999999999999998E-2</c:v>
                </c:pt>
                <c:pt idx="19">
                  <c:v>3.5999999999999997E-2</c:v>
                </c:pt>
                <c:pt idx="20">
                  <c:v>3.4999999999999996E-2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15-418C-9286-C24AD7A75E08}"/>
            </c:ext>
          </c:extLst>
        </c:ser>
        <c:ser>
          <c:idx val="3"/>
          <c:order val="3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APPENDIX'!$BA$33:$BA$34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APPENDIX'!$BB$33:$BB$34</c:f>
              <c:numCache>
                <c:formatCode>0.0%</c:formatCode>
                <c:ptCount val="2"/>
                <c:pt idx="0">
                  <c:v>-0.1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15-418C-9286-C24AD7A75E08}"/>
            </c:ext>
          </c:extLst>
        </c:ser>
        <c:ser>
          <c:idx val="4"/>
          <c:order val="4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APPENDIX'!$BA$37:$BA$38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APPENDIX'!$BB$37:$BB$38</c:f>
              <c:numCache>
                <c:formatCode>0.0%</c:formatCode>
                <c:ptCount val="2"/>
                <c:pt idx="0">
                  <c:v>4.4999999999999998E-2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15-418C-9286-C24AD7A75E08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1"/>
            <c:bubble3D val="0"/>
            <c:spPr>
              <a:ln w="12700" cap="rnd">
                <a:solidFill>
                  <a:schemeClr val="tx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9415-418C-9286-C24AD7A75E08}"/>
              </c:ext>
            </c:extLst>
          </c:dPt>
          <c:xVal>
            <c:numRef>
              <c:f>'OPTIONAL FULL MODEL APPENDIX'!$BA$42:$BA$43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APPENDIX'!$BB$42:$BB$43</c:f>
              <c:numCache>
                <c:formatCode>0.0%</c:formatCode>
                <c:ptCount val="2"/>
                <c:pt idx="0">
                  <c:v>-0.1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415-418C-9286-C24AD7A75E08}"/>
            </c:ext>
          </c:extLst>
        </c:ser>
        <c:ser>
          <c:idx val="6"/>
          <c:order val="6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APPENDIX'!$BA$46:$BA$47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APPENDIX'!$BB$46:$BB$47</c:f>
              <c:numCache>
                <c:formatCode>0.0%</c:formatCode>
                <c:ptCount val="2"/>
                <c:pt idx="0">
                  <c:v>4.4999999999999998E-2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415-418C-9286-C24AD7A75E08}"/>
            </c:ext>
          </c:extLst>
        </c:ser>
        <c:ser>
          <c:idx val="7"/>
          <c:order val="7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APPENDIX'!$BA$51:$BA$52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APPENDIX'!$BB$51:$BB$52</c:f>
              <c:numCache>
                <c:formatCode>0.0%</c:formatCode>
                <c:ptCount val="2"/>
                <c:pt idx="0">
                  <c:v>-0.1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415-418C-9286-C24AD7A75E08}"/>
            </c:ext>
          </c:extLst>
        </c:ser>
        <c:ser>
          <c:idx val="8"/>
          <c:order val="8"/>
          <c:spPr>
            <a:ln w="1270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APPENDIX'!$BA$55:$BA$56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APPENDIX'!$BB$55:$BB$56</c:f>
              <c:numCache>
                <c:formatCode>0.0%</c:formatCode>
                <c:ptCount val="2"/>
                <c:pt idx="0">
                  <c:v>4.4999999999999998E-2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415-418C-9286-C24AD7A75E08}"/>
            </c:ext>
          </c:extLst>
        </c:ser>
        <c:ser>
          <c:idx val="9"/>
          <c:order val="9"/>
          <c:tx>
            <c:strRef>
              <c:f>'OPTIONAL FULL MODEL APPENDIX'!$BC$31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415-418C-9286-C24AD7A75E08}"/>
                </c:ext>
              </c:extLst>
            </c:dLbl>
            <c:dLbl>
              <c:idx val="1"/>
              <c:layout>
                <c:manualLayout>
                  <c:x val="-2.5000000000000112E-2"/>
                  <c:y val="4.4994375703037133E-3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415-418C-9286-C24AD7A75E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APPENDIX'!$BC$33:$BC$34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APPENDIX'!$BD$33:$BD$34</c:f>
              <c:numCache>
                <c:formatCode>0.00%</c:formatCode>
                <c:ptCount val="2"/>
                <c:pt idx="0" formatCode="0.0%">
                  <c:v>4.4999999999999998E-2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415-418C-9286-C24AD7A75E08}"/>
            </c:ext>
          </c:extLst>
        </c:ser>
        <c:ser>
          <c:idx val="10"/>
          <c:order val="10"/>
          <c:tx>
            <c:strRef>
              <c:f>'OPTIONAL FULL MODEL APPENDIX'!$BC$40</c:f>
              <c:strCache>
                <c:ptCount val="1"/>
                <c:pt idx="0">
                  <c:v>(i)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415-418C-9286-C24AD7A75E08}"/>
                </c:ext>
              </c:extLst>
            </c:dLbl>
            <c:dLbl>
              <c:idx val="1"/>
              <c:layout>
                <c:manualLayout>
                  <c:x val="-1.9444444444444545E-2"/>
                  <c:y val="1.799766900613248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415-418C-9286-C24AD7A75E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APPENDIX'!$BC$42:$BC$43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APPENDIX'!$BD$42:$BD$43</c:f>
              <c:numCache>
                <c:formatCode>0.0%</c:formatCode>
                <c:ptCount val="2"/>
                <c:pt idx="0">
                  <c:v>4.4999999999999998E-2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415-418C-9286-C24AD7A75E08}"/>
            </c:ext>
          </c:extLst>
        </c:ser>
        <c:ser>
          <c:idx val="11"/>
          <c:order val="11"/>
          <c:tx>
            <c:strRef>
              <c:f>'OPTIONAL FULL MODEL APPENDIX'!$BC$49</c:f>
              <c:strCache>
                <c:ptCount val="1"/>
                <c:pt idx="0">
                  <c:v>(ii)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415-418C-9286-C24AD7A75E08}"/>
                </c:ext>
              </c:extLst>
            </c:dLbl>
            <c:dLbl>
              <c:idx val="1"/>
              <c:layout>
                <c:manualLayout>
                  <c:x val="-4.1666666666666782E-2"/>
                  <c:y val="-5.161662775625505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415-418C-9286-C24AD7A75E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APPENDIX'!$BC$51:$BC$52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APPENDIX'!$BD$51:$BD$52</c:f>
              <c:numCache>
                <c:formatCode>0.0%</c:formatCode>
                <c:ptCount val="2"/>
                <c:pt idx="0">
                  <c:v>4.4999999999999998E-2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415-418C-9286-C24AD7A75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444312"/>
        <c:axId val="247206304"/>
      </c:scatterChart>
      <c:valAx>
        <c:axId val="377444312"/>
        <c:scaling>
          <c:orientation val="minMax"/>
          <c:max val="5.0000000000000024E-2"/>
          <c:min val="-5.0000000000000024E-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Output gap (in percent)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206304"/>
        <c:crossesAt val="-6.0000000000000032E-2"/>
        <c:crossBetween val="midCat"/>
      </c:valAx>
      <c:valAx>
        <c:axId val="247206304"/>
        <c:scaling>
          <c:orientation val="minMax"/>
          <c:max val="0.12000000000000001"/>
          <c:min val="1.0000000000000002E-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Inflation rate (in percent)</a:t>
                </a:r>
              </a:p>
            </c:rich>
          </c:tx>
          <c:overlay val="0"/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444312"/>
        <c:crossesAt val="-6.000000000000003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Exports and Real Exchange Rate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175371712199144"/>
          <c:y val="0.17206698237405921"/>
          <c:w val="0.78663604441325108"/>
          <c:h val="0.6219383274716572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'OPTIONAL FULL MODEL APPENDIX'!$BI$7:$BI$27</c:f>
              <c:numCache>
                <c:formatCode>0.0%</c:formatCode>
                <c:ptCount val="21"/>
                <c:pt idx="0">
                  <c:v>2.6412105632631716E-2</c:v>
                </c:pt>
                <c:pt idx="1">
                  <c:v>2.2228463316051432E-2</c:v>
                </c:pt>
                <c:pt idx="2">
                  <c:v>1.8065635140349902E-2</c:v>
                </c:pt>
                <c:pt idx="3">
                  <c:v>1.3923517552587042E-2</c:v>
                </c:pt>
                <c:pt idx="4">
                  <c:v>9.8020075150120692E-3</c:v>
                </c:pt>
                <c:pt idx="5">
                  <c:v>5.7010025024997087E-3</c:v>
                </c:pt>
                <c:pt idx="6">
                  <c:v>1.6204004999998654E-3</c:v>
                </c:pt>
                <c:pt idx="7">
                  <c:v>-2.4399000000000833E-3</c:v>
                </c:pt>
                <c:pt idx="8">
                  <c:v>-6.4800000000000083E-3</c:v>
                </c:pt>
                <c:pt idx="9">
                  <c:v>-1.0499999999999876E-2</c:v>
                </c:pt>
                <c:pt idx="10">
                  <c:v>-1.4499999999999791E-2</c:v>
                </c:pt>
                <c:pt idx="11">
                  <c:v>-1.8499999999999794E-2</c:v>
                </c:pt>
                <c:pt idx="12">
                  <c:v>-2.2479999999999847E-2</c:v>
                </c:pt>
                <c:pt idx="13">
                  <c:v>-2.6440099999999779E-2</c:v>
                </c:pt>
                <c:pt idx="14">
                  <c:v>-3.0380399499999832E-2</c:v>
                </c:pt>
                <c:pt idx="15">
                  <c:v>-3.4300997502499903E-2</c:v>
                </c:pt>
                <c:pt idx="16">
                  <c:v>-3.8201992514987473E-2</c:v>
                </c:pt>
                <c:pt idx="17">
                  <c:v>-4.2083482552412399E-2</c:v>
                </c:pt>
                <c:pt idx="18">
                  <c:v>-4.5945565139650417E-2</c:v>
                </c:pt>
                <c:pt idx="19">
                  <c:v>-4.9788337313952193E-2</c:v>
                </c:pt>
                <c:pt idx="20">
                  <c:v>-5.3611895627382389E-2</c:v>
                </c:pt>
              </c:numCache>
            </c:numRef>
          </c:xVal>
          <c:yVal>
            <c:numRef>
              <c:f>'OPTIONAL FULL MODEL APPENDIX'!$BG$7:$BG$27</c:f>
              <c:numCache>
                <c:formatCode>0.0</c:formatCode>
                <c:ptCount val="21"/>
                <c:pt idx="0">
                  <c:v>105.11401320407893</c:v>
                </c:pt>
                <c:pt idx="1">
                  <c:v>104.59105791450641</c:v>
                </c:pt>
                <c:pt idx="2">
                  <c:v>104.0707043925437</c:v>
                </c:pt>
                <c:pt idx="3">
                  <c:v>103.55293969407334</c:v>
                </c:pt>
                <c:pt idx="4">
                  <c:v>103.03775093937648</c:v>
                </c:pt>
                <c:pt idx="5">
                  <c:v>102.52512531281243</c:v>
                </c:pt>
                <c:pt idx="6">
                  <c:v>102.01505006249995</c:v>
                </c:pt>
                <c:pt idx="7">
                  <c:v>101.50751249999996</c:v>
                </c:pt>
                <c:pt idx="8">
                  <c:v>101.00249999999997</c:v>
                </c:pt>
                <c:pt idx="9">
                  <c:v>100.49999999999999</c:v>
                </c:pt>
                <c:pt idx="10">
                  <c:v>100</c:v>
                </c:pt>
                <c:pt idx="11">
                  <c:v>99.5</c:v>
                </c:pt>
                <c:pt idx="12">
                  <c:v>99.002499999999998</c:v>
                </c:pt>
                <c:pt idx="13">
                  <c:v>98.507487499999996</c:v>
                </c:pt>
                <c:pt idx="14">
                  <c:v>98.014950062499992</c:v>
                </c:pt>
                <c:pt idx="15">
                  <c:v>97.52487531218749</c:v>
                </c:pt>
                <c:pt idx="16">
                  <c:v>97.037250935626545</c:v>
                </c:pt>
                <c:pt idx="17">
                  <c:v>96.552064680948419</c:v>
                </c:pt>
                <c:pt idx="18">
                  <c:v>96.069304357543672</c:v>
                </c:pt>
                <c:pt idx="19">
                  <c:v>95.588957835755949</c:v>
                </c:pt>
                <c:pt idx="20">
                  <c:v>95.11101304657717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A6-4CE5-9E32-8FC549A68C33}"/>
            </c:ext>
          </c:extLst>
        </c:ser>
        <c:ser>
          <c:idx val="1"/>
          <c:order val="1"/>
          <c:spPr>
            <a:ln>
              <a:solidFill>
                <a:schemeClr val="accent2">
                  <a:lumMod val="75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APPENDIX'!$BK$7:$BK$27</c:f>
              <c:numCache>
                <c:formatCode>0.0%</c:formatCode>
                <c:ptCount val="21"/>
                <c:pt idx="0">
                  <c:v>2.6412105632631716E-2</c:v>
                </c:pt>
                <c:pt idx="1">
                  <c:v>2.2228463316051432E-2</c:v>
                </c:pt>
                <c:pt idx="2">
                  <c:v>1.8065635140349902E-2</c:v>
                </c:pt>
                <c:pt idx="3">
                  <c:v>1.3923517552587042E-2</c:v>
                </c:pt>
                <c:pt idx="4">
                  <c:v>9.8020075150120692E-3</c:v>
                </c:pt>
                <c:pt idx="5">
                  <c:v>5.7010025024997087E-3</c:v>
                </c:pt>
                <c:pt idx="6">
                  <c:v>1.6204004999998654E-3</c:v>
                </c:pt>
                <c:pt idx="7">
                  <c:v>-2.4399000000000833E-3</c:v>
                </c:pt>
                <c:pt idx="8">
                  <c:v>-6.4800000000000083E-3</c:v>
                </c:pt>
                <c:pt idx="9">
                  <c:v>-1.0499999999999876E-2</c:v>
                </c:pt>
                <c:pt idx="10">
                  <c:v>-1.4499999999999791E-2</c:v>
                </c:pt>
                <c:pt idx="11">
                  <c:v>-1.8499999999999794E-2</c:v>
                </c:pt>
                <c:pt idx="12">
                  <c:v>-2.2479999999999847E-2</c:v>
                </c:pt>
                <c:pt idx="13">
                  <c:v>-2.6440099999999779E-2</c:v>
                </c:pt>
                <c:pt idx="14">
                  <c:v>-3.0380399499999832E-2</c:v>
                </c:pt>
                <c:pt idx="15">
                  <c:v>-3.4300997502499903E-2</c:v>
                </c:pt>
                <c:pt idx="16">
                  <c:v>-3.8201992514987473E-2</c:v>
                </c:pt>
                <c:pt idx="17">
                  <c:v>-4.2083482552412399E-2</c:v>
                </c:pt>
                <c:pt idx="18">
                  <c:v>-4.5945565139650417E-2</c:v>
                </c:pt>
                <c:pt idx="19">
                  <c:v>-4.9788337313952193E-2</c:v>
                </c:pt>
                <c:pt idx="20">
                  <c:v>-5.3611895627382389E-2</c:v>
                </c:pt>
              </c:numCache>
            </c:numRef>
          </c:xVal>
          <c:yVal>
            <c:numRef>
              <c:f>'OPTIONAL FULL MODEL APPENDIX'!$BG$7:$BG$27</c:f>
              <c:numCache>
                <c:formatCode>0.0</c:formatCode>
                <c:ptCount val="21"/>
                <c:pt idx="0">
                  <c:v>105.11401320407893</c:v>
                </c:pt>
                <c:pt idx="1">
                  <c:v>104.59105791450641</c:v>
                </c:pt>
                <c:pt idx="2">
                  <c:v>104.0707043925437</c:v>
                </c:pt>
                <c:pt idx="3">
                  <c:v>103.55293969407334</c:v>
                </c:pt>
                <c:pt idx="4">
                  <c:v>103.03775093937648</c:v>
                </c:pt>
                <c:pt idx="5">
                  <c:v>102.52512531281243</c:v>
                </c:pt>
                <c:pt idx="6">
                  <c:v>102.01505006249995</c:v>
                </c:pt>
                <c:pt idx="7">
                  <c:v>101.50751249999996</c:v>
                </c:pt>
                <c:pt idx="8">
                  <c:v>101.00249999999997</c:v>
                </c:pt>
                <c:pt idx="9">
                  <c:v>100.49999999999999</c:v>
                </c:pt>
                <c:pt idx="10">
                  <c:v>100</c:v>
                </c:pt>
                <c:pt idx="11">
                  <c:v>99.5</c:v>
                </c:pt>
                <c:pt idx="12">
                  <c:v>99.002499999999998</c:v>
                </c:pt>
                <c:pt idx="13">
                  <c:v>98.507487499999996</c:v>
                </c:pt>
                <c:pt idx="14">
                  <c:v>98.014950062499992</c:v>
                </c:pt>
                <c:pt idx="15">
                  <c:v>97.52487531218749</c:v>
                </c:pt>
                <c:pt idx="16">
                  <c:v>97.037250935626545</c:v>
                </c:pt>
                <c:pt idx="17">
                  <c:v>96.552064680948419</c:v>
                </c:pt>
                <c:pt idx="18">
                  <c:v>96.069304357543672</c:v>
                </c:pt>
                <c:pt idx="19">
                  <c:v>95.588957835755949</c:v>
                </c:pt>
                <c:pt idx="20">
                  <c:v>95.11101304657717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A6-4CE5-9E32-8FC549A68C33}"/>
            </c:ext>
          </c:extLst>
        </c:ser>
        <c:ser>
          <c:idx val="2"/>
          <c:order val="2"/>
          <c:spPr>
            <a:ln>
              <a:solidFill>
                <a:schemeClr val="accent2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'OPTIONAL FULL MODEL APPENDIX'!$BM$7:$BM$27</c:f>
              <c:numCache>
                <c:formatCode>0.0%</c:formatCode>
                <c:ptCount val="21"/>
                <c:pt idx="0">
                  <c:v>2.6412105632631716E-2</c:v>
                </c:pt>
                <c:pt idx="1">
                  <c:v>2.2228463316051432E-2</c:v>
                </c:pt>
                <c:pt idx="2">
                  <c:v>1.8065635140349902E-2</c:v>
                </c:pt>
                <c:pt idx="3">
                  <c:v>1.3923517552587042E-2</c:v>
                </c:pt>
                <c:pt idx="4">
                  <c:v>9.8020075150120692E-3</c:v>
                </c:pt>
                <c:pt idx="5">
                  <c:v>5.7010025024997087E-3</c:v>
                </c:pt>
                <c:pt idx="6">
                  <c:v>1.6204004999998654E-3</c:v>
                </c:pt>
                <c:pt idx="7">
                  <c:v>-2.4399000000000833E-3</c:v>
                </c:pt>
                <c:pt idx="8">
                  <c:v>-6.4800000000000083E-3</c:v>
                </c:pt>
                <c:pt idx="9">
                  <c:v>-1.0499999999999876E-2</c:v>
                </c:pt>
                <c:pt idx="10">
                  <c:v>-1.4499999999999791E-2</c:v>
                </c:pt>
                <c:pt idx="11">
                  <c:v>-1.8499999999999794E-2</c:v>
                </c:pt>
                <c:pt idx="12">
                  <c:v>-2.2479999999999847E-2</c:v>
                </c:pt>
                <c:pt idx="13">
                  <c:v>-2.6440099999999779E-2</c:v>
                </c:pt>
                <c:pt idx="14">
                  <c:v>-3.0380399499999832E-2</c:v>
                </c:pt>
                <c:pt idx="15">
                  <c:v>-3.4300997502499903E-2</c:v>
                </c:pt>
                <c:pt idx="16">
                  <c:v>-3.8201992514987473E-2</c:v>
                </c:pt>
                <c:pt idx="17">
                  <c:v>-4.2083482552412399E-2</c:v>
                </c:pt>
                <c:pt idx="18">
                  <c:v>-4.5945565139650417E-2</c:v>
                </c:pt>
                <c:pt idx="19">
                  <c:v>-4.9788337313952193E-2</c:v>
                </c:pt>
                <c:pt idx="20">
                  <c:v>-5.3611895627382389E-2</c:v>
                </c:pt>
              </c:numCache>
            </c:numRef>
          </c:xVal>
          <c:yVal>
            <c:numRef>
              <c:f>'OPTIONAL FULL MODEL APPENDIX'!$BG$7:$BG$27</c:f>
              <c:numCache>
                <c:formatCode>0.0</c:formatCode>
                <c:ptCount val="21"/>
                <c:pt idx="0">
                  <c:v>105.11401320407893</c:v>
                </c:pt>
                <c:pt idx="1">
                  <c:v>104.59105791450641</c:v>
                </c:pt>
                <c:pt idx="2">
                  <c:v>104.0707043925437</c:v>
                </c:pt>
                <c:pt idx="3">
                  <c:v>103.55293969407334</c:v>
                </c:pt>
                <c:pt idx="4">
                  <c:v>103.03775093937648</c:v>
                </c:pt>
                <c:pt idx="5">
                  <c:v>102.52512531281243</c:v>
                </c:pt>
                <c:pt idx="6">
                  <c:v>102.01505006249995</c:v>
                </c:pt>
                <c:pt idx="7">
                  <c:v>101.50751249999996</c:v>
                </c:pt>
                <c:pt idx="8">
                  <c:v>101.00249999999997</c:v>
                </c:pt>
                <c:pt idx="9">
                  <c:v>100.49999999999999</c:v>
                </c:pt>
                <c:pt idx="10">
                  <c:v>100</c:v>
                </c:pt>
                <c:pt idx="11">
                  <c:v>99.5</c:v>
                </c:pt>
                <c:pt idx="12">
                  <c:v>99.002499999999998</c:v>
                </c:pt>
                <c:pt idx="13">
                  <c:v>98.507487499999996</c:v>
                </c:pt>
                <c:pt idx="14">
                  <c:v>98.014950062499992</c:v>
                </c:pt>
                <c:pt idx="15">
                  <c:v>97.52487531218749</c:v>
                </c:pt>
                <c:pt idx="16">
                  <c:v>97.037250935626545</c:v>
                </c:pt>
                <c:pt idx="17">
                  <c:v>96.552064680948419</c:v>
                </c:pt>
                <c:pt idx="18">
                  <c:v>96.069304357543672</c:v>
                </c:pt>
                <c:pt idx="19">
                  <c:v>95.588957835755949</c:v>
                </c:pt>
                <c:pt idx="20">
                  <c:v>95.11101304657717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A6-4CE5-9E32-8FC549A68C33}"/>
            </c:ext>
          </c:extLst>
        </c:ser>
        <c:ser>
          <c:idx val="3"/>
          <c:order val="3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APPENDIX'!$BI$33:$BI$34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APPENDIX'!$BJ$33:$BJ$34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A6-4CE5-9E32-8FC549A68C33}"/>
            </c:ext>
          </c:extLst>
        </c:ser>
        <c:ser>
          <c:idx val="4"/>
          <c:order val="4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APPENDIX'!$BK$33:$BK$34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APPENDIX'!$BL$33:$BL$34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A6-4CE5-9E32-8FC549A68C33}"/>
            </c:ext>
          </c:extLst>
        </c:ser>
        <c:ser>
          <c:idx val="5"/>
          <c:order val="5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APPENDIX'!$BI$42:$BI$43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APPENDIX'!$BJ$42:$BJ$43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DA6-4CE5-9E32-8FC549A68C33}"/>
            </c:ext>
          </c:extLst>
        </c:ser>
        <c:ser>
          <c:idx val="6"/>
          <c:order val="6"/>
          <c:spPr>
            <a:ln w="12700">
              <a:solidFill>
                <a:prstClr val="black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APPENDIX'!$BK$42:$BK$43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APPENDIX'!$BL$42:$BL$43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DA6-4CE5-9E32-8FC549A68C33}"/>
            </c:ext>
          </c:extLst>
        </c:ser>
        <c:ser>
          <c:idx val="7"/>
          <c:order val="7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APPENDIX'!$BI$52:$BI$53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APPENDIX'!$BJ$52:$BJ$53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DA6-4CE5-9E32-8FC549A68C33}"/>
            </c:ext>
          </c:extLst>
        </c:ser>
        <c:ser>
          <c:idx val="8"/>
          <c:order val="8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APPENDIX'!$BK$52:$BK$53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APPENDIX'!$BL$52:$BL$53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DA6-4CE5-9E32-8FC549A68C33}"/>
            </c:ext>
          </c:extLst>
        </c:ser>
        <c:ser>
          <c:idx val="9"/>
          <c:order val="9"/>
          <c:tx>
            <c:strRef>
              <c:f>'OPTIONAL FULL MODEL APPENDIX'!$BI$31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DA6-4CE5-9E32-8FC549A68C33}"/>
                </c:ext>
              </c:extLst>
            </c:dLbl>
            <c:dLbl>
              <c:idx val="1"/>
              <c:layout>
                <c:manualLayout>
                  <c:x val="-1.3949161347862428E-2"/>
                  <c:y val="4.6391745045580805E-3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DA6-4CE5-9E32-8FC549A68C3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APPENDIX'!$BI$36:$BI$37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APPENDIX'!$BJ$36:$BJ$37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DA6-4CE5-9E32-8FC549A68C33}"/>
            </c:ext>
          </c:extLst>
        </c:ser>
        <c:ser>
          <c:idx val="10"/>
          <c:order val="10"/>
          <c:tx>
            <c:strRef>
              <c:f>'OPTIONAL FULL MODEL APPENDIX'!$BI$40</c:f>
              <c:strCache>
                <c:ptCount val="1"/>
                <c:pt idx="0">
                  <c:v>(i)</c:v>
                </c:pt>
              </c:strCache>
            </c:strRef>
          </c:tx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DA6-4CE5-9E32-8FC549A68C3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APPENDIX'!$BI$45:$BI$46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APPENDIX'!$BJ$45:$BJ$46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DA6-4CE5-9E32-8FC549A68C33}"/>
            </c:ext>
          </c:extLst>
        </c:ser>
        <c:ser>
          <c:idx val="11"/>
          <c:order val="11"/>
          <c:tx>
            <c:strRef>
              <c:f>'OPTIONAL FULL MODEL APPENDIX'!$BI$50</c:f>
              <c:strCache>
                <c:ptCount val="1"/>
                <c:pt idx="0">
                  <c:v>(ii)</c:v>
                </c:pt>
              </c:strCache>
            </c:strRef>
          </c:tx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DA6-4CE5-9E32-8FC549A68C33}"/>
                </c:ext>
              </c:extLst>
            </c:dLbl>
            <c:dLbl>
              <c:idx val="1"/>
              <c:layout>
                <c:manualLayout>
                  <c:x val="-1.952904555883965E-2"/>
                  <c:y val="3.247385624257549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DA6-4CE5-9E32-8FC549A68C3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APPENDIX'!$BI$55:$BI$56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APPENDIX'!$BJ$55:$BJ$56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DA6-4CE5-9E32-8FC549A68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139744"/>
        <c:axId val="481138568"/>
      </c:scatterChart>
      <c:valAx>
        <c:axId val="481139744"/>
        <c:scaling>
          <c:orientation val="minMax"/>
          <c:max val="3.0000000000000006E-2"/>
          <c:min val="-7.0000000000000021E-2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Net exports (in percent of potential</a:t>
                </a:r>
                <a:r>
                  <a:rPr lang="en-US" b="0" baseline="0"/>
                  <a:t> output)</a:t>
                </a:r>
                <a:endParaRPr lang="en-US" b="0"/>
              </a:p>
            </c:rich>
          </c:tx>
          <c:layout>
            <c:manualLayout>
              <c:xMode val="edge"/>
              <c:yMode val="edge"/>
              <c:x val="0.26931171364306933"/>
              <c:y val="0.88770844250717507"/>
            </c:manualLayout>
          </c:layout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38568"/>
        <c:crosses val="autoZero"/>
        <c:crossBetween val="midCat"/>
      </c:valAx>
      <c:valAx>
        <c:axId val="481138568"/>
        <c:scaling>
          <c:orientation val="minMax"/>
          <c:max val="106"/>
          <c:min val="9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 sz="800" b="0"/>
                  <a:t>Real exchange rate index </a:t>
                </a:r>
              </a:p>
              <a:p>
                <a:pPr>
                  <a:defRPr sz="800" b="0"/>
                </a:pPr>
                <a:r>
                  <a:rPr lang="en-US" sz="800" b="0"/>
                  <a:t>(app -, base=100)</a:t>
                </a:r>
              </a:p>
            </c:rich>
          </c:tx>
          <c:layout>
            <c:manualLayout>
              <c:xMode val="edge"/>
              <c:yMode val="edge"/>
              <c:x val="3.361261807752884E-3"/>
              <c:y val="0.26151886697507193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39744"/>
        <c:crossesAt val="-7.0000000000000021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IS/RR Curve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APPENDIX'!$AK$7:$AK$27</c:f>
              <c:numCache>
                <c:formatCode>0.00%</c:formatCode>
                <c:ptCount val="21"/>
                <c:pt idx="0">
                  <c:v>-2.7909090909090901E-2</c:v>
                </c:pt>
                <c:pt idx="1">
                  <c:v>-2.3118181818181812E-2</c:v>
                </c:pt>
                <c:pt idx="2">
                  <c:v>-1.8327272727272723E-2</c:v>
                </c:pt>
                <c:pt idx="3">
                  <c:v>-1.3536363636363642E-2</c:v>
                </c:pt>
                <c:pt idx="4">
                  <c:v>-8.7454545454545458E-3</c:v>
                </c:pt>
                <c:pt idx="5">
                  <c:v>-3.9545454545454536E-3</c:v>
                </c:pt>
                <c:pt idx="6">
                  <c:v>8.3636363636363856E-4</c:v>
                </c:pt>
                <c:pt idx="7">
                  <c:v>5.6272727272727273E-3</c:v>
                </c:pt>
                <c:pt idx="8">
                  <c:v>1.0418181818181819E-2</c:v>
                </c:pt>
                <c:pt idx="9">
                  <c:v>1.520909090909091E-2</c:v>
                </c:pt>
                <c:pt idx="10" formatCode="0.0%">
                  <c:v>0.02</c:v>
                </c:pt>
                <c:pt idx="11">
                  <c:v>2.4790909090909093E-2</c:v>
                </c:pt>
                <c:pt idx="12">
                  <c:v>2.9581818181818181E-2</c:v>
                </c:pt>
                <c:pt idx="13">
                  <c:v>3.4372727272727277E-2</c:v>
                </c:pt>
                <c:pt idx="14">
                  <c:v>3.9163636363636359E-2</c:v>
                </c:pt>
                <c:pt idx="15">
                  <c:v>4.3954545454545454E-2</c:v>
                </c:pt>
                <c:pt idx="16">
                  <c:v>4.874545454545455E-2</c:v>
                </c:pt>
                <c:pt idx="17">
                  <c:v>5.3536363636363646E-2</c:v>
                </c:pt>
                <c:pt idx="18">
                  <c:v>5.8327272727272728E-2</c:v>
                </c:pt>
                <c:pt idx="19">
                  <c:v>6.3118181818181809E-2</c:v>
                </c:pt>
                <c:pt idx="20">
                  <c:v>6.7909090909090905E-2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ED-4F4E-99C6-1E6D3275271B}"/>
            </c:ext>
          </c:extLst>
        </c:ser>
        <c:ser>
          <c:idx val="1"/>
          <c:order val="1"/>
          <c:spPr>
            <a:ln w="1905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APPENDIX'!$AM$7:$AM$27</c:f>
              <c:numCache>
                <c:formatCode>0.00%</c:formatCode>
                <c:ptCount val="21"/>
                <c:pt idx="0">
                  <c:v>-2.7909090909090901E-2</c:v>
                </c:pt>
                <c:pt idx="1">
                  <c:v>-2.3118181818181812E-2</c:v>
                </c:pt>
                <c:pt idx="2">
                  <c:v>-1.8327272727272723E-2</c:v>
                </c:pt>
                <c:pt idx="3">
                  <c:v>-1.3536363636363642E-2</c:v>
                </c:pt>
                <c:pt idx="4">
                  <c:v>-8.7454545454545458E-3</c:v>
                </c:pt>
                <c:pt idx="5">
                  <c:v>-3.9545454545454536E-3</c:v>
                </c:pt>
                <c:pt idx="6">
                  <c:v>8.3636363636363856E-4</c:v>
                </c:pt>
                <c:pt idx="7">
                  <c:v>5.6272727272727273E-3</c:v>
                </c:pt>
                <c:pt idx="8">
                  <c:v>1.0418181818181819E-2</c:v>
                </c:pt>
                <c:pt idx="9">
                  <c:v>1.520909090909091E-2</c:v>
                </c:pt>
                <c:pt idx="10" formatCode="0.0%">
                  <c:v>0.02</c:v>
                </c:pt>
                <c:pt idx="11">
                  <c:v>2.4790909090909093E-2</c:v>
                </c:pt>
                <c:pt idx="12">
                  <c:v>2.9581818181818181E-2</c:v>
                </c:pt>
                <c:pt idx="13">
                  <c:v>3.4372727272727277E-2</c:v>
                </c:pt>
                <c:pt idx="14">
                  <c:v>3.9163636363636359E-2</c:v>
                </c:pt>
                <c:pt idx="15">
                  <c:v>4.3954545454545454E-2</c:v>
                </c:pt>
                <c:pt idx="16">
                  <c:v>4.874545454545455E-2</c:v>
                </c:pt>
                <c:pt idx="17">
                  <c:v>5.3536363636363646E-2</c:v>
                </c:pt>
                <c:pt idx="18">
                  <c:v>5.8327272727272728E-2</c:v>
                </c:pt>
                <c:pt idx="19">
                  <c:v>6.3118181818181809E-2</c:v>
                </c:pt>
                <c:pt idx="20">
                  <c:v>6.7909090909090905E-2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ED-4F4E-99C6-1E6D3275271B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APPENDIX'!$AO$7:$AO$27</c:f>
              <c:numCache>
                <c:formatCode>0.00%</c:formatCode>
                <c:ptCount val="21"/>
                <c:pt idx="0">
                  <c:v>-2.7909090909090901E-2</c:v>
                </c:pt>
                <c:pt idx="1">
                  <c:v>-2.3118181818181812E-2</c:v>
                </c:pt>
                <c:pt idx="2">
                  <c:v>-1.8327272727272723E-2</c:v>
                </c:pt>
                <c:pt idx="3">
                  <c:v>-1.3536363636363642E-2</c:v>
                </c:pt>
                <c:pt idx="4">
                  <c:v>-8.7454545454545458E-3</c:v>
                </c:pt>
                <c:pt idx="5">
                  <c:v>-3.9545454545454536E-3</c:v>
                </c:pt>
                <c:pt idx="6">
                  <c:v>8.3636363636363856E-4</c:v>
                </c:pt>
                <c:pt idx="7">
                  <c:v>5.6272727272727273E-3</c:v>
                </c:pt>
                <c:pt idx="8">
                  <c:v>1.0418181818181819E-2</c:v>
                </c:pt>
                <c:pt idx="9">
                  <c:v>1.520909090909091E-2</c:v>
                </c:pt>
                <c:pt idx="10" formatCode="0.0%">
                  <c:v>0.02</c:v>
                </c:pt>
                <c:pt idx="11">
                  <c:v>2.4790909090909093E-2</c:v>
                </c:pt>
                <c:pt idx="12">
                  <c:v>2.9581818181818181E-2</c:v>
                </c:pt>
                <c:pt idx="13">
                  <c:v>3.4372727272727277E-2</c:v>
                </c:pt>
                <c:pt idx="14">
                  <c:v>3.9163636363636359E-2</c:v>
                </c:pt>
                <c:pt idx="15">
                  <c:v>4.3954545454545454E-2</c:v>
                </c:pt>
                <c:pt idx="16">
                  <c:v>4.874545454545455E-2</c:v>
                </c:pt>
                <c:pt idx="17">
                  <c:v>5.3536363636363646E-2</c:v>
                </c:pt>
                <c:pt idx="18">
                  <c:v>5.8327272727272728E-2</c:v>
                </c:pt>
                <c:pt idx="19">
                  <c:v>6.3118181818181809E-2</c:v>
                </c:pt>
                <c:pt idx="20">
                  <c:v>6.7909090909090905E-2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ED-4F4E-99C6-1E6D3275271B}"/>
            </c:ext>
          </c:extLst>
        </c:ser>
        <c:ser>
          <c:idx val="3"/>
          <c:order val="3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APPENDIX'!$AR$7:$AR$27</c:f>
              <c:numCache>
                <c:formatCode>0.0%</c:formatCode>
                <c:ptCount val="21"/>
                <c:pt idx="0">
                  <c:v>5.4999999999999993E-2</c:v>
                </c:pt>
                <c:pt idx="1">
                  <c:v>5.1500000000000004E-2</c:v>
                </c:pt>
                <c:pt idx="2">
                  <c:v>4.8000000000000001E-2</c:v>
                </c:pt>
                <c:pt idx="3">
                  <c:v>4.4499999999999998E-2</c:v>
                </c:pt>
                <c:pt idx="4">
                  <c:v>4.1000000000000002E-2</c:v>
                </c:pt>
                <c:pt idx="5">
                  <c:v>3.7499999999999999E-2</c:v>
                </c:pt>
                <c:pt idx="6">
                  <c:v>3.4000000000000002E-2</c:v>
                </c:pt>
                <c:pt idx="7">
                  <c:v>3.0499999999999999E-2</c:v>
                </c:pt>
                <c:pt idx="8">
                  <c:v>2.7E-2</c:v>
                </c:pt>
                <c:pt idx="9">
                  <c:v>2.35E-2</c:v>
                </c:pt>
                <c:pt idx="10">
                  <c:v>0.02</c:v>
                </c:pt>
                <c:pt idx="11">
                  <c:v>1.6500000000000001E-2</c:v>
                </c:pt>
                <c:pt idx="12">
                  <c:v>1.3000000000000001E-2</c:v>
                </c:pt>
                <c:pt idx="13">
                  <c:v>9.5000000000000015E-3</c:v>
                </c:pt>
                <c:pt idx="14">
                  <c:v>6.0000000000000019E-3</c:v>
                </c:pt>
                <c:pt idx="15">
                  <c:v>2.5000000000000022E-3</c:v>
                </c:pt>
                <c:pt idx="16">
                  <c:v>-1.0000000000000009E-3</c:v>
                </c:pt>
                <c:pt idx="17">
                  <c:v>-4.5000000000000005E-3</c:v>
                </c:pt>
                <c:pt idx="18">
                  <c:v>-7.9999999999999967E-3</c:v>
                </c:pt>
                <c:pt idx="19">
                  <c:v>-1.15E-2</c:v>
                </c:pt>
                <c:pt idx="20">
                  <c:v>-1.4999999999999996E-2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ED-4F4E-99C6-1E6D3275271B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APPENDIX'!$AT$7:$AT$27</c:f>
              <c:numCache>
                <c:formatCode>0.0%</c:formatCode>
                <c:ptCount val="21"/>
                <c:pt idx="0">
                  <c:v>5.4999999999999993E-2</c:v>
                </c:pt>
                <c:pt idx="1">
                  <c:v>5.1500000000000004E-2</c:v>
                </c:pt>
                <c:pt idx="2">
                  <c:v>4.8000000000000001E-2</c:v>
                </c:pt>
                <c:pt idx="3">
                  <c:v>4.4499999999999998E-2</c:v>
                </c:pt>
                <c:pt idx="4">
                  <c:v>4.1000000000000002E-2</c:v>
                </c:pt>
                <c:pt idx="5">
                  <c:v>3.7499999999999999E-2</c:v>
                </c:pt>
                <c:pt idx="6">
                  <c:v>3.4000000000000002E-2</c:v>
                </c:pt>
                <c:pt idx="7">
                  <c:v>3.0499999999999999E-2</c:v>
                </c:pt>
                <c:pt idx="8">
                  <c:v>2.7E-2</c:v>
                </c:pt>
                <c:pt idx="9">
                  <c:v>2.35E-2</c:v>
                </c:pt>
                <c:pt idx="10">
                  <c:v>0.02</c:v>
                </c:pt>
                <c:pt idx="11">
                  <c:v>1.6500000000000001E-2</c:v>
                </c:pt>
                <c:pt idx="12">
                  <c:v>1.3000000000000001E-2</c:v>
                </c:pt>
                <c:pt idx="13">
                  <c:v>9.5000000000000015E-3</c:v>
                </c:pt>
                <c:pt idx="14">
                  <c:v>6.0000000000000019E-3</c:v>
                </c:pt>
                <c:pt idx="15">
                  <c:v>2.5000000000000022E-3</c:v>
                </c:pt>
                <c:pt idx="16">
                  <c:v>-1.0000000000000009E-3</c:v>
                </c:pt>
                <c:pt idx="17">
                  <c:v>-4.5000000000000005E-3</c:v>
                </c:pt>
                <c:pt idx="18">
                  <c:v>-7.9999999999999967E-3</c:v>
                </c:pt>
                <c:pt idx="19">
                  <c:v>-1.15E-2</c:v>
                </c:pt>
                <c:pt idx="20">
                  <c:v>-1.4999999999999996E-2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ED-4F4E-99C6-1E6D3275271B}"/>
            </c:ext>
          </c:extLst>
        </c:ser>
        <c:ser>
          <c:idx val="5"/>
          <c:order val="5"/>
          <c:spPr>
            <a:ln w="1905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APPENDIX'!$AV$7:$AV$27</c:f>
              <c:numCache>
                <c:formatCode>0.0%</c:formatCode>
                <c:ptCount val="21"/>
                <c:pt idx="0">
                  <c:v>5.4999999999999993E-2</c:v>
                </c:pt>
                <c:pt idx="1">
                  <c:v>5.1500000000000004E-2</c:v>
                </c:pt>
                <c:pt idx="2">
                  <c:v>4.8000000000000001E-2</c:v>
                </c:pt>
                <c:pt idx="3">
                  <c:v>4.4499999999999998E-2</c:v>
                </c:pt>
                <c:pt idx="4">
                  <c:v>4.1000000000000002E-2</c:v>
                </c:pt>
                <c:pt idx="5">
                  <c:v>3.7499999999999999E-2</c:v>
                </c:pt>
                <c:pt idx="6">
                  <c:v>3.4000000000000002E-2</c:v>
                </c:pt>
                <c:pt idx="7">
                  <c:v>3.0499999999999999E-2</c:v>
                </c:pt>
                <c:pt idx="8">
                  <c:v>2.7E-2</c:v>
                </c:pt>
                <c:pt idx="9">
                  <c:v>2.35E-2</c:v>
                </c:pt>
                <c:pt idx="10">
                  <c:v>0.02</c:v>
                </c:pt>
                <c:pt idx="11">
                  <c:v>1.6500000000000001E-2</c:v>
                </c:pt>
                <c:pt idx="12">
                  <c:v>1.3000000000000001E-2</c:v>
                </c:pt>
                <c:pt idx="13">
                  <c:v>9.5000000000000015E-3</c:v>
                </c:pt>
                <c:pt idx="14">
                  <c:v>6.0000000000000019E-3</c:v>
                </c:pt>
                <c:pt idx="15">
                  <c:v>2.5000000000000022E-3</c:v>
                </c:pt>
                <c:pt idx="16">
                  <c:v>-1.0000000000000009E-3</c:v>
                </c:pt>
                <c:pt idx="17">
                  <c:v>-4.5000000000000005E-3</c:v>
                </c:pt>
                <c:pt idx="18">
                  <c:v>-7.9999999999999967E-3</c:v>
                </c:pt>
                <c:pt idx="19">
                  <c:v>-1.15E-2</c:v>
                </c:pt>
                <c:pt idx="20">
                  <c:v>-1.4999999999999996E-2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ED-4F4E-99C6-1E6D3275271B}"/>
            </c:ext>
          </c:extLst>
        </c:ser>
        <c:ser>
          <c:idx val="6"/>
          <c:order val="6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APPENDIX'!$AK$33:$AK$34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APPENDIX'!$AL$33:$AL$34</c:f>
              <c:numCache>
                <c:formatCode>0.0%</c:formatCode>
                <c:ptCount val="2"/>
                <c:pt idx="0">
                  <c:v>-0.1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ED-4F4E-99C6-1E6D3275271B}"/>
            </c:ext>
          </c:extLst>
        </c:ser>
        <c:ser>
          <c:idx val="7"/>
          <c:order val="7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APPENDIX'!$AK$37:$AK$38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APPENDIX'!$AL$37:$AL$38</c:f>
              <c:numCache>
                <c:formatCode>0.0%</c:formatCode>
                <c:ptCount val="2"/>
                <c:pt idx="0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ED-4F4E-99C6-1E6D3275271B}"/>
            </c:ext>
          </c:extLst>
        </c:ser>
        <c:ser>
          <c:idx val="8"/>
          <c:order val="8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APPENDIX'!$AK$42:$AK$43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APPENDIX'!$AL$42:$AL$43</c:f>
              <c:numCache>
                <c:formatCode>0.0%</c:formatCode>
                <c:ptCount val="2"/>
                <c:pt idx="0">
                  <c:v>-0.1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ED-4F4E-99C6-1E6D3275271B}"/>
            </c:ext>
          </c:extLst>
        </c:ser>
        <c:ser>
          <c:idx val="9"/>
          <c:order val="9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APPENDIX'!$AK$46:$AK$47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APPENDIX'!$AL$46:$AL$47</c:f>
              <c:numCache>
                <c:formatCode>0.0%</c:formatCode>
                <c:ptCount val="2"/>
                <c:pt idx="0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0ED-4F4E-99C6-1E6D3275271B}"/>
            </c:ext>
          </c:extLst>
        </c:ser>
        <c:ser>
          <c:idx val="10"/>
          <c:order val="10"/>
          <c:spPr>
            <a:ln w="1270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APPENDIX'!$AK$51:$AK$52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APPENDIX'!$AL$51:$AL$52</c:f>
              <c:numCache>
                <c:formatCode>0.0%</c:formatCode>
                <c:ptCount val="2"/>
                <c:pt idx="0">
                  <c:v>-0.1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0ED-4F4E-99C6-1E6D3275271B}"/>
            </c:ext>
          </c:extLst>
        </c:ser>
        <c:ser>
          <c:idx val="11"/>
          <c:order val="11"/>
          <c:spPr>
            <a:ln w="1270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APPENDIX'!$AK$55:$AK$56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APPENDIX'!$AL$55:$AL$56</c:f>
              <c:numCache>
                <c:formatCode>0.0%</c:formatCode>
                <c:ptCount val="2"/>
                <c:pt idx="0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0ED-4F4E-99C6-1E6D3275271B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'OPTIONAL FULL MODEL APPENDIX'!$AM$33:$AM$34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APPENDIX'!$AN$33:$AN$34</c:f>
              <c:numCache>
                <c:formatCode>0.00%</c:formatCode>
                <c:ptCount val="2"/>
                <c:pt idx="0" formatCode="0.0%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0ED-4F4E-99C6-1E6D3275271B}"/>
            </c:ext>
          </c:extLst>
        </c:ser>
        <c:ser>
          <c:idx val="13"/>
          <c:order val="13"/>
          <c:tx>
            <c:strRef>
              <c:f>'OPTIONAL FULL MODEL APPENDIX'!$AM$31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0ED-4F4E-99C6-1E6D3275271B}"/>
                </c:ext>
              </c:extLst>
            </c:dLbl>
            <c:dLbl>
              <c:idx val="1"/>
              <c:layout>
                <c:manualLayout>
                  <c:x val="-4.7397766048227243E-2"/>
                  <c:y val="2.771280946425177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0ED-4F4E-99C6-1E6D327527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APPENDIX'!$AM$33:$AM$34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APPENDIX'!$AN$33:$AN$34</c:f>
              <c:numCache>
                <c:formatCode>0.00%</c:formatCode>
                <c:ptCount val="2"/>
                <c:pt idx="0" formatCode="0.0%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0ED-4F4E-99C6-1E6D3275271B}"/>
            </c:ext>
          </c:extLst>
        </c:ser>
        <c:ser>
          <c:idx val="14"/>
          <c:order val="14"/>
          <c:tx>
            <c:strRef>
              <c:f>'OPTIONAL FULL MODEL APPENDIX'!$AM$40</c:f>
              <c:strCache>
                <c:ptCount val="1"/>
                <c:pt idx="0">
                  <c:v>(i)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30ED-4F4E-99C6-1E6D3275271B}"/>
                </c:ext>
              </c:extLst>
            </c:dLbl>
            <c:dLbl>
              <c:idx val="1"/>
              <c:layout>
                <c:manualLayout>
                  <c:x val="-3.0669142737088272E-2"/>
                  <c:y val="-2.771280946425177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0ED-4F4E-99C6-1E6D327527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APPENDIX'!$AM$42:$AM$43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APPENDIX'!$AN$42:$AN$43</c:f>
              <c:numCache>
                <c:formatCode>0.0%</c:formatCode>
                <c:ptCount val="2"/>
                <c:pt idx="0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30ED-4F4E-99C6-1E6D3275271B}"/>
            </c:ext>
          </c:extLst>
        </c:ser>
        <c:ser>
          <c:idx val="15"/>
          <c:order val="15"/>
          <c:tx>
            <c:strRef>
              <c:f>'OPTIONAL FULL MODEL APPENDIX'!$AM$49</c:f>
              <c:strCache>
                <c:ptCount val="1"/>
                <c:pt idx="0">
                  <c:v>(ii)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0ED-4F4E-99C6-1E6D3275271B}"/>
                </c:ext>
              </c:extLst>
            </c:dLbl>
            <c:dLbl>
              <c:idx val="1"/>
              <c:layout>
                <c:manualLayout>
                  <c:x val="-1.6728623311139015E-2"/>
                  <c:y val="-8.467705072203167E-17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30ED-4F4E-99C6-1E6D327527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APPENDIX'!$AM$51:$AM$52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APPENDIX'!$AN$51:$AN$52</c:f>
              <c:numCache>
                <c:formatCode>0.0%</c:formatCode>
                <c:ptCount val="2"/>
                <c:pt idx="0">
                  <c:v>0.02</c:v>
                </c:pt>
                <c:pt idx="1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30ED-4F4E-99C6-1E6D32752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143664"/>
        <c:axId val="481141704"/>
      </c:scatterChart>
      <c:valAx>
        <c:axId val="481143664"/>
        <c:scaling>
          <c:orientation val="minMax"/>
          <c:max val="5.0000000000000024E-2"/>
          <c:min val="-5.0000000000000024E-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Output</a:t>
                </a:r>
                <a:r>
                  <a:rPr lang="en-US" b="0" baseline="0"/>
                  <a:t> gap (in percent)</a:t>
                </a:r>
                <a:endParaRPr lang="en-US" b="0"/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41704"/>
        <c:crossesAt val="-6.0000000000000032E-2"/>
        <c:crossBetween val="midCat"/>
      </c:valAx>
      <c:valAx>
        <c:axId val="481141704"/>
        <c:scaling>
          <c:orientation val="minMax"/>
          <c:max val="6.0000000000000032E-2"/>
          <c:min val="-2.0000000000000011E-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Real interest rate (in percent)</a:t>
                </a:r>
              </a:p>
            </c:rich>
          </c:tx>
          <c:overlay val="0"/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43664"/>
        <c:crossesAt val="-6.000000000000003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Phillips Curve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APPENDIX'!$AZ$7:$AZ$27</c:f>
              <c:numCache>
                <c:formatCode>0.0%</c:formatCode>
                <c:ptCount val="21"/>
                <c:pt idx="0">
                  <c:v>5.5E-2</c:v>
                </c:pt>
                <c:pt idx="1">
                  <c:v>5.3999999999999999E-2</c:v>
                </c:pt>
                <c:pt idx="2">
                  <c:v>5.2999999999999999E-2</c:v>
                </c:pt>
                <c:pt idx="3">
                  <c:v>5.1999999999999998E-2</c:v>
                </c:pt>
                <c:pt idx="4">
                  <c:v>5.0999999999999997E-2</c:v>
                </c:pt>
                <c:pt idx="5">
                  <c:v>0.05</c:v>
                </c:pt>
                <c:pt idx="6">
                  <c:v>4.9000000000000002E-2</c:v>
                </c:pt>
                <c:pt idx="7">
                  <c:v>4.8000000000000001E-2</c:v>
                </c:pt>
                <c:pt idx="8">
                  <c:v>4.7E-2</c:v>
                </c:pt>
                <c:pt idx="9">
                  <c:v>4.5999999999999999E-2</c:v>
                </c:pt>
                <c:pt idx="10">
                  <c:v>4.4999999999999998E-2</c:v>
                </c:pt>
                <c:pt idx="11">
                  <c:v>4.3999999999999997E-2</c:v>
                </c:pt>
                <c:pt idx="12">
                  <c:v>4.2999999999999997E-2</c:v>
                </c:pt>
                <c:pt idx="13">
                  <c:v>4.1999999999999996E-2</c:v>
                </c:pt>
                <c:pt idx="14">
                  <c:v>4.0999999999999995E-2</c:v>
                </c:pt>
                <c:pt idx="15">
                  <c:v>3.9999999999999994E-2</c:v>
                </c:pt>
                <c:pt idx="16">
                  <c:v>3.9E-2</c:v>
                </c:pt>
                <c:pt idx="17">
                  <c:v>3.7999999999999999E-2</c:v>
                </c:pt>
                <c:pt idx="18">
                  <c:v>3.6999999999999998E-2</c:v>
                </c:pt>
                <c:pt idx="19">
                  <c:v>3.5999999999999997E-2</c:v>
                </c:pt>
                <c:pt idx="20">
                  <c:v>3.4999999999999996E-2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05-465F-ACAC-46E975FAC82F}"/>
            </c:ext>
          </c:extLst>
        </c:ser>
        <c:ser>
          <c:idx val="1"/>
          <c:order val="1"/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APPENDIX'!$BB$7:$BB$27</c:f>
              <c:numCache>
                <c:formatCode>0.0%</c:formatCode>
                <c:ptCount val="21"/>
                <c:pt idx="0">
                  <c:v>5.5E-2</c:v>
                </c:pt>
                <c:pt idx="1">
                  <c:v>5.3999999999999999E-2</c:v>
                </c:pt>
                <c:pt idx="2">
                  <c:v>5.2999999999999999E-2</c:v>
                </c:pt>
                <c:pt idx="3">
                  <c:v>5.1999999999999998E-2</c:v>
                </c:pt>
                <c:pt idx="4">
                  <c:v>5.0999999999999997E-2</c:v>
                </c:pt>
                <c:pt idx="5">
                  <c:v>0.05</c:v>
                </c:pt>
                <c:pt idx="6">
                  <c:v>4.9000000000000002E-2</c:v>
                </c:pt>
                <c:pt idx="7">
                  <c:v>4.8000000000000001E-2</c:v>
                </c:pt>
                <c:pt idx="8">
                  <c:v>4.7E-2</c:v>
                </c:pt>
                <c:pt idx="9">
                  <c:v>4.5999999999999999E-2</c:v>
                </c:pt>
                <c:pt idx="10">
                  <c:v>4.4999999999999998E-2</c:v>
                </c:pt>
                <c:pt idx="11">
                  <c:v>4.3999999999999997E-2</c:v>
                </c:pt>
                <c:pt idx="12">
                  <c:v>4.2999999999999997E-2</c:v>
                </c:pt>
                <c:pt idx="13">
                  <c:v>4.1999999999999996E-2</c:v>
                </c:pt>
                <c:pt idx="14">
                  <c:v>4.0999999999999995E-2</c:v>
                </c:pt>
                <c:pt idx="15">
                  <c:v>3.9999999999999994E-2</c:v>
                </c:pt>
                <c:pt idx="16">
                  <c:v>3.9E-2</c:v>
                </c:pt>
                <c:pt idx="17">
                  <c:v>3.7999999999999999E-2</c:v>
                </c:pt>
                <c:pt idx="18">
                  <c:v>3.6999999999999998E-2</c:v>
                </c:pt>
                <c:pt idx="19">
                  <c:v>3.5999999999999997E-2</c:v>
                </c:pt>
                <c:pt idx="20">
                  <c:v>3.4999999999999996E-2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05-465F-ACAC-46E975FAC82F}"/>
            </c:ext>
          </c:extLst>
        </c:ser>
        <c:ser>
          <c:idx val="2"/>
          <c:order val="2"/>
          <c:spPr>
            <a:ln w="1905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'OPTIONAL FULL MODEL APPENDIX'!$AI$7:$AI$27</c:f>
              <c:numCache>
                <c:formatCode>0.0%</c:formatCode>
                <c:ptCount val="21"/>
                <c:pt idx="0">
                  <c:v>4.9999999999999996E-2</c:v>
                </c:pt>
                <c:pt idx="1">
                  <c:v>4.4999999999999998E-2</c:v>
                </c:pt>
                <c:pt idx="2">
                  <c:v>0.04</c:v>
                </c:pt>
                <c:pt idx="3">
                  <c:v>3.5000000000000003E-2</c:v>
                </c:pt>
                <c:pt idx="4">
                  <c:v>3.0000000000000002E-2</c:v>
                </c:pt>
                <c:pt idx="5">
                  <c:v>2.5000000000000001E-2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0.01</c:v>
                </c:pt>
                <c:pt idx="9">
                  <c:v>5.0000000000000001E-3</c:v>
                </c:pt>
                <c:pt idx="10">
                  <c:v>0</c:v>
                </c:pt>
                <c:pt idx="11">
                  <c:v>-5.0000000000000001E-3</c:v>
                </c:pt>
                <c:pt idx="12">
                  <c:v>-0.01</c:v>
                </c:pt>
                <c:pt idx="13">
                  <c:v>-1.4999999999999999E-2</c:v>
                </c:pt>
                <c:pt idx="14">
                  <c:v>-0.02</c:v>
                </c:pt>
                <c:pt idx="15">
                  <c:v>-2.5000000000000001E-2</c:v>
                </c:pt>
                <c:pt idx="16">
                  <c:v>-3.0000000000000002E-2</c:v>
                </c:pt>
                <c:pt idx="17">
                  <c:v>-3.5000000000000003E-2</c:v>
                </c:pt>
                <c:pt idx="18">
                  <c:v>-0.04</c:v>
                </c:pt>
                <c:pt idx="19">
                  <c:v>-4.4999999999999998E-2</c:v>
                </c:pt>
                <c:pt idx="20">
                  <c:v>-4.9999999999999996E-2</c:v>
                </c:pt>
              </c:numCache>
            </c:numRef>
          </c:xVal>
          <c:yVal>
            <c:numRef>
              <c:f>'OPTIONAL FULL MODEL APPENDIX'!$BD$7:$BD$27</c:f>
              <c:numCache>
                <c:formatCode>0.0%</c:formatCode>
                <c:ptCount val="21"/>
                <c:pt idx="0">
                  <c:v>5.5E-2</c:v>
                </c:pt>
                <c:pt idx="1">
                  <c:v>5.3999999999999999E-2</c:v>
                </c:pt>
                <c:pt idx="2">
                  <c:v>5.2999999999999999E-2</c:v>
                </c:pt>
                <c:pt idx="3">
                  <c:v>5.1999999999999998E-2</c:v>
                </c:pt>
                <c:pt idx="4">
                  <c:v>5.0999999999999997E-2</c:v>
                </c:pt>
                <c:pt idx="5">
                  <c:v>0.05</c:v>
                </c:pt>
                <c:pt idx="6">
                  <c:v>4.9000000000000002E-2</c:v>
                </c:pt>
                <c:pt idx="7">
                  <c:v>4.8000000000000001E-2</c:v>
                </c:pt>
                <c:pt idx="8">
                  <c:v>4.7E-2</c:v>
                </c:pt>
                <c:pt idx="9">
                  <c:v>4.5999999999999999E-2</c:v>
                </c:pt>
                <c:pt idx="10">
                  <c:v>4.4999999999999998E-2</c:v>
                </c:pt>
                <c:pt idx="11">
                  <c:v>4.3999999999999997E-2</c:v>
                </c:pt>
                <c:pt idx="12">
                  <c:v>4.2999999999999997E-2</c:v>
                </c:pt>
                <c:pt idx="13">
                  <c:v>4.1999999999999996E-2</c:v>
                </c:pt>
                <c:pt idx="14">
                  <c:v>4.0999999999999995E-2</c:v>
                </c:pt>
                <c:pt idx="15">
                  <c:v>3.9999999999999994E-2</c:v>
                </c:pt>
                <c:pt idx="16">
                  <c:v>3.9E-2</c:v>
                </c:pt>
                <c:pt idx="17">
                  <c:v>3.7999999999999999E-2</c:v>
                </c:pt>
                <c:pt idx="18">
                  <c:v>3.6999999999999998E-2</c:v>
                </c:pt>
                <c:pt idx="19">
                  <c:v>3.5999999999999997E-2</c:v>
                </c:pt>
                <c:pt idx="20">
                  <c:v>3.4999999999999996E-2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05-465F-ACAC-46E975FAC82F}"/>
            </c:ext>
          </c:extLst>
        </c:ser>
        <c:ser>
          <c:idx val="3"/>
          <c:order val="3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APPENDIX'!$BA$33:$BA$34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APPENDIX'!$BB$33:$BB$34</c:f>
              <c:numCache>
                <c:formatCode>0.0%</c:formatCode>
                <c:ptCount val="2"/>
                <c:pt idx="0">
                  <c:v>-0.1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05-465F-ACAC-46E975FAC82F}"/>
            </c:ext>
          </c:extLst>
        </c:ser>
        <c:ser>
          <c:idx val="4"/>
          <c:order val="4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APPENDIX'!$BA$37:$BA$38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APPENDIX'!$BB$37:$BB$38</c:f>
              <c:numCache>
                <c:formatCode>0.0%</c:formatCode>
                <c:ptCount val="2"/>
                <c:pt idx="0">
                  <c:v>4.4999999999999998E-2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405-465F-ACAC-46E975FAC82F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1"/>
            <c:bubble3D val="0"/>
            <c:spPr>
              <a:ln w="12700" cap="rnd">
                <a:solidFill>
                  <a:schemeClr val="tx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2405-465F-ACAC-46E975FAC82F}"/>
              </c:ext>
            </c:extLst>
          </c:dPt>
          <c:xVal>
            <c:numRef>
              <c:f>'OPTIONAL FULL MODEL APPENDIX'!$BA$42:$BA$43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APPENDIX'!$BB$42:$BB$43</c:f>
              <c:numCache>
                <c:formatCode>0.0%</c:formatCode>
                <c:ptCount val="2"/>
                <c:pt idx="0">
                  <c:v>-0.1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405-465F-ACAC-46E975FAC82F}"/>
            </c:ext>
          </c:extLst>
        </c:ser>
        <c:ser>
          <c:idx val="6"/>
          <c:order val="6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APPENDIX'!$BA$46:$BA$47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APPENDIX'!$BB$46:$BB$47</c:f>
              <c:numCache>
                <c:formatCode>0.0%</c:formatCode>
                <c:ptCount val="2"/>
                <c:pt idx="0">
                  <c:v>4.4999999999999998E-2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405-465F-ACAC-46E975FAC82F}"/>
            </c:ext>
          </c:extLst>
        </c:ser>
        <c:ser>
          <c:idx val="7"/>
          <c:order val="7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APPENDIX'!$BA$51:$BA$52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APPENDIX'!$BB$51:$BB$52</c:f>
              <c:numCache>
                <c:formatCode>0.0%</c:formatCode>
                <c:ptCount val="2"/>
                <c:pt idx="0">
                  <c:v>-0.1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405-465F-ACAC-46E975FAC82F}"/>
            </c:ext>
          </c:extLst>
        </c:ser>
        <c:ser>
          <c:idx val="8"/>
          <c:order val="8"/>
          <c:spPr>
            <a:ln w="1270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'OPTIONAL FULL MODEL APPENDIX'!$BA$55:$BA$56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APPENDIX'!$BB$55:$BB$56</c:f>
              <c:numCache>
                <c:formatCode>0.0%</c:formatCode>
                <c:ptCount val="2"/>
                <c:pt idx="0">
                  <c:v>4.4999999999999998E-2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405-465F-ACAC-46E975FAC82F}"/>
            </c:ext>
          </c:extLst>
        </c:ser>
        <c:ser>
          <c:idx val="9"/>
          <c:order val="9"/>
          <c:tx>
            <c:strRef>
              <c:f>'OPTIONAL FULL MODEL APPENDIX'!$BC$31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405-465F-ACAC-46E975FAC82F}"/>
                </c:ext>
              </c:extLst>
            </c:dLbl>
            <c:dLbl>
              <c:idx val="1"/>
              <c:layout>
                <c:manualLayout>
                  <c:x val="-2.5000000000000112E-2"/>
                  <c:y val="4.4994375703037133E-3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405-465F-ACAC-46E975FAC8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APPENDIX'!$BC$33:$BC$34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APPENDIX'!$BD$33:$BD$34</c:f>
              <c:numCache>
                <c:formatCode>0.00%</c:formatCode>
                <c:ptCount val="2"/>
                <c:pt idx="0" formatCode="0.0%">
                  <c:v>4.4999999999999998E-2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405-465F-ACAC-46E975FAC82F}"/>
            </c:ext>
          </c:extLst>
        </c:ser>
        <c:ser>
          <c:idx val="10"/>
          <c:order val="10"/>
          <c:tx>
            <c:strRef>
              <c:f>'OPTIONAL FULL MODEL APPENDIX'!$BC$40</c:f>
              <c:strCache>
                <c:ptCount val="1"/>
                <c:pt idx="0">
                  <c:v>(i)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405-465F-ACAC-46E975FAC82F}"/>
                </c:ext>
              </c:extLst>
            </c:dLbl>
            <c:dLbl>
              <c:idx val="1"/>
              <c:layout>
                <c:manualLayout>
                  <c:x val="-1.9444444444444545E-2"/>
                  <c:y val="1.7997669006132481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405-465F-ACAC-46E975FAC8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APPENDIX'!$BC$42:$BC$43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APPENDIX'!$BD$42:$BD$43</c:f>
              <c:numCache>
                <c:formatCode>0.0%</c:formatCode>
                <c:ptCount val="2"/>
                <c:pt idx="0">
                  <c:v>4.4999999999999998E-2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405-465F-ACAC-46E975FAC82F}"/>
            </c:ext>
          </c:extLst>
        </c:ser>
        <c:ser>
          <c:idx val="11"/>
          <c:order val="11"/>
          <c:tx>
            <c:strRef>
              <c:f>'OPTIONAL FULL MODEL APPENDIX'!$BC$49</c:f>
              <c:strCache>
                <c:ptCount val="1"/>
                <c:pt idx="0">
                  <c:v>(ii)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405-465F-ACAC-46E975FAC82F}"/>
                </c:ext>
              </c:extLst>
            </c:dLbl>
            <c:dLbl>
              <c:idx val="1"/>
              <c:layout>
                <c:manualLayout>
                  <c:x val="-4.1666666666666782E-2"/>
                  <c:y val="-5.161662775625505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405-465F-ACAC-46E975FAC8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APPENDIX'!$BC$51:$BC$52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'OPTIONAL FULL MODEL APPENDIX'!$BD$51:$BD$52</c:f>
              <c:numCache>
                <c:formatCode>0.0%</c:formatCode>
                <c:ptCount val="2"/>
                <c:pt idx="0">
                  <c:v>4.4999999999999998E-2</c:v>
                </c:pt>
                <c:pt idx="1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405-465F-ACAC-46E975FAC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137392"/>
        <c:axId val="481140136"/>
      </c:scatterChart>
      <c:valAx>
        <c:axId val="481137392"/>
        <c:scaling>
          <c:orientation val="minMax"/>
          <c:max val="5.0000000000000024E-2"/>
          <c:min val="-5.0000000000000024E-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Output gap (in percent)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40136"/>
        <c:crossesAt val="-6.0000000000000032E-2"/>
        <c:crossBetween val="midCat"/>
      </c:valAx>
      <c:valAx>
        <c:axId val="481140136"/>
        <c:scaling>
          <c:orientation val="minMax"/>
          <c:max val="9.0000000000000024E-2"/>
          <c:min val="-2.0000000000000011E-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Inflation rate (in percent)</a:t>
                </a:r>
              </a:p>
            </c:rich>
          </c:tx>
          <c:overlay val="0"/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37392"/>
        <c:crossesAt val="-6.000000000000003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Exports and Real Exchange Rate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175371712199144"/>
          <c:y val="0.17206698237405921"/>
          <c:w val="0.78663604441325108"/>
          <c:h val="0.6219383274716572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'OPTIONAL FULL MODEL APPENDIX'!$BI$7:$BI$27</c:f>
              <c:numCache>
                <c:formatCode>0.0%</c:formatCode>
                <c:ptCount val="21"/>
                <c:pt idx="0">
                  <c:v>2.6412105632631716E-2</c:v>
                </c:pt>
                <c:pt idx="1">
                  <c:v>2.2228463316051432E-2</c:v>
                </c:pt>
                <c:pt idx="2">
                  <c:v>1.8065635140349902E-2</c:v>
                </c:pt>
                <c:pt idx="3">
                  <c:v>1.3923517552587042E-2</c:v>
                </c:pt>
                <c:pt idx="4">
                  <c:v>9.8020075150120692E-3</c:v>
                </c:pt>
                <c:pt idx="5">
                  <c:v>5.7010025024997087E-3</c:v>
                </c:pt>
                <c:pt idx="6">
                  <c:v>1.6204004999998654E-3</c:v>
                </c:pt>
                <c:pt idx="7">
                  <c:v>-2.4399000000000833E-3</c:v>
                </c:pt>
                <c:pt idx="8">
                  <c:v>-6.4800000000000083E-3</c:v>
                </c:pt>
                <c:pt idx="9">
                  <c:v>-1.0499999999999876E-2</c:v>
                </c:pt>
                <c:pt idx="10">
                  <c:v>-1.4499999999999791E-2</c:v>
                </c:pt>
                <c:pt idx="11">
                  <c:v>-1.8499999999999794E-2</c:v>
                </c:pt>
                <c:pt idx="12">
                  <c:v>-2.2479999999999847E-2</c:v>
                </c:pt>
                <c:pt idx="13">
                  <c:v>-2.6440099999999779E-2</c:v>
                </c:pt>
                <c:pt idx="14">
                  <c:v>-3.0380399499999832E-2</c:v>
                </c:pt>
                <c:pt idx="15">
                  <c:v>-3.4300997502499903E-2</c:v>
                </c:pt>
                <c:pt idx="16">
                  <c:v>-3.8201992514987473E-2</c:v>
                </c:pt>
                <c:pt idx="17">
                  <c:v>-4.2083482552412399E-2</c:v>
                </c:pt>
                <c:pt idx="18">
                  <c:v>-4.5945565139650417E-2</c:v>
                </c:pt>
                <c:pt idx="19">
                  <c:v>-4.9788337313952193E-2</c:v>
                </c:pt>
                <c:pt idx="20">
                  <c:v>-5.3611895627382389E-2</c:v>
                </c:pt>
              </c:numCache>
            </c:numRef>
          </c:xVal>
          <c:yVal>
            <c:numRef>
              <c:f>'OPTIONAL FULL MODEL APPENDIX'!$BG$7:$BG$27</c:f>
              <c:numCache>
                <c:formatCode>0.0</c:formatCode>
                <c:ptCount val="21"/>
                <c:pt idx="0">
                  <c:v>105.11401320407893</c:v>
                </c:pt>
                <c:pt idx="1">
                  <c:v>104.59105791450641</c:v>
                </c:pt>
                <c:pt idx="2">
                  <c:v>104.0707043925437</c:v>
                </c:pt>
                <c:pt idx="3">
                  <c:v>103.55293969407334</c:v>
                </c:pt>
                <c:pt idx="4">
                  <c:v>103.03775093937648</c:v>
                </c:pt>
                <c:pt idx="5">
                  <c:v>102.52512531281243</c:v>
                </c:pt>
                <c:pt idx="6">
                  <c:v>102.01505006249995</c:v>
                </c:pt>
                <c:pt idx="7">
                  <c:v>101.50751249999996</c:v>
                </c:pt>
                <c:pt idx="8">
                  <c:v>101.00249999999997</c:v>
                </c:pt>
                <c:pt idx="9">
                  <c:v>100.49999999999999</c:v>
                </c:pt>
                <c:pt idx="10">
                  <c:v>100</c:v>
                </c:pt>
                <c:pt idx="11">
                  <c:v>99.5</c:v>
                </c:pt>
                <c:pt idx="12">
                  <c:v>99.002499999999998</c:v>
                </c:pt>
                <c:pt idx="13">
                  <c:v>98.507487499999996</c:v>
                </c:pt>
                <c:pt idx="14">
                  <c:v>98.014950062499992</c:v>
                </c:pt>
                <c:pt idx="15">
                  <c:v>97.52487531218749</c:v>
                </c:pt>
                <c:pt idx="16">
                  <c:v>97.037250935626545</c:v>
                </c:pt>
                <c:pt idx="17">
                  <c:v>96.552064680948419</c:v>
                </c:pt>
                <c:pt idx="18">
                  <c:v>96.069304357543672</c:v>
                </c:pt>
                <c:pt idx="19">
                  <c:v>95.588957835755949</c:v>
                </c:pt>
                <c:pt idx="20">
                  <c:v>95.11101304657717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3-48B5-AF43-13974F27E782}"/>
            </c:ext>
          </c:extLst>
        </c:ser>
        <c:ser>
          <c:idx val="1"/>
          <c:order val="1"/>
          <c:spPr>
            <a:ln>
              <a:solidFill>
                <a:schemeClr val="accent2">
                  <a:lumMod val="75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APPENDIX'!$BK$7:$BK$27</c:f>
              <c:numCache>
                <c:formatCode>0.0%</c:formatCode>
                <c:ptCount val="21"/>
                <c:pt idx="0">
                  <c:v>2.6412105632631716E-2</c:v>
                </c:pt>
                <c:pt idx="1">
                  <c:v>2.2228463316051432E-2</c:v>
                </c:pt>
                <c:pt idx="2">
                  <c:v>1.8065635140349902E-2</c:v>
                </c:pt>
                <c:pt idx="3">
                  <c:v>1.3923517552587042E-2</c:v>
                </c:pt>
                <c:pt idx="4">
                  <c:v>9.8020075150120692E-3</c:v>
                </c:pt>
                <c:pt idx="5">
                  <c:v>5.7010025024997087E-3</c:v>
                </c:pt>
                <c:pt idx="6">
                  <c:v>1.6204004999998654E-3</c:v>
                </c:pt>
                <c:pt idx="7">
                  <c:v>-2.4399000000000833E-3</c:v>
                </c:pt>
                <c:pt idx="8">
                  <c:v>-6.4800000000000083E-3</c:v>
                </c:pt>
                <c:pt idx="9">
                  <c:v>-1.0499999999999876E-2</c:v>
                </c:pt>
                <c:pt idx="10">
                  <c:v>-1.4499999999999791E-2</c:v>
                </c:pt>
                <c:pt idx="11">
                  <c:v>-1.8499999999999794E-2</c:v>
                </c:pt>
                <c:pt idx="12">
                  <c:v>-2.2479999999999847E-2</c:v>
                </c:pt>
                <c:pt idx="13">
                  <c:v>-2.6440099999999779E-2</c:v>
                </c:pt>
                <c:pt idx="14">
                  <c:v>-3.0380399499999832E-2</c:v>
                </c:pt>
                <c:pt idx="15">
                  <c:v>-3.4300997502499903E-2</c:v>
                </c:pt>
                <c:pt idx="16">
                  <c:v>-3.8201992514987473E-2</c:v>
                </c:pt>
                <c:pt idx="17">
                  <c:v>-4.2083482552412399E-2</c:v>
                </c:pt>
                <c:pt idx="18">
                  <c:v>-4.5945565139650417E-2</c:v>
                </c:pt>
                <c:pt idx="19">
                  <c:v>-4.9788337313952193E-2</c:v>
                </c:pt>
                <c:pt idx="20">
                  <c:v>-5.3611895627382389E-2</c:v>
                </c:pt>
              </c:numCache>
            </c:numRef>
          </c:xVal>
          <c:yVal>
            <c:numRef>
              <c:f>'OPTIONAL FULL MODEL APPENDIX'!$BG$7:$BG$27</c:f>
              <c:numCache>
                <c:formatCode>0.0</c:formatCode>
                <c:ptCount val="21"/>
                <c:pt idx="0">
                  <c:v>105.11401320407893</c:v>
                </c:pt>
                <c:pt idx="1">
                  <c:v>104.59105791450641</c:v>
                </c:pt>
                <c:pt idx="2">
                  <c:v>104.0707043925437</c:v>
                </c:pt>
                <c:pt idx="3">
                  <c:v>103.55293969407334</c:v>
                </c:pt>
                <c:pt idx="4">
                  <c:v>103.03775093937648</c:v>
                </c:pt>
                <c:pt idx="5">
                  <c:v>102.52512531281243</c:v>
                </c:pt>
                <c:pt idx="6">
                  <c:v>102.01505006249995</c:v>
                </c:pt>
                <c:pt idx="7">
                  <c:v>101.50751249999996</c:v>
                </c:pt>
                <c:pt idx="8">
                  <c:v>101.00249999999997</c:v>
                </c:pt>
                <c:pt idx="9">
                  <c:v>100.49999999999999</c:v>
                </c:pt>
                <c:pt idx="10">
                  <c:v>100</c:v>
                </c:pt>
                <c:pt idx="11">
                  <c:v>99.5</c:v>
                </c:pt>
                <c:pt idx="12">
                  <c:v>99.002499999999998</c:v>
                </c:pt>
                <c:pt idx="13">
                  <c:v>98.507487499999996</c:v>
                </c:pt>
                <c:pt idx="14">
                  <c:v>98.014950062499992</c:v>
                </c:pt>
                <c:pt idx="15">
                  <c:v>97.52487531218749</c:v>
                </c:pt>
                <c:pt idx="16">
                  <c:v>97.037250935626545</c:v>
                </c:pt>
                <c:pt idx="17">
                  <c:v>96.552064680948419</c:v>
                </c:pt>
                <c:pt idx="18">
                  <c:v>96.069304357543672</c:v>
                </c:pt>
                <c:pt idx="19">
                  <c:v>95.588957835755949</c:v>
                </c:pt>
                <c:pt idx="20">
                  <c:v>95.11101304657717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13-48B5-AF43-13974F27E782}"/>
            </c:ext>
          </c:extLst>
        </c:ser>
        <c:ser>
          <c:idx val="2"/>
          <c:order val="2"/>
          <c:spPr>
            <a:ln>
              <a:solidFill>
                <a:schemeClr val="accent2">
                  <a:lumMod val="7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'OPTIONAL FULL MODEL APPENDIX'!$BM$7:$BM$27</c:f>
              <c:numCache>
                <c:formatCode>0.0%</c:formatCode>
                <c:ptCount val="21"/>
                <c:pt idx="0">
                  <c:v>2.6412105632631716E-2</c:v>
                </c:pt>
                <c:pt idx="1">
                  <c:v>2.2228463316051432E-2</c:v>
                </c:pt>
                <c:pt idx="2">
                  <c:v>1.8065635140349902E-2</c:v>
                </c:pt>
                <c:pt idx="3">
                  <c:v>1.3923517552587042E-2</c:v>
                </c:pt>
                <c:pt idx="4">
                  <c:v>9.8020075150120692E-3</c:v>
                </c:pt>
                <c:pt idx="5">
                  <c:v>5.7010025024997087E-3</c:v>
                </c:pt>
                <c:pt idx="6">
                  <c:v>1.6204004999998654E-3</c:v>
                </c:pt>
                <c:pt idx="7">
                  <c:v>-2.4399000000000833E-3</c:v>
                </c:pt>
                <c:pt idx="8">
                  <c:v>-6.4800000000000083E-3</c:v>
                </c:pt>
                <c:pt idx="9">
                  <c:v>-1.0499999999999876E-2</c:v>
                </c:pt>
                <c:pt idx="10">
                  <c:v>-1.4499999999999791E-2</c:v>
                </c:pt>
                <c:pt idx="11">
                  <c:v>-1.8499999999999794E-2</c:v>
                </c:pt>
                <c:pt idx="12">
                  <c:v>-2.2479999999999847E-2</c:v>
                </c:pt>
                <c:pt idx="13">
                  <c:v>-2.6440099999999779E-2</c:v>
                </c:pt>
                <c:pt idx="14">
                  <c:v>-3.0380399499999832E-2</c:v>
                </c:pt>
                <c:pt idx="15">
                  <c:v>-3.4300997502499903E-2</c:v>
                </c:pt>
                <c:pt idx="16">
                  <c:v>-3.8201992514987473E-2</c:v>
                </c:pt>
                <c:pt idx="17">
                  <c:v>-4.2083482552412399E-2</c:v>
                </c:pt>
                <c:pt idx="18">
                  <c:v>-4.5945565139650417E-2</c:v>
                </c:pt>
                <c:pt idx="19">
                  <c:v>-4.9788337313952193E-2</c:v>
                </c:pt>
                <c:pt idx="20">
                  <c:v>-5.3611895627382389E-2</c:v>
                </c:pt>
              </c:numCache>
            </c:numRef>
          </c:xVal>
          <c:yVal>
            <c:numRef>
              <c:f>'OPTIONAL FULL MODEL APPENDIX'!$BG$7:$BG$27</c:f>
              <c:numCache>
                <c:formatCode>0.0</c:formatCode>
                <c:ptCount val="21"/>
                <c:pt idx="0">
                  <c:v>105.11401320407893</c:v>
                </c:pt>
                <c:pt idx="1">
                  <c:v>104.59105791450641</c:v>
                </c:pt>
                <c:pt idx="2">
                  <c:v>104.0707043925437</c:v>
                </c:pt>
                <c:pt idx="3">
                  <c:v>103.55293969407334</c:v>
                </c:pt>
                <c:pt idx="4">
                  <c:v>103.03775093937648</c:v>
                </c:pt>
                <c:pt idx="5">
                  <c:v>102.52512531281243</c:v>
                </c:pt>
                <c:pt idx="6">
                  <c:v>102.01505006249995</c:v>
                </c:pt>
                <c:pt idx="7">
                  <c:v>101.50751249999996</c:v>
                </c:pt>
                <c:pt idx="8">
                  <c:v>101.00249999999997</c:v>
                </c:pt>
                <c:pt idx="9">
                  <c:v>100.49999999999999</c:v>
                </c:pt>
                <c:pt idx="10">
                  <c:v>100</c:v>
                </c:pt>
                <c:pt idx="11">
                  <c:v>99.5</c:v>
                </c:pt>
                <c:pt idx="12">
                  <c:v>99.002499999999998</c:v>
                </c:pt>
                <c:pt idx="13">
                  <c:v>98.507487499999996</c:v>
                </c:pt>
                <c:pt idx="14">
                  <c:v>98.014950062499992</c:v>
                </c:pt>
                <c:pt idx="15">
                  <c:v>97.52487531218749</c:v>
                </c:pt>
                <c:pt idx="16">
                  <c:v>97.037250935626545</c:v>
                </c:pt>
                <c:pt idx="17">
                  <c:v>96.552064680948419</c:v>
                </c:pt>
                <c:pt idx="18">
                  <c:v>96.069304357543672</c:v>
                </c:pt>
                <c:pt idx="19">
                  <c:v>95.588957835755949</c:v>
                </c:pt>
                <c:pt idx="20">
                  <c:v>95.11101304657717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13-48B5-AF43-13974F27E782}"/>
            </c:ext>
          </c:extLst>
        </c:ser>
        <c:ser>
          <c:idx val="3"/>
          <c:order val="3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APPENDIX'!$BI$33:$BI$34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APPENDIX'!$BJ$33:$BJ$34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13-48B5-AF43-13974F27E782}"/>
            </c:ext>
          </c:extLst>
        </c:ser>
        <c:ser>
          <c:idx val="4"/>
          <c:order val="4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APPENDIX'!$BK$33:$BK$34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APPENDIX'!$BL$33:$BL$34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513-48B5-AF43-13974F27E782}"/>
            </c:ext>
          </c:extLst>
        </c:ser>
        <c:ser>
          <c:idx val="5"/>
          <c:order val="5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APPENDIX'!$BI$42:$BI$43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APPENDIX'!$BJ$42:$BJ$43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513-48B5-AF43-13974F27E782}"/>
            </c:ext>
          </c:extLst>
        </c:ser>
        <c:ser>
          <c:idx val="6"/>
          <c:order val="6"/>
          <c:spPr>
            <a:ln w="12700">
              <a:solidFill>
                <a:prstClr val="black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APPENDIX'!$BK$42:$BK$43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APPENDIX'!$BL$42:$BL$43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513-48B5-AF43-13974F27E782}"/>
            </c:ext>
          </c:extLst>
        </c:ser>
        <c:ser>
          <c:idx val="7"/>
          <c:order val="7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APPENDIX'!$BI$52:$BI$53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APPENDIX'!$BJ$52:$BJ$53</c:f>
              <c:numCache>
                <c:formatCode>0.0</c:formatCode>
                <c:ptCount val="2"/>
                <c:pt idx="0" formatCode="General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513-48B5-AF43-13974F27E782}"/>
            </c:ext>
          </c:extLst>
        </c:ser>
        <c:ser>
          <c:idx val="8"/>
          <c:order val="8"/>
          <c:spPr>
            <a:ln w="1270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'OPTIONAL FULL MODEL APPENDIX'!$BK$52:$BK$53</c:f>
              <c:numCache>
                <c:formatCode>0.0%</c:formatCode>
                <c:ptCount val="2"/>
                <c:pt idx="0" formatCode="0%">
                  <c:v>-0.1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APPENDIX'!$BL$52:$BL$53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513-48B5-AF43-13974F27E782}"/>
            </c:ext>
          </c:extLst>
        </c:ser>
        <c:ser>
          <c:idx val="9"/>
          <c:order val="9"/>
          <c:tx>
            <c:strRef>
              <c:f>'OPTIONAL FULL MODEL APPENDIX'!$BI$31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513-48B5-AF43-13974F27E782}"/>
                </c:ext>
              </c:extLst>
            </c:dLbl>
            <c:dLbl>
              <c:idx val="1"/>
              <c:layout>
                <c:manualLayout>
                  <c:x val="-1.3949161347862428E-2"/>
                  <c:y val="4.6391745045580805E-3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513-48B5-AF43-13974F27E78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APPENDIX'!$BI$36:$BI$37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APPENDIX'!$BJ$36:$BJ$37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513-48B5-AF43-13974F27E782}"/>
            </c:ext>
          </c:extLst>
        </c:ser>
        <c:ser>
          <c:idx val="10"/>
          <c:order val="10"/>
          <c:tx>
            <c:strRef>
              <c:f>'OPTIONAL FULL MODEL APPENDIX'!$BI$40</c:f>
              <c:strCache>
                <c:ptCount val="1"/>
                <c:pt idx="0">
                  <c:v>(i)</c:v>
                </c:pt>
              </c:strCache>
            </c:strRef>
          </c:tx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513-48B5-AF43-13974F27E78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APPENDIX'!$BI$45:$BI$46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APPENDIX'!$BJ$45:$BJ$46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513-48B5-AF43-13974F27E782}"/>
            </c:ext>
          </c:extLst>
        </c:ser>
        <c:ser>
          <c:idx val="11"/>
          <c:order val="11"/>
          <c:tx>
            <c:strRef>
              <c:f>'OPTIONAL FULL MODEL APPENDIX'!$BI$50</c:f>
              <c:strCache>
                <c:ptCount val="1"/>
                <c:pt idx="0">
                  <c:v>(ii)</c:v>
                </c:pt>
              </c:strCache>
            </c:strRef>
          </c:tx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513-48B5-AF43-13974F27E782}"/>
                </c:ext>
              </c:extLst>
            </c:dLbl>
            <c:dLbl>
              <c:idx val="1"/>
              <c:layout>
                <c:manualLayout>
                  <c:x val="-1.952904555883965E-2"/>
                  <c:y val="3.2473856242575497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513-48B5-AF43-13974F27E78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'OPTIONAL FULL MODEL APPENDIX'!$BI$55:$BI$56</c:f>
              <c:numCache>
                <c:formatCode>0.0%</c:formatCode>
                <c:ptCount val="2"/>
                <c:pt idx="0">
                  <c:v>-1.4499999999999782E-2</c:v>
                </c:pt>
                <c:pt idx="1">
                  <c:v>-1.4499999999999782E-2</c:v>
                </c:pt>
              </c:numCache>
            </c:numRef>
          </c:xVal>
          <c:yVal>
            <c:numRef>
              <c:f>'OPTIONAL FULL MODEL APPENDIX'!$BJ$55:$BJ$56</c:f>
              <c:numCache>
                <c:formatCode>0.0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513-48B5-AF43-13974F27E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140920"/>
        <c:axId val="481144056"/>
      </c:scatterChart>
      <c:valAx>
        <c:axId val="481140920"/>
        <c:scaling>
          <c:orientation val="minMax"/>
          <c:max val="7.0000000000000021E-2"/>
          <c:min val="-7.0000000000000021E-2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Net exports (in percent of potential</a:t>
                </a:r>
                <a:r>
                  <a:rPr lang="en-US" b="0" baseline="0"/>
                  <a:t> output)</a:t>
                </a:r>
                <a:endParaRPr lang="en-US" b="0"/>
              </a:p>
            </c:rich>
          </c:tx>
          <c:layout>
            <c:manualLayout>
              <c:xMode val="edge"/>
              <c:yMode val="edge"/>
              <c:x val="0.26931171364306933"/>
              <c:y val="0.88770844250717507"/>
            </c:manualLayout>
          </c:layout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44056"/>
        <c:crosses val="autoZero"/>
        <c:crossBetween val="midCat"/>
      </c:valAx>
      <c:valAx>
        <c:axId val="481144056"/>
        <c:scaling>
          <c:orientation val="minMax"/>
          <c:max val="106"/>
          <c:min val="9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 sz="800" b="0"/>
                  <a:t>Real exchange rate index </a:t>
                </a:r>
              </a:p>
              <a:p>
                <a:pPr>
                  <a:defRPr sz="800" b="0"/>
                </a:pPr>
                <a:r>
                  <a:rPr lang="en-US" sz="800" b="0"/>
                  <a:t>(app -, base=100)</a:t>
                </a:r>
              </a:p>
            </c:rich>
          </c:tx>
          <c:layout>
            <c:manualLayout>
              <c:xMode val="edge"/>
              <c:yMode val="edge"/>
              <c:x val="3.361261807752884E-3"/>
              <c:y val="0.26151886697507193"/>
            </c:manualLayout>
          </c:layout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40920"/>
        <c:crossesAt val="-7.0000000000000021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Internatinal Reserves</a:t>
            </a:r>
          </a:p>
          <a:p>
            <a:pPr>
              <a:defRPr/>
            </a:pPr>
            <a:r>
              <a:rPr lang="en-US" sz="900"/>
              <a:t>(Billions of Currency Units)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'Fiscal and Central Bank '!$Q$54</c:f>
              <c:strCache>
                <c:ptCount val="1"/>
                <c:pt idx="0">
                  <c:v>NIR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'Fiscal and Central Bank '!$R$53:$T$53</c:f>
              <c:strCache>
                <c:ptCount val="3"/>
                <c:pt idx="0">
                  <c:v>base</c:v>
                </c:pt>
                <c:pt idx="1">
                  <c:v>alt(i)</c:v>
                </c:pt>
                <c:pt idx="2">
                  <c:v>alt(ii)</c:v>
                </c:pt>
              </c:strCache>
            </c:strRef>
          </c:cat>
          <c:val>
            <c:numRef>
              <c:f>'Fiscal and Central Bank '!$R$54:$T$54</c:f>
              <c:numCache>
                <c:formatCode>0.00</c:formatCode>
                <c:ptCount val="3"/>
                <c:pt idx="0">
                  <c:v>26.801931751469738</c:v>
                </c:pt>
                <c:pt idx="1">
                  <c:v>26.801931751469738</c:v>
                </c:pt>
                <c:pt idx="2">
                  <c:v>26.658924404419537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7-46C3-B1BF-1A4193C96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1144448"/>
        <c:axId val="481144840"/>
      </c:barChart>
      <c:catAx>
        <c:axId val="48114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44840"/>
        <c:crosses val="autoZero"/>
        <c:auto val="1"/>
        <c:lblAlgn val="ctr"/>
        <c:lblOffset val="100"/>
        <c:noMultiLvlLbl val="0"/>
      </c:catAx>
      <c:valAx>
        <c:axId val="481144840"/>
        <c:scaling>
          <c:orientation val="minMax"/>
          <c:max val="1.2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4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Government</a:t>
            </a:r>
            <a:r>
              <a:rPr lang="en-US" baseline="0"/>
              <a:t> Debt/GDP</a:t>
            </a:r>
          </a:p>
          <a:p>
            <a:pPr>
              <a:defRPr/>
            </a:pPr>
            <a:r>
              <a:rPr lang="en-US" sz="800" baseline="0"/>
              <a:t>(in percent)</a:t>
            </a:r>
            <a:endParaRPr lang="en-US" sz="800"/>
          </a:p>
        </c:rich>
      </c:tx>
      <c:layout>
        <c:manualLayout>
          <c:xMode val="edge"/>
          <c:yMode val="edge"/>
          <c:x val="0.30775000000000002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'Fiscal and Central Bank '!$P$31</c:f>
              <c:strCache>
                <c:ptCount val="1"/>
                <c:pt idx="0">
                  <c:v>Pub Deb/GDP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'Fiscal and Central Bank '!$Q$30:$S$30</c:f>
              <c:strCache>
                <c:ptCount val="3"/>
                <c:pt idx="0">
                  <c:v>base</c:v>
                </c:pt>
                <c:pt idx="1">
                  <c:v>alt(i)</c:v>
                </c:pt>
                <c:pt idx="2">
                  <c:v>alt(ii)</c:v>
                </c:pt>
              </c:strCache>
            </c:strRef>
          </c:cat>
          <c:val>
            <c:numRef>
              <c:f>'Fiscal and Central Bank '!$Q$31:$S$31</c:f>
              <c:numCache>
                <c:formatCode>0.0%</c:formatCode>
                <c:ptCount val="3"/>
                <c:pt idx="0">
                  <c:v>7.8733883730246028E-3</c:v>
                </c:pt>
                <c:pt idx="1">
                  <c:v>7.8733883730246028E-3</c:v>
                </c:pt>
                <c:pt idx="2">
                  <c:v>7.8733883730246028E-3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1B-422B-80A0-D320E29E0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1138960"/>
        <c:axId val="481139352"/>
      </c:barChart>
      <c:catAx>
        <c:axId val="48113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39352"/>
        <c:crosses val="autoZero"/>
        <c:auto val="1"/>
        <c:lblAlgn val="ctr"/>
        <c:lblOffset val="100"/>
        <c:noMultiLvlLbl val="0"/>
      </c:catAx>
      <c:valAx>
        <c:axId val="48113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3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2.emf"/><Relationship Id="rId18" Type="http://schemas.openxmlformats.org/officeDocument/2006/relationships/image" Target="../media/image27.emf"/><Relationship Id="rId26" Type="http://schemas.openxmlformats.org/officeDocument/2006/relationships/image" Target="../media/image35.emf"/><Relationship Id="rId39" Type="http://schemas.openxmlformats.org/officeDocument/2006/relationships/image" Target="../media/image48.emf"/><Relationship Id="rId21" Type="http://schemas.openxmlformats.org/officeDocument/2006/relationships/image" Target="../media/image30.emf"/><Relationship Id="rId34" Type="http://schemas.openxmlformats.org/officeDocument/2006/relationships/image" Target="../media/image43.emf"/><Relationship Id="rId42" Type="http://schemas.openxmlformats.org/officeDocument/2006/relationships/image" Target="../media/image51.emf"/><Relationship Id="rId47" Type="http://schemas.openxmlformats.org/officeDocument/2006/relationships/image" Target="../media/image56.emf"/><Relationship Id="rId50" Type="http://schemas.openxmlformats.org/officeDocument/2006/relationships/image" Target="../media/image59.emf"/><Relationship Id="rId55" Type="http://schemas.openxmlformats.org/officeDocument/2006/relationships/image" Target="../media/image64.emf"/><Relationship Id="rId7" Type="http://schemas.openxmlformats.org/officeDocument/2006/relationships/image" Target="../media/image16.emf"/><Relationship Id="rId12" Type="http://schemas.openxmlformats.org/officeDocument/2006/relationships/image" Target="../media/image21.emf"/><Relationship Id="rId17" Type="http://schemas.openxmlformats.org/officeDocument/2006/relationships/image" Target="../media/image26.emf"/><Relationship Id="rId25" Type="http://schemas.openxmlformats.org/officeDocument/2006/relationships/image" Target="../media/image34.emf"/><Relationship Id="rId33" Type="http://schemas.openxmlformats.org/officeDocument/2006/relationships/image" Target="../media/image42.emf"/><Relationship Id="rId38" Type="http://schemas.openxmlformats.org/officeDocument/2006/relationships/image" Target="../media/image47.emf"/><Relationship Id="rId46" Type="http://schemas.openxmlformats.org/officeDocument/2006/relationships/image" Target="../media/image55.emf"/><Relationship Id="rId59" Type="http://schemas.openxmlformats.org/officeDocument/2006/relationships/image" Target="../media/image68.emf"/><Relationship Id="rId2" Type="http://schemas.openxmlformats.org/officeDocument/2006/relationships/chart" Target="../charts/chart14.xml"/><Relationship Id="rId16" Type="http://schemas.openxmlformats.org/officeDocument/2006/relationships/image" Target="../media/image25.emf"/><Relationship Id="rId20" Type="http://schemas.openxmlformats.org/officeDocument/2006/relationships/image" Target="../media/image29.emf"/><Relationship Id="rId29" Type="http://schemas.openxmlformats.org/officeDocument/2006/relationships/image" Target="../media/image38.emf"/><Relationship Id="rId41" Type="http://schemas.openxmlformats.org/officeDocument/2006/relationships/image" Target="../media/image50.emf"/><Relationship Id="rId54" Type="http://schemas.openxmlformats.org/officeDocument/2006/relationships/image" Target="../media/image63.emf"/><Relationship Id="rId1" Type="http://schemas.openxmlformats.org/officeDocument/2006/relationships/chart" Target="../charts/chart13.xml"/><Relationship Id="rId6" Type="http://schemas.openxmlformats.org/officeDocument/2006/relationships/image" Target="../media/image15.emf"/><Relationship Id="rId11" Type="http://schemas.openxmlformats.org/officeDocument/2006/relationships/image" Target="../media/image20.emf"/><Relationship Id="rId24" Type="http://schemas.openxmlformats.org/officeDocument/2006/relationships/image" Target="../media/image33.emf"/><Relationship Id="rId32" Type="http://schemas.openxmlformats.org/officeDocument/2006/relationships/image" Target="../media/image41.emf"/><Relationship Id="rId37" Type="http://schemas.openxmlformats.org/officeDocument/2006/relationships/image" Target="../media/image46.emf"/><Relationship Id="rId40" Type="http://schemas.openxmlformats.org/officeDocument/2006/relationships/image" Target="../media/image49.emf"/><Relationship Id="rId45" Type="http://schemas.openxmlformats.org/officeDocument/2006/relationships/image" Target="../media/image54.emf"/><Relationship Id="rId53" Type="http://schemas.openxmlformats.org/officeDocument/2006/relationships/image" Target="../media/image62.emf"/><Relationship Id="rId58" Type="http://schemas.openxmlformats.org/officeDocument/2006/relationships/image" Target="../media/image67.emf"/><Relationship Id="rId5" Type="http://schemas.openxmlformats.org/officeDocument/2006/relationships/image" Target="../media/image14.emf"/><Relationship Id="rId15" Type="http://schemas.openxmlformats.org/officeDocument/2006/relationships/image" Target="../media/image24.emf"/><Relationship Id="rId23" Type="http://schemas.openxmlformats.org/officeDocument/2006/relationships/image" Target="../media/image32.emf"/><Relationship Id="rId28" Type="http://schemas.openxmlformats.org/officeDocument/2006/relationships/image" Target="../media/image37.emf"/><Relationship Id="rId36" Type="http://schemas.openxmlformats.org/officeDocument/2006/relationships/image" Target="../media/image45.emf"/><Relationship Id="rId49" Type="http://schemas.openxmlformats.org/officeDocument/2006/relationships/image" Target="../media/image58.emf"/><Relationship Id="rId57" Type="http://schemas.openxmlformats.org/officeDocument/2006/relationships/image" Target="../media/image66.emf"/><Relationship Id="rId10" Type="http://schemas.openxmlformats.org/officeDocument/2006/relationships/image" Target="../media/image19.emf"/><Relationship Id="rId19" Type="http://schemas.openxmlformats.org/officeDocument/2006/relationships/image" Target="../media/image28.emf"/><Relationship Id="rId31" Type="http://schemas.openxmlformats.org/officeDocument/2006/relationships/image" Target="../media/image40.emf"/><Relationship Id="rId44" Type="http://schemas.openxmlformats.org/officeDocument/2006/relationships/image" Target="../media/image53.emf"/><Relationship Id="rId52" Type="http://schemas.openxmlformats.org/officeDocument/2006/relationships/image" Target="../media/image61.emf"/><Relationship Id="rId4" Type="http://schemas.openxmlformats.org/officeDocument/2006/relationships/image" Target="../media/image13.emf"/><Relationship Id="rId9" Type="http://schemas.openxmlformats.org/officeDocument/2006/relationships/image" Target="../media/image18.emf"/><Relationship Id="rId14" Type="http://schemas.openxmlformats.org/officeDocument/2006/relationships/image" Target="../media/image23.emf"/><Relationship Id="rId22" Type="http://schemas.openxmlformats.org/officeDocument/2006/relationships/image" Target="../media/image31.emf"/><Relationship Id="rId27" Type="http://schemas.openxmlformats.org/officeDocument/2006/relationships/image" Target="../media/image36.emf"/><Relationship Id="rId30" Type="http://schemas.openxmlformats.org/officeDocument/2006/relationships/image" Target="../media/image39.emf"/><Relationship Id="rId35" Type="http://schemas.openxmlformats.org/officeDocument/2006/relationships/image" Target="../media/image44.emf"/><Relationship Id="rId43" Type="http://schemas.openxmlformats.org/officeDocument/2006/relationships/image" Target="../media/image52.emf"/><Relationship Id="rId48" Type="http://schemas.openxmlformats.org/officeDocument/2006/relationships/image" Target="../media/image57.emf"/><Relationship Id="rId56" Type="http://schemas.openxmlformats.org/officeDocument/2006/relationships/image" Target="../media/image65.emf"/><Relationship Id="rId8" Type="http://schemas.openxmlformats.org/officeDocument/2006/relationships/image" Target="../media/image17.emf"/><Relationship Id="rId51" Type="http://schemas.openxmlformats.org/officeDocument/2006/relationships/image" Target="../media/image60.emf"/><Relationship Id="rId3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71.emf"/><Relationship Id="rId2" Type="http://schemas.openxmlformats.org/officeDocument/2006/relationships/image" Target="../media/image70.emf"/><Relationship Id="rId1" Type="http://schemas.openxmlformats.org/officeDocument/2006/relationships/image" Target="../media/image69.emf"/><Relationship Id="rId4" Type="http://schemas.openxmlformats.org/officeDocument/2006/relationships/image" Target="../media/image7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9</xdr:col>
      <xdr:colOff>299719</xdr:colOff>
      <xdr:row>19</xdr:row>
      <xdr:rowOff>7157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276981</xdr:colOff>
      <xdr:row>17</xdr:row>
      <xdr:rowOff>56673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</xdr:colOff>
      <xdr:row>17</xdr:row>
      <xdr:rowOff>175260</xdr:rowOff>
    </xdr:from>
    <xdr:to>
      <xdr:col>8</xdr:col>
      <xdr:colOff>330483</xdr:colOff>
      <xdr:row>33</xdr:row>
      <xdr:rowOff>55225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</xdr:colOff>
      <xdr:row>34</xdr:row>
      <xdr:rowOff>0</xdr:rowOff>
    </xdr:from>
    <xdr:to>
      <xdr:col>8</xdr:col>
      <xdr:colOff>312420</xdr:colOff>
      <xdr:row>49</xdr:row>
      <xdr:rowOff>164093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48986</xdr:colOff>
      <xdr:row>3</xdr:row>
      <xdr:rowOff>111578</xdr:rowOff>
    </xdr:from>
    <xdr:to>
      <xdr:col>14</xdr:col>
      <xdr:colOff>459014</xdr:colOff>
      <xdr:row>19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1282472</xdr:colOff>
      <xdr:row>6</xdr:row>
      <xdr:rowOff>271009</xdr:rowOff>
    </xdr:from>
    <xdr:to>
      <xdr:col>4</xdr:col>
      <xdr:colOff>1971901</xdr:colOff>
      <xdr:row>6</xdr:row>
      <xdr:rowOff>561294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27222" y="1818822"/>
          <a:ext cx="689429" cy="2902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1309789</xdr:colOff>
      <xdr:row>7</xdr:row>
      <xdr:rowOff>268536</xdr:rowOff>
    </xdr:from>
    <xdr:to>
      <xdr:col>4</xdr:col>
      <xdr:colOff>1999218</xdr:colOff>
      <xdr:row>7</xdr:row>
      <xdr:rowOff>558821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3754539" y="2641849"/>
          <a:ext cx="689429" cy="2902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1569357</xdr:colOff>
      <xdr:row>10</xdr:row>
      <xdr:rowOff>9071</xdr:rowOff>
    </xdr:from>
    <xdr:to>
      <xdr:col>7</xdr:col>
      <xdr:colOff>81643</xdr:colOff>
      <xdr:row>19</xdr:row>
      <xdr:rowOff>108857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1569357" y="3601357"/>
          <a:ext cx="6141357" cy="1732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Instructions : Click on dropdowns in Column "F" to put your assumptons. Resutls regarding the proper policy mix will appear in Column G and in the graph.  </a:t>
          </a:r>
          <a:r>
            <a:rPr lang="en-US" sz="2000">
              <a:solidFill>
                <a:srgbClr val="FF0000"/>
              </a:solidFill>
            </a:rPr>
            <a:t>Red line is external balance;</a:t>
          </a:r>
          <a:r>
            <a:rPr lang="en-US" sz="2000"/>
            <a:t> </a:t>
          </a:r>
          <a:r>
            <a:rPr lang="en-US" sz="2000">
              <a:solidFill>
                <a:srgbClr val="0070C0"/>
              </a:solidFill>
            </a:rPr>
            <a:t>blue line is internal balance.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4</xdr:row>
          <xdr:rowOff>152400</xdr:rowOff>
        </xdr:from>
        <xdr:to>
          <xdr:col>6</xdr:col>
          <xdr:colOff>590550</xdr:colOff>
          <xdr:row>6</xdr:row>
          <xdr:rowOff>161925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5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10</xdr:row>
          <xdr:rowOff>19050</xdr:rowOff>
        </xdr:from>
        <xdr:to>
          <xdr:col>7</xdr:col>
          <xdr:colOff>28575</xdr:colOff>
          <xdr:row>12</xdr:row>
          <xdr:rowOff>114300</xdr:rowOff>
        </xdr:to>
        <xdr:sp macro="" textlink="">
          <xdr:nvSpPr>
            <xdr:cNvPr id="8195" name="Object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5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13</xdr:row>
          <xdr:rowOff>47625</xdr:rowOff>
        </xdr:from>
        <xdr:to>
          <xdr:col>4</xdr:col>
          <xdr:colOff>276225</xdr:colOff>
          <xdr:row>15</xdr:row>
          <xdr:rowOff>123825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5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7</xdr:col>
          <xdr:colOff>66675</xdr:colOff>
          <xdr:row>18</xdr:row>
          <xdr:rowOff>171450</xdr:rowOff>
        </xdr:to>
        <xdr:sp macro="" textlink="">
          <xdr:nvSpPr>
            <xdr:cNvPr id="8198" name="Object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5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20</xdr:row>
          <xdr:rowOff>19050</xdr:rowOff>
        </xdr:from>
        <xdr:to>
          <xdr:col>4</xdr:col>
          <xdr:colOff>561975</xdr:colOff>
          <xdr:row>22</xdr:row>
          <xdr:rowOff>123825</xdr:rowOff>
        </xdr:to>
        <xdr:sp macro="" textlink="">
          <xdr:nvSpPr>
            <xdr:cNvPr id="8199" name="Object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5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24</xdr:row>
          <xdr:rowOff>9525</xdr:rowOff>
        </xdr:from>
        <xdr:to>
          <xdr:col>4</xdr:col>
          <xdr:colOff>200025</xdr:colOff>
          <xdr:row>26</xdr:row>
          <xdr:rowOff>28575</xdr:rowOff>
        </xdr:to>
        <xdr:sp macro="" textlink="">
          <xdr:nvSpPr>
            <xdr:cNvPr id="8200" name="Object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5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104775</xdr:rowOff>
        </xdr:from>
        <xdr:to>
          <xdr:col>7</xdr:col>
          <xdr:colOff>161925</xdr:colOff>
          <xdr:row>9</xdr:row>
          <xdr:rowOff>19050</xdr:rowOff>
        </xdr:to>
        <xdr:sp macro="" textlink="">
          <xdr:nvSpPr>
            <xdr:cNvPr id="8201" name="Object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5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</xdr:row>
          <xdr:rowOff>28575</xdr:rowOff>
        </xdr:from>
        <xdr:to>
          <xdr:col>22</xdr:col>
          <xdr:colOff>1000125</xdr:colOff>
          <xdr:row>3</xdr:row>
          <xdr:rowOff>171450</xdr:rowOff>
        </xdr:to>
        <xdr:sp macro="" textlink="">
          <xdr:nvSpPr>
            <xdr:cNvPr id="8204" name="Object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5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57150</xdr:colOff>
          <xdr:row>2</xdr:row>
          <xdr:rowOff>0</xdr:rowOff>
        </xdr:from>
        <xdr:to>
          <xdr:col>28</xdr:col>
          <xdr:colOff>200025</xdr:colOff>
          <xdr:row>4</xdr:row>
          <xdr:rowOff>57150</xdr:rowOff>
        </xdr:to>
        <xdr:sp macro="" textlink="">
          <xdr:nvSpPr>
            <xdr:cNvPr id="8205" name="Object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5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9</xdr:col>
      <xdr:colOff>525992</xdr:colOff>
      <xdr:row>2</xdr:row>
      <xdr:rowOff>183619</xdr:rowOff>
    </xdr:from>
    <xdr:to>
      <xdr:col>18</xdr:col>
      <xdr:colOff>535517</xdr:colOff>
      <xdr:row>25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29</xdr:row>
          <xdr:rowOff>28575</xdr:rowOff>
        </xdr:from>
        <xdr:to>
          <xdr:col>9</xdr:col>
          <xdr:colOff>381000</xdr:colOff>
          <xdr:row>32</xdr:row>
          <xdr:rowOff>104775</xdr:rowOff>
        </xdr:to>
        <xdr:sp macro="" textlink="">
          <xdr:nvSpPr>
            <xdr:cNvPr id="8206" name="Object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5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33</xdr:row>
          <xdr:rowOff>104775</xdr:rowOff>
        </xdr:from>
        <xdr:to>
          <xdr:col>9</xdr:col>
          <xdr:colOff>381000</xdr:colOff>
          <xdr:row>36</xdr:row>
          <xdr:rowOff>152400</xdr:rowOff>
        </xdr:to>
        <xdr:sp macro="" textlink="">
          <xdr:nvSpPr>
            <xdr:cNvPr id="8207" name="Object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5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19</xdr:col>
      <xdr:colOff>446943</xdr:colOff>
      <xdr:row>51</xdr:row>
      <xdr:rowOff>58615</xdr:rowOff>
    </xdr:from>
    <xdr:to>
      <xdr:col>26</xdr:col>
      <xdr:colOff>205155</xdr:colOff>
      <xdr:row>73</xdr:row>
      <xdr:rowOff>78195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534865</xdr:colOff>
      <xdr:row>78</xdr:row>
      <xdr:rowOff>58616</xdr:rowOff>
    </xdr:from>
    <xdr:to>
      <xdr:col>26</xdr:col>
      <xdr:colOff>293077</xdr:colOff>
      <xdr:row>100</xdr:row>
      <xdr:rowOff>78196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104</xdr:row>
      <xdr:rowOff>109904</xdr:rowOff>
    </xdr:from>
    <xdr:to>
      <xdr:col>26</xdr:col>
      <xdr:colOff>366346</xdr:colOff>
      <xdr:row>126</xdr:row>
      <xdr:rowOff>129484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612321</xdr:colOff>
      <xdr:row>2</xdr:row>
      <xdr:rowOff>0</xdr:rowOff>
    </xdr:from>
    <xdr:to>
      <xdr:col>8</xdr:col>
      <xdr:colOff>276981</xdr:colOff>
      <xdr:row>17</xdr:row>
      <xdr:rowOff>56673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</xdr:colOff>
      <xdr:row>17</xdr:row>
      <xdr:rowOff>175260</xdr:rowOff>
    </xdr:from>
    <xdr:to>
      <xdr:col>8</xdr:col>
      <xdr:colOff>330483</xdr:colOff>
      <xdr:row>33</xdr:row>
      <xdr:rowOff>55225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</xdr:colOff>
      <xdr:row>34</xdr:row>
      <xdr:rowOff>0</xdr:rowOff>
    </xdr:from>
    <xdr:to>
      <xdr:col>8</xdr:col>
      <xdr:colOff>312420</xdr:colOff>
      <xdr:row>49</xdr:row>
      <xdr:rowOff>164093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2971800</xdr:colOff>
      <xdr:row>18</xdr:row>
      <xdr:rowOff>0</xdr:rowOff>
    </xdr:from>
    <xdr:to>
      <xdr:col>12</xdr:col>
      <xdr:colOff>414111</xdr:colOff>
      <xdr:row>19</xdr:row>
      <xdr:rowOff>0</xdr:rowOff>
    </xdr:to>
    <xdr:sp macro="" textlink="">
      <xdr:nvSpPr>
        <xdr:cNvPr id="5" name="Object 64" hidden="1">
          <a:extLst>
            <a:ext uri="{63B3BB69-23CF-44E3-9099-C40C66FF867C}">
              <a14:compatExt xmlns:a14="http://schemas.microsoft.com/office/drawing/2010/main" spid="_x0000_s1088"/>
            </a:ex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 bwMode="auto">
        <a:xfrm>
          <a:off x="12839700" y="3028950"/>
          <a:ext cx="4127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2997200</xdr:colOff>
      <xdr:row>19</xdr:row>
      <xdr:rowOff>63500</xdr:rowOff>
    </xdr:from>
    <xdr:to>
      <xdr:col>12</xdr:col>
      <xdr:colOff>293461</xdr:colOff>
      <xdr:row>20</xdr:row>
      <xdr:rowOff>44450</xdr:rowOff>
    </xdr:to>
    <xdr:sp macro="" textlink="">
      <xdr:nvSpPr>
        <xdr:cNvPr id="6" name="Object 65" hidden="1">
          <a:extLst>
            <a:ext uri="{63B3BB69-23CF-44E3-9099-C40C66FF867C}">
              <a14:compatExt xmlns:a14="http://schemas.microsoft.com/office/drawing/2010/main" spid="_x0000_s1089"/>
            </a:ex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 bwMode="auto">
        <a:xfrm>
          <a:off x="12836525" y="3282950"/>
          <a:ext cx="29527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12</xdr:col>
      <xdr:colOff>139700</xdr:colOff>
      <xdr:row>4</xdr:row>
      <xdr:rowOff>25400</xdr:rowOff>
    </xdr:from>
    <xdr:to>
      <xdr:col>12</xdr:col>
      <xdr:colOff>292100</xdr:colOff>
      <xdr:row>4</xdr:row>
      <xdr:rowOff>158750</xdr:rowOff>
    </xdr:to>
    <xdr:sp macro="" textlink="">
      <xdr:nvSpPr>
        <xdr:cNvPr id="9" name="Object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 bwMode="auto">
        <a:xfrm>
          <a:off x="12979400" y="64452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12</xdr:col>
      <xdr:colOff>146050</xdr:colOff>
      <xdr:row>5</xdr:row>
      <xdr:rowOff>25400</xdr:rowOff>
    </xdr:from>
    <xdr:to>
      <xdr:col>12</xdr:col>
      <xdr:colOff>273050</xdr:colOff>
      <xdr:row>6</xdr:row>
      <xdr:rowOff>0</xdr:rowOff>
    </xdr:to>
    <xdr:sp macro="" textlink="">
      <xdr:nvSpPr>
        <xdr:cNvPr id="10" name="Object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 bwMode="auto">
        <a:xfrm>
          <a:off x="12985750" y="873125"/>
          <a:ext cx="127000" cy="165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12</xdr:col>
      <xdr:colOff>139700</xdr:colOff>
      <xdr:row>8</xdr:row>
      <xdr:rowOff>31750</xdr:rowOff>
    </xdr:from>
    <xdr:to>
      <xdr:col>12</xdr:col>
      <xdr:colOff>292100</xdr:colOff>
      <xdr:row>9</xdr:row>
      <xdr:rowOff>0</xdr:rowOff>
    </xdr:to>
    <xdr:sp macro="" textlink="">
      <xdr:nvSpPr>
        <xdr:cNvPr id="11" name="Object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 bwMode="auto">
        <a:xfrm>
          <a:off x="12979400" y="1450975"/>
          <a:ext cx="152400" cy="158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12</xdr:col>
      <xdr:colOff>31750</xdr:colOff>
      <xdr:row>9</xdr:row>
      <xdr:rowOff>25400</xdr:rowOff>
    </xdr:from>
    <xdr:to>
      <xdr:col>12</xdr:col>
      <xdr:colOff>412750</xdr:colOff>
      <xdr:row>9</xdr:row>
      <xdr:rowOff>177800</xdr:rowOff>
    </xdr:to>
    <xdr:sp macro="" textlink="">
      <xdr:nvSpPr>
        <xdr:cNvPr id="12" name="Object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 bwMode="auto">
        <a:xfrm>
          <a:off x="12871450" y="1682750"/>
          <a:ext cx="3810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12</xdr:col>
      <xdr:colOff>139700</xdr:colOff>
      <xdr:row>12</xdr:row>
      <xdr:rowOff>25400</xdr:rowOff>
    </xdr:from>
    <xdr:to>
      <xdr:col>12</xdr:col>
      <xdr:colOff>330200</xdr:colOff>
      <xdr:row>12</xdr:row>
      <xdr:rowOff>177800</xdr:rowOff>
    </xdr:to>
    <xdr:sp macro="" textlink="">
      <xdr:nvSpPr>
        <xdr:cNvPr id="13" name="Object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 bwMode="auto">
        <a:xfrm>
          <a:off x="12979400" y="2292350"/>
          <a:ext cx="1905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2971800</xdr:colOff>
      <xdr:row>16</xdr:row>
      <xdr:rowOff>0</xdr:rowOff>
    </xdr:from>
    <xdr:to>
      <xdr:col>12</xdr:col>
      <xdr:colOff>414111</xdr:colOff>
      <xdr:row>17</xdr:row>
      <xdr:rowOff>0</xdr:rowOff>
    </xdr:to>
    <xdr:sp macro="" textlink="">
      <xdr:nvSpPr>
        <xdr:cNvPr id="14" name="Object 64" hidden="1">
          <a:extLst>
            <a:ext uri="{63B3BB69-23CF-44E3-9099-C40C66FF867C}">
              <a14:compatExt xmlns:a14="http://schemas.microsoft.com/office/drawing/2010/main" spid="_x0000_s1088"/>
            </a:ex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 bwMode="auto">
        <a:xfrm>
          <a:off x="12839700" y="3028950"/>
          <a:ext cx="4127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2997200</xdr:colOff>
      <xdr:row>17</xdr:row>
      <xdr:rowOff>63500</xdr:rowOff>
    </xdr:from>
    <xdr:to>
      <xdr:col>12</xdr:col>
      <xdr:colOff>293461</xdr:colOff>
      <xdr:row>18</xdr:row>
      <xdr:rowOff>44450</xdr:rowOff>
    </xdr:to>
    <xdr:sp macro="" textlink="">
      <xdr:nvSpPr>
        <xdr:cNvPr id="15" name="Object 65" hidden="1">
          <a:extLst>
            <a:ext uri="{63B3BB69-23CF-44E3-9099-C40C66FF867C}">
              <a14:compatExt xmlns:a14="http://schemas.microsoft.com/office/drawing/2010/main" spid="_x0000_s1089"/>
            </a:ex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 bwMode="auto">
        <a:xfrm>
          <a:off x="12836525" y="3282950"/>
          <a:ext cx="29527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136071</xdr:colOff>
      <xdr:row>9</xdr:row>
      <xdr:rowOff>0</xdr:rowOff>
    </xdr:from>
    <xdr:to>
      <xdr:col>23</xdr:col>
      <xdr:colOff>333375</xdr:colOff>
      <xdr:row>16</xdr:row>
      <xdr:rowOff>149679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/>
      </xdr:nvSpPr>
      <xdr:spPr>
        <a:xfrm>
          <a:off x="13130892" y="1741714"/>
          <a:ext cx="2646590" cy="148317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/>
            <a:t>ENTER POLICIES OR SHOCKS</a:t>
          </a:r>
          <a:r>
            <a:rPr lang="en-US" sz="2800" baseline="0"/>
            <a:t> IN GREEN BOXES</a:t>
          </a:r>
          <a:endParaRPr lang="en-US" sz="2800"/>
        </a:p>
      </xdr:txBody>
    </xdr:sp>
    <xdr:clientData/>
  </xdr:twoCellAnchor>
  <xdr:twoCellAnchor>
    <xdr:from>
      <xdr:col>18</xdr:col>
      <xdr:colOff>47625</xdr:colOff>
      <xdr:row>3</xdr:row>
      <xdr:rowOff>170089</xdr:rowOff>
    </xdr:from>
    <xdr:to>
      <xdr:col>18</xdr:col>
      <xdr:colOff>496661</xdr:colOff>
      <xdr:row>23</xdr:row>
      <xdr:rowOff>47625</xdr:rowOff>
    </xdr:to>
    <xdr:sp macro="" textlink="">
      <xdr:nvSpPr>
        <xdr:cNvPr id="19" name="Right Brace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12430125" y="741589"/>
          <a:ext cx="449036" cy="37147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2163911</xdr:colOff>
      <xdr:row>57</xdr:row>
      <xdr:rowOff>113669</xdr:rowOff>
    </xdr:from>
    <xdr:to>
      <xdr:col>17</xdr:col>
      <xdr:colOff>25260</xdr:colOff>
      <xdr:row>59</xdr:row>
      <xdr:rowOff>84199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flipV="1">
          <a:off x="12612994" y="6655923"/>
          <a:ext cx="660962" cy="332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305576</xdr:colOff>
      <xdr:row>2</xdr:row>
      <xdr:rowOff>201258</xdr:rowOff>
    </xdr:from>
    <xdr:to>
      <xdr:col>29</xdr:col>
      <xdr:colOff>582557</xdr:colOff>
      <xdr:row>17</xdr:row>
      <xdr:rowOff>138188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308769</xdr:colOff>
      <xdr:row>18</xdr:row>
      <xdr:rowOff>93646</xdr:rowOff>
    </xdr:from>
    <xdr:to>
      <xdr:col>30</xdr:col>
      <xdr:colOff>6792</xdr:colOff>
      <xdr:row>33</xdr:row>
      <xdr:rowOff>123834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301777</xdr:colOff>
      <xdr:row>34</xdr:row>
      <xdr:rowOff>96156</xdr:rowOff>
    </xdr:from>
    <xdr:to>
      <xdr:col>30</xdr:col>
      <xdr:colOff>1</xdr:colOff>
      <xdr:row>50</xdr:row>
      <xdr:rowOff>20764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25400</xdr:colOff>
      <xdr:row>7</xdr:row>
      <xdr:rowOff>25400</xdr:rowOff>
    </xdr:from>
    <xdr:to>
      <xdr:col>5</xdr:col>
      <xdr:colOff>381000</xdr:colOff>
      <xdr:row>7</xdr:row>
      <xdr:rowOff>152400</xdr:rowOff>
    </xdr:to>
    <xdr:sp macro="" textlink="">
      <xdr:nvSpPr>
        <xdr:cNvPr id="1026" name="Object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7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6350</xdr:colOff>
      <xdr:row>4</xdr:row>
      <xdr:rowOff>25400</xdr:rowOff>
    </xdr:from>
    <xdr:to>
      <xdr:col>9</xdr:col>
      <xdr:colOff>292100</xdr:colOff>
      <xdr:row>6</xdr:row>
      <xdr:rowOff>6350</xdr:rowOff>
    </xdr:to>
    <xdr:sp macro="" textlink="">
      <xdr:nvSpPr>
        <xdr:cNvPr id="1028" name="Object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700-00000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146050</xdr:colOff>
      <xdr:row>7</xdr:row>
      <xdr:rowOff>25400</xdr:rowOff>
    </xdr:from>
    <xdr:to>
      <xdr:col>8</xdr:col>
      <xdr:colOff>0</xdr:colOff>
      <xdr:row>8</xdr:row>
      <xdr:rowOff>1928</xdr:rowOff>
    </xdr:to>
    <xdr:sp macro="" textlink="">
      <xdr:nvSpPr>
        <xdr:cNvPr id="1029" name="Object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368300</xdr:colOff>
      <xdr:row>7</xdr:row>
      <xdr:rowOff>31750</xdr:rowOff>
    </xdr:from>
    <xdr:to>
      <xdr:col>11</xdr:col>
      <xdr:colOff>1377</xdr:colOff>
      <xdr:row>8</xdr:row>
      <xdr:rowOff>1928</xdr:rowOff>
    </xdr:to>
    <xdr:sp macro="" textlink="">
      <xdr:nvSpPr>
        <xdr:cNvPr id="1030" name="Object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700-00000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349250</xdr:colOff>
      <xdr:row>12</xdr:row>
      <xdr:rowOff>158750</xdr:rowOff>
    </xdr:from>
    <xdr:to>
      <xdr:col>6</xdr:col>
      <xdr:colOff>565150</xdr:colOff>
      <xdr:row>14</xdr:row>
      <xdr:rowOff>31750</xdr:rowOff>
    </xdr:to>
    <xdr:sp macro="" textlink="">
      <xdr:nvSpPr>
        <xdr:cNvPr id="1033" name="Object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700-00000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44450</xdr:colOff>
      <xdr:row>16</xdr:row>
      <xdr:rowOff>38100</xdr:rowOff>
    </xdr:from>
    <xdr:to>
      <xdr:col>5</xdr:col>
      <xdr:colOff>527050</xdr:colOff>
      <xdr:row>17</xdr:row>
      <xdr:rowOff>120650</xdr:rowOff>
    </xdr:to>
    <xdr:sp macro="" textlink="">
      <xdr:nvSpPr>
        <xdr:cNvPr id="1034" name="Object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700-00000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330200</xdr:colOff>
      <xdr:row>18</xdr:row>
      <xdr:rowOff>25400</xdr:rowOff>
    </xdr:from>
    <xdr:to>
      <xdr:col>4</xdr:col>
      <xdr:colOff>482600</xdr:colOff>
      <xdr:row>18</xdr:row>
      <xdr:rowOff>177800</xdr:rowOff>
    </xdr:to>
    <xdr:sp macro="" textlink="">
      <xdr:nvSpPr>
        <xdr:cNvPr id="1035" name="Object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700-00000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42</xdr:row>
      <xdr:rowOff>158750</xdr:rowOff>
    </xdr:from>
    <xdr:to>
      <xdr:col>6</xdr:col>
      <xdr:colOff>146050</xdr:colOff>
      <xdr:row>44</xdr:row>
      <xdr:rowOff>6350</xdr:rowOff>
    </xdr:to>
    <xdr:sp macro="" textlink="">
      <xdr:nvSpPr>
        <xdr:cNvPr id="1037" name="Object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700-00000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254000</xdr:colOff>
      <xdr:row>19</xdr:row>
      <xdr:rowOff>31750</xdr:rowOff>
    </xdr:from>
    <xdr:to>
      <xdr:col>0</xdr:col>
      <xdr:colOff>374650</xdr:colOff>
      <xdr:row>20</xdr:row>
      <xdr:rowOff>6350</xdr:rowOff>
    </xdr:to>
    <xdr:sp macro="" textlink="">
      <xdr:nvSpPr>
        <xdr:cNvPr id="1039" name="Object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700-00000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234950</xdr:colOff>
      <xdr:row>18</xdr:row>
      <xdr:rowOff>6350</xdr:rowOff>
    </xdr:from>
    <xdr:to>
      <xdr:col>0</xdr:col>
      <xdr:colOff>406400</xdr:colOff>
      <xdr:row>19</xdr:row>
      <xdr:rowOff>0</xdr:rowOff>
    </xdr:to>
    <xdr:sp macro="" textlink="">
      <xdr:nvSpPr>
        <xdr:cNvPr id="1042" name="Object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700-00001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266700</xdr:colOff>
      <xdr:row>57</xdr:row>
      <xdr:rowOff>25400</xdr:rowOff>
    </xdr:from>
    <xdr:to>
      <xdr:col>4</xdr:col>
      <xdr:colOff>381000</xdr:colOff>
      <xdr:row>57</xdr:row>
      <xdr:rowOff>177800</xdr:rowOff>
    </xdr:to>
    <xdr:sp macro="" textlink="">
      <xdr:nvSpPr>
        <xdr:cNvPr id="1045" name="Object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700-00001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44450</xdr:colOff>
      <xdr:row>63</xdr:row>
      <xdr:rowOff>6350</xdr:rowOff>
    </xdr:from>
    <xdr:to>
      <xdr:col>4</xdr:col>
      <xdr:colOff>457200</xdr:colOff>
      <xdr:row>63</xdr:row>
      <xdr:rowOff>177800</xdr:rowOff>
    </xdr:to>
    <xdr:sp macro="" textlink="">
      <xdr:nvSpPr>
        <xdr:cNvPr id="1047" name="Object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700-00001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266700</xdr:colOff>
      <xdr:row>51</xdr:row>
      <xdr:rowOff>25400</xdr:rowOff>
    </xdr:from>
    <xdr:to>
      <xdr:col>4</xdr:col>
      <xdr:colOff>406400</xdr:colOff>
      <xdr:row>51</xdr:row>
      <xdr:rowOff>177800</xdr:rowOff>
    </xdr:to>
    <xdr:sp macro="" textlink="">
      <xdr:nvSpPr>
        <xdr:cNvPr id="1049" name="Object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700-00001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234950</xdr:colOff>
      <xdr:row>51</xdr:row>
      <xdr:rowOff>25400</xdr:rowOff>
    </xdr:from>
    <xdr:to>
      <xdr:col>6</xdr:col>
      <xdr:colOff>444500</xdr:colOff>
      <xdr:row>52</xdr:row>
      <xdr:rowOff>25400</xdr:rowOff>
    </xdr:to>
    <xdr:sp macro="" textlink="">
      <xdr:nvSpPr>
        <xdr:cNvPr id="1050" name="Object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700-00001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298450</xdr:colOff>
      <xdr:row>62</xdr:row>
      <xdr:rowOff>177800</xdr:rowOff>
    </xdr:from>
    <xdr:to>
      <xdr:col>8</xdr:col>
      <xdr:colOff>0</xdr:colOff>
      <xdr:row>64</xdr:row>
      <xdr:rowOff>120650</xdr:rowOff>
    </xdr:to>
    <xdr:sp macro="" textlink="">
      <xdr:nvSpPr>
        <xdr:cNvPr id="1052" name="Object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700-00001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76200</xdr:colOff>
      <xdr:row>62</xdr:row>
      <xdr:rowOff>152400</xdr:rowOff>
    </xdr:from>
    <xdr:to>
      <xdr:col>10</xdr:col>
      <xdr:colOff>774</xdr:colOff>
      <xdr:row>64</xdr:row>
      <xdr:rowOff>82550</xdr:rowOff>
    </xdr:to>
    <xdr:sp macro="" textlink="">
      <xdr:nvSpPr>
        <xdr:cNvPr id="1053" name="Object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700-00001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16</xdr:col>
      <xdr:colOff>139700</xdr:colOff>
      <xdr:row>3</xdr:row>
      <xdr:rowOff>25400</xdr:rowOff>
    </xdr:from>
    <xdr:to>
      <xdr:col>16</xdr:col>
      <xdr:colOff>292100</xdr:colOff>
      <xdr:row>3</xdr:row>
      <xdr:rowOff>158750</xdr:rowOff>
    </xdr:to>
    <xdr:sp macro="" textlink="">
      <xdr:nvSpPr>
        <xdr:cNvPr id="1054" name="Object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700-00001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16</xdr:col>
      <xdr:colOff>146050</xdr:colOff>
      <xdr:row>4</xdr:row>
      <xdr:rowOff>25400</xdr:rowOff>
    </xdr:from>
    <xdr:to>
      <xdr:col>16</xdr:col>
      <xdr:colOff>273050</xdr:colOff>
      <xdr:row>5</xdr:row>
      <xdr:rowOff>0</xdr:rowOff>
    </xdr:to>
    <xdr:sp macro="" textlink="">
      <xdr:nvSpPr>
        <xdr:cNvPr id="1055" name="Object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700-00001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16</xdr:col>
      <xdr:colOff>139700</xdr:colOff>
      <xdr:row>7</xdr:row>
      <xdr:rowOff>31750</xdr:rowOff>
    </xdr:from>
    <xdr:to>
      <xdr:col>16</xdr:col>
      <xdr:colOff>292100</xdr:colOff>
      <xdr:row>7</xdr:row>
      <xdr:rowOff>190500</xdr:rowOff>
    </xdr:to>
    <xdr:sp macro="" textlink="">
      <xdr:nvSpPr>
        <xdr:cNvPr id="1056" name="Object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700-00002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16</xdr:col>
      <xdr:colOff>31750</xdr:colOff>
      <xdr:row>8</xdr:row>
      <xdr:rowOff>25400</xdr:rowOff>
    </xdr:from>
    <xdr:to>
      <xdr:col>16</xdr:col>
      <xdr:colOff>412750</xdr:colOff>
      <xdr:row>8</xdr:row>
      <xdr:rowOff>177800</xdr:rowOff>
    </xdr:to>
    <xdr:sp macro="" textlink="">
      <xdr:nvSpPr>
        <xdr:cNvPr id="1057" name="Object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700-00002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16</xdr:col>
      <xdr:colOff>139700</xdr:colOff>
      <xdr:row>11</xdr:row>
      <xdr:rowOff>25400</xdr:rowOff>
    </xdr:from>
    <xdr:to>
      <xdr:col>16</xdr:col>
      <xdr:colOff>330200</xdr:colOff>
      <xdr:row>11</xdr:row>
      <xdr:rowOff>177800</xdr:rowOff>
    </xdr:to>
    <xdr:sp macro="" textlink="">
      <xdr:nvSpPr>
        <xdr:cNvPr id="1060" name="Object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700-00002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692150</xdr:colOff>
      <xdr:row>21</xdr:row>
      <xdr:rowOff>158750</xdr:rowOff>
    </xdr:from>
    <xdr:to>
      <xdr:col>9</xdr:col>
      <xdr:colOff>774</xdr:colOff>
      <xdr:row>24</xdr:row>
      <xdr:rowOff>0</xdr:rowOff>
    </xdr:to>
    <xdr:sp macro="" textlink="">
      <xdr:nvSpPr>
        <xdr:cNvPr id="1073" name="Object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700-00003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711200</xdr:colOff>
      <xdr:row>40</xdr:row>
      <xdr:rowOff>82550</xdr:rowOff>
    </xdr:from>
    <xdr:to>
      <xdr:col>1</xdr:col>
      <xdr:colOff>1860550</xdr:colOff>
      <xdr:row>42</xdr:row>
      <xdr:rowOff>76200</xdr:rowOff>
    </xdr:to>
    <xdr:sp macro="" textlink="">
      <xdr:nvSpPr>
        <xdr:cNvPr id="1080" name="Object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700-00003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654050</xdr:colOff>
      <xdr:row>43</xdr:row>
      <xdr:rowOff>101600</xdr:rowOff>
    </xdr:from>
    <xdr:to>
      <xdr:col>3</xdr:col>
      <xdr:colOff>76200</xdr:colOff>
      <xdr:row>46</xdr:row>
      <xdr:rowOff>6350</xdr:rowOff>
    </xdr:to>
    <xdr:sp macro="" textlink="">
      <xdr:nvSpPr>
        <xdr:cNvPr id="1081" name="Object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700-00003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692150</xdr:colOff>
      <xdr:row>27</xdr:row>
      <xdr:rowOff>63500</xdr:rowOff>
    </xdr:from>
    <xdr:to>
      <xdr:col>2</xdr:col>
      <xdr:colOff>292100</xdr:colOff>
      <xdr:row>28</xdr:row>
      <xdr:rowOff>120650</xdr:rowOff>
    </xdr:to>
    <xdr:sp macro="" textlink="">
      <xdr:nvSpPr>
        <xdr:cNvPr id="1082" name="Object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700-00003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463550</xdr:colOff>
      <xdr:row>25</xdr:row>
      <xdr:rowOff>0</xdr:rowOff>
    </xdr:from>
    <xdr:to>
      <xdr:col>5</xdr:col>
      <xdr:colOff>508</xdr:colOff>
      <xdr:row>26</xdr:row>
      <xdr:rowOff>25400</xdr:rowOff>
    </xdr:to>
    <xdr:sp macro="" textlink="">
      <xdr:nvSpPr>
        <xdr:cNvPr id="1083" name="Object 59" hidden="1">
          <a:extLst>
            <a:ext uri="{63B3BB69-23CF-44E3-9099-C40C66FF867C}">
              <a14:compatExt xmlns:a14="http://schemas.microsoft.com/office/drawing/2010/main" spid="_x0000_s1083"/>
            </a:ext>
            <a:ext uri="{FF2B5EF4-FFF2-40B4-BE49-F238E27FC236}">
              <a16:creationId xmlns:a16="http://schemas.microsoft.com/office/drawing/2014/main" id="{00000000-0008-0000-0700-00003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381000</xdr:colOff>
      <xdr:row>25</xdr:row>
      <xdr:rowOff>31750</xdr:rowOff>
    </xdr:from>
    <xdr:to>
      <xdr:col>7</xdr:col>
      <xdr:colOff>533400</xdr:colOff>
      <xdr:row>26</xdr:row>
      <xdr:rowOff>0</xdr:rowOff>
    </xdr:to>
    <xdr:sp macro="" textlink="">
      <xdr:nvSpPr>
        <xdr:cNvPr id="1084" name="Object 60" hidden="1">
          <a:extLst>
            <a:ext uri="{63B3BB69-23CF-44E3-9099-C40C66FF867C}">
              <a14:compatExt xmlns:a14="http://schemas.microsoft.com/office/drawing/2010/main" spid="_x0000_s1084"/>
            </a:ext>
            <a:ext uri="{FF2B5EF4-FFF2-40B4-BE49-F238E27FC236}">
              <a16:creationId xmlns:a16="http://schemas.microsoft.com/office/drawing/2014/main" id="{00000000-0008-0000-0700-00003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254000</xdr:colOff>
      <xdr:row>30</xdr:row>
      <xdr:rowOff>177800</xdr:rowOff>
    </xdr:from>
    <xdr:to>
      <xdr:col>5</xdr:col>
      <xdr:colOff>508</xdr:colOff>
      <xdr:row>32</xdr:row>
      <xdr:rowOff>25400</xdr:rowOff>
    </xdr:to>
    <xdr:sp macro="" textlink="">
      <xdr:nvSpPr>
        <xdr:cNvPr id="1085" name="Object 61" hidden="1">
          <a:extLst>
            <a:ext uri="{63B3BB69-23CF-44E3-9099-C40C66FF867C}">
              <a14:compatExt xmlns:a14="http://schemas.microsoft.com/office/drawing/2010/main" spid="_x0000_s1085"/>
            </a:ext>
            <a:ext uri="{FF2B5EF4-FFF2-40B4-BE49-F238E27FC236}">
              <a16:creationId xmlns:a16="http://schemas.microsoft.com/office/drawing/2014/main" id="{00000000-0008-0000-0700-00003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6350</xdr:colOff>
      <xdr:row>28</xdr:row>
      <xdr:rowOff>63500</xdr:rowOff>
    </xdr:from>
    <xdr:to>
      <xdr:col>10</xdr:col>
      <xdr:colOff>774</xdr:colOff>
      <xdr:row>30</xdr:row>
      <xdr:rowOff>101600</xdr:rowOff>
    </xdr:to>
    <xdr:sp macro="" textlink="">
      <xdr:nvSpPr>
        <xdr:cNvPr id="1086" name="Object 62" hidden="1">
          <a:extLst>
            <a:ext uri="{63B3BB69-23CF-44E3-9099-C40C66FF867C}">
              <a14:compatExt xmlns:a14="http://schemas.microsoft.com/office/drawing/2010/main" spid="_x0000_s1086"/>
            </a:ext>
            <a:ext uri="{FF2B5EF4-FFF2-40B4-BE49-F238E27FC236}">
              <a16:creationId xmlns:a16="http://schemas.microsoft.com/office/drawing/2014/main" id="{00000000-0008-0000-0700-00003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196850</xdr:colOff>
      <xdr:row>31</xdr:row>
      <xdr:rowOff>0</xdr:rowOff>
    </xdr:from>
    <xdr:to>
      <xdr:col>7</xdr:col>
      <xdr:colOff>457200</xdr:colOff>
      <xdr:row>32</xdr:row>
      <xdr:rowOff>63500</xdr:rowOff>
    </xdr:to>
    <xdr:sp macro="" textlink="">
      <xdr:nvSpPr>
        <xdr:cNvPr id="1087" name="Object 63" hidden="1">
          <a:extLst>
            <a:ext uri="{63B3BB69-23CF-44E3-9099-C40C66FF867C}">
              <a14:compatExt xmlns:a14="http://schemas.microsoft.com/office/drawing/2010/main" spid="_x0000_s1087"/>
            </a:ext>
            <a:ext uri="{FF2B5EF4-FFF2-40B4-BE49-F238E27FC236}">
              <a16:creationId xmlns:a16="http://schemas.microsoft.com/office/drawing/2014/main" id="{00000000-0008-0000-0700-00003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2971800</xdr:colOff>
      <xdr:row>15</xdr:row>
      <xdr:rowOff>0</xdr:rowOff>
    </xdr:from>
    <xdr:to>
      <xdr:col>16</xdr:col>
      <xdr:colOff>412750</xdr:colOff>
      <xdr:row>16</xdr:row>
      <xdr:rowOff>0</xdr:rowOff>
    </xdr:to>
    <xdr:sp macro="" textlink="">
      <xdr:nvSpPr>
        <xdr:cNvPr id="1088" name="Object 64" hidden="1">
          <a:extLst>
            <a:ext uri="{63B3BB69-23CF-44E3-9099-C40C66FF867C}">
              <a14:compatExt xmlns:a14="http://schemas.microsoft.com/office/drawing/2010/main" spid="_x0000_s1088"/>
            </a:ext>
            <a:ext uri="{FF2B5EF4-FFF2-40B4-BE49-F238E27FC236}">
              <a16:creationId xmlns:a16="http://schemas.microsoft.com/office/drawing/2014/main" id="{00000000-0008-0000-0700-00004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2997200</xdr:colOff>
      <xdr:row>16</xdr:row>
      <xdr:rowOff>63500</xdr:rowOff>
    </xdr:from>
    <xdr:to>
      <xdr:col>16</xdr:col>
      <xdr:colOff>292100</xdr:colOff>
      <xdr:row>17</xdr:row>
      <xdr:rowOff>44450</xdr:rowOff>
    </xdr:to>
    <xdr:sp macro="" textlink="">
      <xdr:nvSpPr>
        <xdr:cNvPr id="1089" name="Object 65" hidden="1">
          <a:extLst>
            <a:ext uri="{63B3BB69-23CF-44E3-9099-C40C66FF867C}">
              <a14:compatExt xmlns:a14="http://schemas.microsoft.com/office/drawing/2010/main" spid="_x0000_s1089"/>
            </a:ext>
            <a:ext uri="{FF2B5EF4-FFF2-40B4-BE49-F238E27FC236}">
              <a16:creationId xmlns:a16="http://schemas.microsoft.com/office/drawing/2014/main" id="{00000000-0008-0000-0700-00004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101600</xdr:colOff>
      <xdr:row>68</xdr:row>
      <xdr:rowOff>82550</xdr:rowOff>
    </xdr:from>
    <xdr:to>
      <xdr:col>11</xdr:col>
      <xdr:colOff>254000</xdr:colOff>
      <xdr:row>72</xdr:row>
      <xdr:rowOff>69850</xdr:rowOff>
    </xdr:to>
    <xdr:sp macro="" textlink="">
      <xdr:nvSpPr>
        <xdr:cNvPr id="1096" name="Object 72" hidden="1">
          <a:extLst>
            <a:ext uri="{63B3BB69-23CF-44E3-9099-C40C66FF867C}">
              <a14:compatExt xmlns:a14="http://schemas.microsoft.com/office/drawing/2010/main" spid="_x0000_s1096"/>
            </a:ext>
            <a:ext uri="{FF2B5EF4-FFF2-40B4-BE49-F238E27FC236}">
              <a16:creationId xmlns:a16="http://schemas.microsoft.com/office/drawing/2014/main" id="{00000000-0008-0000-0700-00004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82550</xdr:colOff>
      <xdr:row>75</xdr:row>
      <xdr:rowOff>76200</xdr:rowOff>
    </xdr:from>
    <xdr:to>
      <xdr:col>8</xdr:col>
      <xdr:colOff>368300</xdr:colOff>
      <xdr:row>78</xdr:row>
      <xdr:rowOff>790</xdr:rowOff>
    </xdr:to>
    <xdr:sp macro="" textlink="">
      <xdr:nvSpPr>
        <xdr:cNvPr id="1097" name="Object 73" hidden="1">
          <a:extLst>
            <a:ext uri="{63B3BB69-23CF-44E3-9099-C40C66FF867C}">
              <a14:compatExt xmlns:a14="http://schemas.microsoft.com/office/drawing/2010/main" spid="_x0000_s1097"/>
            </a:ext>
            <a:ext uri="{FF2B5EF4-FFF2-40B4-BE49-F238E27FC236}">
              <a16:creationId xmlns:a16="http://schemas.microsoft.com/office/drawing/2014/main" id="{00000000-0008-0000-0700-00004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31750</xdr:colOff>
      <xdr:row>60</xdr:row>
      <xdr:rowOff>25400</xdr:rowOff>
    </xdr:from>
    <xdr:to>
      <xdr:col>10</xdr:col>
      <xdr:colOff>457200</xdr:colOff>
      <xdr:row>61</xdr:row>
      <xdr:rowOff>120650</xdr:rowOff>
    </xdr:to>
    <xdr:sp macro="" textlink="">
      <xdr:nvSpPr>
        <xdr:cNvPr id="1098" name="Object 74" hidden="1">
          <a:extLst>
            <a:ext uri="{63B3BB69-23CF-44E3-9099-C40C66FF867C}">
              <a14:compatExt xmlns:a14="http://schemas.microsoft.com/office/drawing/2010/main" spid="_x0000_s1098"/>
            </a:ext>
            <a:ext uri="{FF2B5EF4-FFF2-40B4-BE49-F238E27FC236}">
              <a16:creationId xmlns:a16="http://schemas.microsoft.com/office/drawing/2014/main" id="{00000000-0008-0000-0700-00004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107950</xdr:colOff>
      <xdr:row>54</xdr:row>
      <xdr:rowOff>69850</xdr:rowOff>
    </xdr:from>
    <xdr:to>
      <xdr:col>7</xdr:col>
      <xdr:colOff>101600</xdr:colOff>
      <xdr:row>56</xdr:row>
      <xdr:rowOff>63500</xdr:rowOff>
    </xdr:to>
    <xdr:sp macro="" textlink="">
      <xdr:nvSpPr>
        <xdr:cNvPr id="1099" name="Object 75" hidden="1">
          <a:extLst>
            <a:ext uri="{63B3BB69-23CF-44E3-9099-C40C66FF867C}">
              <a14:compatExt xmlns:a14="http://schemas.microsoft.com/office/drawing/2010/main" spid="_x0000_s1099"/>
            </a:ext>
            <a:ext uri="{FF2B5EF4-FFF2-40B4-BE49-F238E27FC236}">
              <a16:creationId xmlns:a16="http://schemas.microsoft.com/office/drawing/2014/main" id="{00000000-0008-0000-0700-00004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139700</xdr:colOff>
      <xdr:row>48</xdr:row>
      <xdr:rowOff>101600</xdr:rowOff>
    </xdr:from>
    <xdr:to>
      <xdr:col>9</xdr:col>
      <xdr:colOff>254000</xdr:colOff>
      <xdr:row>50</xdr:row>
      <xdr:rowOff>6350</xdr:rowOff>
    </xdr:to>
    <xdr:sp macro="" textlink="">
      <xdr:nvSpPr>
        <xdr:cNvPr id="1100" name="Object 76" hidden="1">
          <a:extLst>
            <a:ext uri="{63B3BB69-23CF-44E3-9099-C40C66FF867C}">
              <a14:compatExt xmlns:a14="http://schemas.microsoft.com/office/drawing/2010/main" spid="_x0000_s1100"/>
            </a:ext>
            <a:ext uri="{FF2B5EF4-FFF2-40B4-BE49-F238E27FC236}">
              <a16:creationId xmlns:a16="http://schemas.microsoft.com/office/drawing/2014/main" id="{00000000-0008-0000-0700-00004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31750</xdr:colOff>
      <xdr:row>27</xdr:row>
      <xdr:rowOff>120650</xdr:rowOff>
    </xdr:from>
    <xdr:to>
      <xdr:col>16</xdr:col>
      <xdr:colOff>177800</xdr:colOff>
      <xdr:row>29</xdr:row>
      <xdr:rowOff>139700</xdr:rowOff>
    </xdr:to>
    <xdr:sp macro="" textlink="">
      <xdr:nvSpPr>
        <xdr:cNvPr id="1103" name="Object 79" hidden="1">
          <a:extLst>
            <a:ext uri="{63B3BB69-23CF-44E3-9099-C40C66FF867C}">
              <a14:compatExt xmlns:a14="http://schemas.microsoft.com/office/drawing/2010/main" spid="_x0000_s1103"/>
            </a:ext>
            <a:ext uri="{FF2B5EF4-FFF2-40B4-BE49-F238E27FC236}">
              <a16:creationId xmlns:a16="http://schemas.microsoft.com/office/drawing/2014/main" id="{00000000-0008-0000-0700-00004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76200</xdr:colOff>
      <xdr:row>33</xdr:row>
      <xdr:rowOff>25400</xdr:rowOff>
    </xdr:from>
    <xdr:to>
      <xdr:col>15</xdr:col>
      <xdr:colOff>2133600</xdr:colOff>
      <xdr:row>35</xdr:row>
      <xdr:rowOff>25400</xdr:rowOff>
    </xdr:to>
    <xdr:sp macro="" textlink="">
      <xdr:nvSpPr>
        <xdr:cNvPr id="1104" name="Object 80" hidden="1">
          <a:extLst>
            <a:ext uri="{63B3BB69-23CF-44E3-9099-C40C66FF867C}">
              <a14:compatExt xmlns:a14="http://schemas.microsoft.com/office/drawing/2010/main" spid="_x0000_s1104"/>
            </a:ext>
            <a:ext uri="{FF2B5EF4-FFF2-40B4-BE49-F238E27FC236}">
              <a16:creationId xmlns:a16="http://schemas.microsoft.com/office/drawing/2014/main" id="{00000000-0008-0000-0700-00005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44450</xdr:colOff>
      <xdr:row>38</xdr:row>
      <xdr:rowOff>25400</xdr:rowOff>
    </xdr:from>
    <xdr:to>
      <xdr:col>15</xdr:col>
      <xdr:colOff>1860550</xdr:colOff>
      <xdr:row>41</xdr:row>
      <xdr:rowOff>44450</xdr:rowOff>
    </xdr:to>
    <xdr:sp macro="" textlink="">
      <xdr:nvSpPr>
        <xdr:cNvPr id="1105" name="Object 81" hidden="1">
          <a:extLst>
            <a:ext uri="{63B3BB69-23CF-44E3-9099-C40C66FF867C}">
              <a14:compatExt xmlns:a14="http://schemas.microsoft.com/office/drawing/2010/main" spid="_x0000_s1105"/>
            </a:ext>
            <a:ext uri="{FF2B5EF4-FFF2-40B4-BE49-F238E27FC236}">
              <a16:creationId xmlns:a16="http://schemas.microsoft.com/office/drawing/2014/main" id="{00000000-0008-0000-0700-00005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25400</xdr:colOff>
      <xdr:row>43</xdr:row>
      <xdr:rowOff>82550</xdr:rowOff>
    </xdr:from>
    <xdr:to>
      <xdr:col>16</xdr:col>
      <xdr:colOff>114300</xdr:colOff>
      <xdr:row>45</xdr:row>
      <xdr:rowOff>139700</xdr:rowOff>
    </xdr:to>
    <xdr:sp macro="" textlink="">
      <xdr:nvSpPr>
        <xdr:cNvPr id="1106" name="Object 82" hidden="1">
          <a:extLst>
            <a:ext uri="{63B3BB69-23CF-44E3-9099-C40C66FF867C}">
              <a14:compatExt xmlns:a14="http://schemas.microsoft.com/office/drawing/2010/main" spid="_x0000_s1106"/>
            </a:ext>
            <a:ext uri="{FF2B5EF4-FFF2-40B4-BE49-F238E27FC236}">
              <a16:creationId xmlns:a16="http://schemas.microsoft.com/office/drawing/2014/main" id="{00000000-0008-0000-0700-00005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14</xdr:col>
      <xdr:colOff>76200</xdr:colOff>
      <xdr:row>48</xdr:row>
      <xdr:rowOff>0</xdr:rowOff>
    </xdr:from>
    <xdr:to>
      <xdr:col>16</xdr:col>
      <xdr:colOff>254000</xdr:colOff>
      <xdr:row>50</xdr:row>
      <xdr:rowOff>76200</xdr:rowOff>
    </xdr:to>
    <xdr:sp macro="" textlink="">
      <xdr:nvSpPr>
        <xdr:cNvPr id="1107" name="Object 83" hidden="1">
          <a:extLst>
            <a:ext uri="{63B3BB69-23CF-44E3-9099-C40C66FF867C}">
              <a14:compatExt xmlns:a14="http://schemas.microsoft.com/office/drawing/2010/main" spid="_x0000_s1107"/>
            </a:ext>
            <a:ext uri="{FF2B5EF4-FFF2-40B4-BE49-F238E27FC236}">
              <a16:creationId xmlns:a16="http://schemas.microsoft.com/office/drawing/2014/main" id="{00000000-0008-0000-0700-00005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14</xdr:col>
      <xdr:colOff>101600</xdr:colOff>
      <xdr:row>53</xdr:row>
      <xdr:rowOff>69850</xdr:rowOff>
    </xdr:from>
    <xdr:to>
      <xdr:col>16</xdr:col>
      <xdr:colOff>101600</xdr:colOff>
      <xdr:row>56</xdr:row>
      <xdr:rowOff>76200</xdr:rowOff>
    </xdr:to>
    <xdr:sp macro="" textlink="">
      <xdr:nvSpPr>
        <xdr:cNvPr id="1108" name="Object 84" hidden="1">
          <a:extLst>
            <a:ext uri="{63B3BB69-23CF-44E3-9099-C40C66FF867C}">
              <a14:compatExt xmlns:a14="http://schemas.microsoft.com/office/drawing/2010/main" spid="_x0000_s1108"/>
            </a:ext>
            <a:ext uri="{FF2B5EF4-FFF2-40B4-BE49-F238E27FC236}">
              <a16:creationId xmlns:a16="http://schemas.microsoft.com/office/drawing/2014/main" id="{00000000-0008-0000-0700-00005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14</xdr:col>
      <xdr:colOff>76200</xdr:colOff>
      <xdr:row>66</xdr:row>
      <xdr:rowOff>76200</xdr:rowOff>
    </xdr:from>
    <xdr:to>
      <xdr:col>15</xdr:col>
      <xdr:colOff>1835150</xdr:colOff>
      <xdr:row>68</xdr:row>
      <xdr:rowOff>76200</xdr:rowOff>
    </xdr:to>
    <xdr:sp macro="" textlink="">
      <xdr:nvSpPr>
        <xdr:cNvPr id="1110" name="Object 86" hidden="1">
          <a:extLst>
            <a:ext uri="{63B3BB69-23CF-44E3-9099-C40C66FF867C}">
              <a14:compatExt xmlns:a14="http://schemas.microsoft.com/office/drawing/2010/main" spid="_x0000_s1110"/>
            </a:ext>
            <a:ext uri="{FF2B5EF4-FFF2-40B4-BE49-F238E27FC236}">
              <a16:creationId xmlns:a16="http://schemas.microsoft.com/office/drawing/2014/main" id="{00000000-0008-0000-0700-00005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44450</xdr:colOff>
      <xdr:row>72</xdr:row>
      <xdr:rowOff>152400</xdr:rowOff>
    </xdr:from>
    <xdr:to>
      <xdr:col>18</xdr:col>
      <xdr:colOff>558800</xdr:colOff>
      <xdr:row>74</xdr:row>
      <xdr:rowOff>63500</xdr:rowOff>
    </xdr:to>
    <xdr:sp macro="" textlink="">
      <xdr:nvSpPr>
        <xdr:cNvPr id="1111" name="Object 87" hidden="1">
          <a:extLst>
            <a:ext uri="{63B3BB69-23CF-44E3-9099-C40C66FF867C}">
              <a14:compatExt xmlns:a14="http://schemas.microsoft.com/office/drawing/2010/main" spid="_x0000_s1111"/>
            </a:ext>
            <a:ext uri="{FF2B5EF4-FFF2-40B4-BE49-F238E27FC236}">
              <a16:creationId xmlns:a16="http://schemas.microsoft.com/office/drawing/2014/main" id="{00000000-0008-0000-0700-00005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44450</xdr:colOff>
      <xdr:row>44</xdr:row>
      <xdr:rowOff>177800</xdr:rowOff>
    </xdr:from>
    <xdr:to>
      <xdr:col>6</xdr:col>
      <xdr:colOff>120650</xdr:colOff>
      <xdr:row>46</xdr:row>
      <xdr:rowOff>31750</xdr:rowOff>
    </xdr:to>
    <xdr:sp macro="" textlink="">
      <xdr:nvSpPr>
        <xdr:cNvPr id="1113" name="Object 89" hidden="1">
          <a:extLst>
            <a:ext uri="{63B3BB69-23CF-44E3-9099-C40C66FF867C}">
              <a14:compatExt xmlns:a14="http://schemas.microsoft.com/office/drawing/2010/main" spid="_x0000_s1113"/>
            </a:ext>
            <a:ext uri="{FF2B5EF4-FFF2-40B4-BE49-F238E27FC236}">
              <a16:creationId xmlns:a16="http://schemas.microsoft.com/office/drawing/2014/main" id="{00000000-0008-0000-0700-00005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139700</xdr:colOff>
      <xdr:row>57</xdr:row>
      <xdr:rowOff>177800</xdr:rowOff>
    </xdr:to>
    <xdr:sp macro="" textlink="">
      <xdr:nvSpPr>
        <xdr:cNvPr id="1114" name="Object 90" hidden="1">
          <a:extLst>
            <a:ext uri="{63B3BB69-23CF-44E3-9099-C40C66FF867C}">
              <a14:compatExt xmlns:a14="http://schemas.microsoft.com/office/drawing/2010/main" spid="_x0000_s1114"/>
            </a:ext>
            <a:ext uri="{FF2B5EF4-FFF2-40B4-BE49-F238E27FC236}">
              <a16:creationId xmlns:a16="http://schemas.microsoft.com/office/drawing/2014/main" id="{00000000-0008-0000-0700-00005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63500</xdr:colOff>
      <xdr:row>65</xdr:row>
      <xdr:rowOff>25400</xdr:rowOff>
    </xdr:from>
    <xdr:to>
      <xdr:col>5</xdr:col>
      <xdr:colOff>565150</xdr:colOff>
      <xdr:row>66</xdr:row>
      <xdr:rowOff>63500</xdr:rowOff>
    </xdr:to>
    <xdr:sp macro="" textlink="">
      <xdr:nvSpPr>
        <xdr:cNvPr id="1115" name="Object 91" hidden="1">
          <a:extLst>
            <a:ext uri="{63B3BB69-23CF-44E3-9099-C40C66FF867C}">
              <a14:compatExt xmlns:a14="http://schemas.microsoft.com/office/drawing/2010/main" spid="_x0000_s1115"/>
            </a:ext>
            <a:ext uri="{FF2B5EF4-FFF2-40B4-BE49-F238E27FC236}">
              <a16:creationId xmlns:a16="http://schemas.microsoft.com/office/drawing/2014/main" id="{00000000-0008-0000-0700-00005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120650</xdr:colOff>
      <xdr:row>10</xdr:row>
      <xdr:rowOff>120650</xdr:rowOff>
    </xdr:from>
    <xdr:to>
      <xdr:col>6</xdr:col>
      <xdr:colOff>463550</xdr:colOff>
      <xdr:row>12</xdr:row>
      <xdr:rowOff>6350</xdr:rowOff>
    </xdr:to>
    <xdr:sp macro="" textlink="">
      <xdr:nvSpPr>
        <xdr:cNvPr id="1154" name="Object 130" hidden="1">
          <a:extLst>
            <a:ext uri="{63B3BB69-23CF-44E3-9099-C40C66FF867C}">
              <a14:compatExt xmlns:a14="http://schemas.microsoft.com/office/drawing/2010/main" spid="_x0000_s1154"/>
            </a:ext>
            <a:ext uri="{FF2B5EF4-FFF2-40B4-BE49-F238E27FC236}">
              <a16:creationId xmlns:a16="http://schemas.microsoft.com/office/drawing/2014/main" id="{00000000-0008-0000-0700-00008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13</xdr:row>
          <xdr:rowOff>19050</xdr:rowOff>
        </xdr:from>
        <xdr:to>
          <xdr:col>4</xdr:col>
          <xdr:colOff>466725</xdr:colOff>
          <xdr:row>13</xdr:row>
          <xdr:rowOff>161925</xdr:rowOff>
        </xdr:to>
        <xdr:sp macro="" textlink="">
          <xdr:nvSpPr>
            <xdr:cNvPr id="1155" name="Object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7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425450</xdr:colOff>
      <xdr:row>42</xdr:row>
      <xdr:rowOff>228600</xdr:rowOff>
    </xdr:from>
    <xdr:to>
      <xdr:col>10</xdr:col>
      <xdr:colOff>774</xdr:colOff>
      <xdr:row>44</xdr:row>
      <xdr:rowOff>31750</xdr:rowOff>
    </xdr:to>
    <xdr:sp macro="" textlink="">
      <xdr:nvSpPr>
        <xdr:cNvPr id="1156" name="Object 132" hidden="1">
          <a:extLst>
            <a:ext uri="{63B3BB69-23CF-44E3-9099-C40C66FF867C}">
              <a14:compatExt xmlns:a14="http://schemas.microsoft.com/office/drawing/2010/main" spid="_x0000_s1156"/>
            </a:ext>
            <a:ext uri="{FF2B5EF4-FFF2-40B4-BE49-F238E27FC236}">
              <a16:creationId xmlns:a16="http://schemas.microsoft.com/office/drawing/2014/main" id="{00000000-0008-0000-0700-00008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63500</xdr:colOff>
      <xdr:row>36</xdr:row>
      <xdr:rowOff>63500</xdr:rowOff>
    </xdr:from>
    <xdr:to>
      <xdr:col>9</xdr:col>
      <xdr:colOff>457200</xdr:colOff>
      <xdr:row>38</xdr:row>
      <xdr:rowOff>139700</xdr:rowOff>
    </xdr:to>
    <xdr:sp macro="" textlink="">
      <xdr:nvSpPr>
        <xdr:cNvPr id="1172" name="Object 148" hidden="1">
          <a:extLst>
            <a:ext uri="{63B3BB69-23CF-44E3-9099-C40C66FF867C}">
              <a14:compatExt xmlns:a14="http://schemas.microsoft.com/office/drawing/2010/main" spid="_x0000_s1172"/>
            </a:ext>
            <a:ext uri="{FF2B5EF4-FFF2-40B4-BE49-F238E27FC236}">
              <a16:creationId xmlns:a16="http://schemas.microsoft.com/office/drawing/2014/main" id="{00000000-0008-0000-0700-00009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31750</xdr:colOff>
      <xdr:row>39</xdr:row>
      <xdr:rowOff>44450</xdr:rowOff>
    </xdr:from>
    <xdr:to>
      <xdr:col>11</xdr:col>
      <xdr:colOff>412750</xdr:colOff>
      <xdr:row>41</xdr:row>
      <xdr:rowOff>139700</xdr:rowOff>
    </xdr:to>
    <xdr:sp macro="" textlink="">
      <xdr:nvSpPr>
        <xdr:cNvPr id="1173" name="Object 149" hidden="1">
          <a:extLst>
            <a:ext uri="{63B3BB69-23CF-44E3-9099-C40C66FF867C}">
              <a14:compatExt xmlns:a14="http://schemas.microsoft.com/office/drawing/2010/main" spid="_x0000_s1173"/>
            </a:ext>
            <a:ext uri="{FF2B5EF4-FFF2-40B4-BE49-F238E27FC236}">
              <a16:creationId xmlns:a16="http://schemas.microsoft.com/office/drawing/2014/main" id="{00000000-0008-0000-0700-00009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44450</xdr:colOff>
      <xdr:row>59</xdr:row>
      <xdr:rowOff>114300</xdr:rowOff>
    </xdr:from>
    <xdr:to>
      <xdr:col>19</xdr:col>
      <xdr:colOff>184150</xdr:colOff>
      <xdr:row>63</xdr:row>
      <xdr:rowOff>107950</xdr:rowOff>
    </xdr:to>
    <xdr:sp macro="" textlink="">
      <xdr:nvSpPr>
        <xdr:cNvPr id="1174" name="Object 150" hidden="1">
          <a:extLst>
            <a:ext uri="{63B3BB69-23CF-44E3-9099-C40C66FF867C}">
              <a14:compatExt xmlns:a14="http://schemas.microsoft.com/office/drawing/2010/main" spid="_x0000_s1174"/>
            </a:ext>
            <a:ext uri="{FF2B5EF4-FFF2-40B4-BE49-F238E27FC236}">
              <a16:creationId xmlns:a16="http://schemas.microsoft.com/office/drawing/2014/main" id="{00000000-0008-0000-0700-00009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36</xdr:col>
      <xdr:colOff>6350</xdr:colOff>
      <xdr:row>0</xdr:row>
      <xdr:rowOff>31750</xdr:rowOff>
    </xdr:from>
    <xdr:to>
      <xdr:col>41</xdr:col>
      <xdr:colOff>228600</xdr:colOff>
      <xdr:row>1</xdr:row>
      <xdr:rowOff>158750</xdr:rowOff>
    </xdr:to>
    <xdr:sp macro="" textlink="">
      <xdr:nvSpPr>
        <xdr:cNvPr id="1176" name="Object 152" hidden="1">
          <a:extLst>
            <a:ext uri="{63B3BB69-23CF-44E3-9099-C40C66FF867C}">
              <a14:compatExt xmlns:a14="http://schemas.microsoft.com/office/drawing/2010/main" spid="_x0000_s1176"/>
            </a:ext>
            <a:ext uri="{FF2B5EF4-FFF2-40B4-BE49-F238E27FC236}">
              <a16:creationId xmlns:a16="http://schemas.microsoft.com/office/drawing/2014/main" id="{00000000-0008-0000-0700-00009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43</xdr:col>
      <xdr:colOff>25400</xdr:colOff>
      <xdr:row>0</xdr:row>
      <xdr:rowOff>63500</xdr:rowOff>
    </xdr:from>
    <xdr:to>
      <xdr:col>49</xdr:col>
      <xdr:colOff>222250</xdr:colOff>
      <xdr:row>1</xdr:row>
      <xdr:rowOff>139700</xdr:rowOff>
    </xdr:to>
    <xdr:sp macro="" textlink="">
      <xdr:nvSpPr>
        <xdr:cNvPr id="1177" name="Object 153" hidden="1">
          <a:extLst>
            <a:ext uri="{63B3BB69-23CF-44E3-9099-C40C66FF867C}">
              <a14:compatExt xmlns:a14="http://schemas.microsoft.com/office/drawing/2010/main" spid="_x0000_s1177"/>
            </a:ext>
            <a:ext uri="{FF2B5EF4-FFF2-40B4-BE49-F238E27FC236}">
              <a16:creationId xmlns:a16="http://schemas.microsoft.com/office/drawing/2014/main" id="{00000000-0008-0000-0700-00009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51</xdr:col>
      <xdr:colOff>25400</xdr:colOff>
      <xdr:row>0</xdr:row>
      <xdr:rowOff>25400</xdr:rowOff>
    </xdr:from>
    <xdr:to>
      <xdr:col>53</xdr:col>
      <xdr:colOff>482600</xdr:colOff>
      <xdr:row>1</xdr:row>
      <xdr:rowOff>152400</xdr:rowOff>
    </xdr:to>
    <xdr:sp macro="" textlink="">
      <xdr:nvSpPr>
        <xdr:cNvPr id="1178" name="Object 154" hidden="1">
          <a:extLst>
            <a:ext uri="{63B3BB69-23CF-44E3-9099-C40C66FF867C}">
              <a14:compatExt xmlns:a14="http://schemas.microsoft.com/office/drawing/2010/main" spid="_x0000_s1178"/>
            </a:ext>
            <a:ext uri="{FF2B5EF4-FFF2-40B4-BE49-F238E27FC236}">
              <a16:creationId xmlns:a16="http://schemas.microsoft.com/office/drawing/2014/main" id="{00000000-0008-0000-0700-00009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25400</xdr:colOff>
      <xdr:row>76</xdr:row>
      <xdr:rowOff>177800</xdr:rowOff>
    </xdr:from>
    <xdr:to>
      <xdr:col>19</xdr:col>
      <xdr:colOff>539750</xdr:colOff>
      <xdr:row>79</xdr:row>
      <xdr:rowOff>38100</xdr:rowOff>
    </xdr:to>
    <xdr:sp macro="" textlink="">
      <xdr:nvSpPr>
        <xdr:cNvPr id="1179" name="Object 155" hidden="1">
          <a:extLst>
            <a:ext uri="{63B3BB69-23CF-44E3-9099-C40C66FF867C}">
              <a14:compatExt xmlns:a14="http://schemas.microsoft.com/office/drawing/2010/main" spid="_x0000_s1179"/>
            </a:ext>
            <a:ext uri="{FF2B5EF4-FFF2-40B4-BE49-F238E27FC236}">
              <a16:creationId xmlns:a16="http://schemas.microsoft.com/office/drawing/2014/main" id="{00000000-0008-0000-0700-00009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15</xdr:col>
      <xdr:colOff>76200</xdr:colOff>
      <xdr:row>82</xdr:row>
      <xdr:rowOff>139700</xdr:rowOff>
    </xdr:from>
    <xdr:to>
      <xdr:col>19</xdr:col>
      <xdr:colOff>69850</xdr:colOff>
      <xdr:row>85</xdr:row>
      <xdr:rowOff>6350</xdr:rowOff>
    </xdr:to>
    <xdr:sp macro="" textlink="">
      <xdr:nvSpPr>
        <xdr:cNvPr id="1180" name="Object 156" hidden="1">
          <a:extLst>
            <a:ext uri="{63B3BB69-23CF-44E3-9099-C40C66FF867C}">
              <a14:compatExt xmlns:a14="http://schemas.microsoft.com/office/drawing/2010/main" spid="_x0000_s1180"/>
            </a:ext>
            <a:ext uri="{FF2B5EF4-FFF2-40B4-BE49-F238E27FC236}">
              <a16:creationId xmlns:a16="http://schemas.microsoft.com/office/drawing/2014/main" id="{00000000-0008-0000-0700-00009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58</xdr:col>
      <xdr:colOff>44450</xdr:colOff>
      <xdr:row>0</xdr:row>
      <xdr:rowOff>76200</xdr:rowOff>
    </xdr:from>
    <xdr:to>
      <xdr:col>66</xdr:col>
      <xdr:colOff>311150</xdr:colOff>
      <xdr:row>1</xdr:row>
      <xdr:rowOff>146050</xdr:rowOff>
    </xdr:to>
    <xdr:sp macro="" textlink="">
      <xdr:nvSpPr>
        <xdr:cNvPr id="1181" name="Object 157" hidden="1">
          <a:extLst>
            <a:ext uri="{63B3BB69-23CF-44E3-9099-C40C66FF867C}">
              <a14:compatExt xmlns:a14="http://schemas.microsoft.com/office/drawing/2010/main" spid="_x0000_s1181"/>
            </a:ext>
            <a:ext uri="{FF2B5EF4-FFF2-40B4-BE49-F238E27FC236}">
              <a16:creationId xmlns:a16="http://schemas.microsoft.com/office/drawing/2014/main" id="{00000000-0008-0000-0700-00009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7</xdr:row>
      <xdr:rowOff>38100</xdr:rowOff>
    </xdr:from>
    <xdr:to>
      <xdr:col>5</xdr:col>
      <xdr:colOff>571500</xdr:colOff>
      <xdr:row>8</xdr:row>
      <xdr:rowOff>599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457325"/>
          <a:ext cx="11430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</xdr:row>
      <xdr:rowOff>38100</xdr:rowOff>
    </xdr:from>
    <xdr:to>
      <xdr:col>9</xdr:col>
      <xdr:colOff>438150</xdr:colOff>
      <xdr:row>6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885825"/>
          <a:ext cx="3476625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7</xdr:col>
      <xdr:colOff>219075</xdr:colOff>
      <xdr:row>7</xdr:row>
      <xdr:rowOff>38100</xdr:rowOff>
    </xdr:from>
    <xdr:to>
      <xdr:col>7</xdr:col>
      <xdr:colOff>609600</xdr:colOff>
      <xdr:row>8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1457325"/>
          <a:ext cx="39052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9</xdr:col>
      <xdr:colOff>552450</xdr:colOff>
      <xdr:row>7</xdr:row>
      <xdr:rowOff>47625</xdr:rowOff>
    </xdr:from>
    <xdr:to>
      <xdr:col>10</xdr:col>
      <xdr:colOff>609600</xdr:colOff>
      <xdr:row>8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66850"/>
          <a:ext cx="6667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6</xdr:col>
      <xdr:colOff>368419</xdr:colOff>
      <xdr:row>13</xdr:row>
      <xdr:rowOff>1797</xdr:rowOff>
    </xdr:from>
    <xdr:to>
      <xdr:col>6</xdr:col>
      <xdr:colOff>609600</xdr:colOff>
      <xdr:row>14</xdr:row>
      <xdr:rowOff>47625</xdr:rowOff>
    </xdr:to>
    <xdr:pic>
      <xdr:nvPicPr>
        <xdr:cNvPr id="8" name="Picture 9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0943" y="2634651"/>
          <a:ext cx="241181" cy="23453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</xdr:colOff>
      <xdr:row>16</xdr:row>
      <xdr:rowOff>57150</xdr:rowOff>
    </xdr:from>
    <xdr:to>
      <xdr:col>5</xdr:col>
      <xdr:colOff>609600</xdr:colOff>
      <xdr:row>17</xdr:row>
      <xdr:rowOff>180975</xdr:rowOff>
    </xdr:to>
    <xdr:pic>
      <xdr:nvPicPr>
        <xdr:cNvPr id="9" name="Picture 10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3276600"/>
          <a:ext cx="115252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4</xdr:col>
      <xdr:colOff>609600</xdr:colOff>
      <xdr:row>19</xdr:row>
      <xdr:rowOff>1797</xdr:rowOff>
    </xdr:to>
    <xdr:pic>
      <xdr:nvPicPr>
        <xdr:cNvPr id="10" name="Picture 1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3638550"/>
          <a:ext cx="1143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57150</xdr:colOff>
      <xdr:row>42</xdr:row>
      <xdr:rowOff>238125</xdr:rowOff>
    </xdr:from>
    <xdr:to>
      <xdr:col>6</xdr:col>
      <xdr:colOff>219075</xdr:colOff>
      <xdr:row>44</xdr:row>
      <xdr:rowOff>9525</xdr:rowOff>
    </xdr:to>
    <xdr:pic>
      <xdr:nvPicPr>
        <xdr:cNvPr id="11" name="Picture 13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8401050"/>
          <a:ext cx="138112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381000</xdr:colOff>
      <xdr:row>19</xdr:row>
      <xdr:rowOff>47625</xdr:rowOff>
    </xdr:from>
    <xdr:to>
      <xdr:col>0</xdr:col>
      <xdr:colOff>561975</xdr:colOff>
      <xdr:row>20</xdr:row>
      <xdr:rowOff>9525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838575"/>
          <a:ext cx="1809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352425</xdr:colOff>
      <xdr:row>18</xdr:row>
      <xdr:rowOff>9525</xdr:rowOff>
    </xdr:from>
    <xdr:to>
      <xdr:col>0</xdr:col>
      <xdr:colOff>609600</xdr:colOff>
      <xdr:row>19</xdr:row>
      <xdr:rowOff>0</xdr:rowOff>
    </xdr:to>
    <xdr:pic>
      <xdr:nvPicPr>
        <xdr:cNvPr id="13" name="Picture 18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3609975"/>
          <a:ext cx="25717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400050</xdr:colOff>
      <xdr:row>57</xdr:row>
      <xdr:rowOff>38100</xdr:rowOff>
    </xdr:from>
    <xdr:to>
      <xdr:col>4</xdr:col>
      <xdr:colOff>571500</xdr:colOff>
      <xdr:row>58</xdr:row>
      <xdr:rowOff>1797</xdr:rowOff>
    </xdr:to>
    <xdr:pic>
      <xdr:nvPicPr>
        <xdr:cNvPr id="14" name="Picture 2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1144250"/>
          <a:ext cx="17145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</xdr:colOff>
      <xdr:row>63</xdr:row>
      <xdr:rowOff>9525</xdr:rowOff>
    </xdr:from>
    <xdr:to>
      <xdr:col>4</xdr:col>
      <xdr:colOff>609600</xdr:colOff>
      <xdr:row>64</xdr:row>
      <xdr:rowOff>1797</xdr:rowOff>
    </xdr:to>
    <xdr:pic>
      <xdr:nvPicPr>
        <xdr:cNvPr id="15" name="Picture 23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12258675"/>
          <a:ext cx="542925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400050</xdr:colOff>
      <xdr:row>51</xdr:row>
      <xdr:rowOff>38100</xdr:rowOff>
    </xdr:from>
    <xdr:to>
      <xdr:col>4</xdr:col>
      <xdr:colOff>609600</xdr:colOff>
      <xdr:row>52</xdr:row>
      <xdr:rowOff>1797</xdr:rowOff>
    </xdr:to>
    <xdr:pic>
      <xdr:nvPicPr>
        <xdr:cNvPr id="16" name="Picture 2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0001250"/>
          <a:ext cx="20955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6</xdr:col>
      <xdr:colOff>352425</xdr:colOff>
      <xdr:row>51</xdr:row>
      <xdr:rowOff>38100</xdr:rowOff>
    </xdr:from>
    <xdr:to>
      <xdr:col>6</xdr:col>
      <xdr:colOff>609600</xdr:colOff>
      <xdr:row>52</xdr:row>
      <xdr:rowOff>38100</xdr:rowOff>
    </xdr:to>
    <xdr:pic>
      <xdr:nvPicPr>
        <xdr:cNvPr id="17" name="Picture 2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0001250"/>
          <a:ext cx="25717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6</xdr:col>
      <xdr:colOff>447675</xdr:colOff>
      <xdr:row>62</xdr:row>
      <xdr:rowOff>266700</xdr:rowOff>
    </xdr:from>
    <xdr:to>
      <xdr:col>7</xdr:col>
      <xdr:colOff>609600</xdr:colOff>
      <xdr:row>64</xdr:row>
      <xdr:rowOff>180975</xdr:rowOff>
    </xdr:to>
    <xdr:pic>
      <xdr:nvPicPr>
        <xdr:cNvPr id="18" name="Picture 2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12249150"/>
          <a:ext cx="771525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9</xdr:col>
      <xdr:colOff>114300</xdr:colOff>
      <xdr:row>62</xdr:row>
      <xdr:rowOff>228600</xdr:rowOff>
    </xdr:from>
    <xdr:to>
      <xdr:col>9</xdr:col>
      <xdr:colOff>609600</xdr:colOff>
      <xdr:row>64</xdr:row>
      <xdr:rowOff>123825</xdr:rowOff>
    </xdr:to>
    <xdr:pic>
      <xdr:nvPicPr>
        <xdr:cNvPr id="19" name="Picture 29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249150"/>
          <a:ext cx="495300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16</xdr:col>
      <xdr:colOff>209550</xdr:colOff>
      <xdr:row>3</xdr:row>
      <xdr:rowOff>38100</xdr:rowOff>
    </xdr:from>
    <xdr:to>
      <xdr:col>16</xdr:col>
      <xdr:colOff>438150</xdr:colOff>
      <xdr:row>4</xdr:row>
      <xdr:rowOff>3954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0" y="657225"/>
          <a:ext cx="2286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16</xdr:col>
      <xdr:colOff>219075</xdr:colOff>
      <xdr:row>4</xdr:row>
      <xdr:rowOff>38100</xdr:rowOff>
    </xdr:from>
    <xdr:to>
      <xdr:col>16</xdr:col>
      <xdr:colOff>409575</xdr:colOff>
      <xdr:row>5</xdr:row>
      <xdr:rowOff>0</xdr:rowOff>
    </xdr:to>
    <xdr:pic>
      <xdr:nvPicPr>
        <xdr:cNvPr id="21" name="Picture 31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8775" y="885825"/>
          <a:ext cx="1905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16</xdr:col>
      <xdr:colOff>209550</xdr:colOff>
      <xdr:row>7</xdr:row>
      <xdr:rowOff>47625</xdr:rowOff>
    </xdr:from>
    <xdr:to>
      <xdr:col>16</xdr:col>
      <xdr:colOff>438150</xdr:colOff>
      <xdr:row>7</xdr:row>
      <xdr:rowOff>219075</xdr:rowOff>
    </xdr:to>
    <xdr:pic>
      <xdr:nvPicPr>
        <xdr:cNvPr id="22" name="Picture 32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0" y="1466850"/>
          <a:ext cx="2286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16</xdr:col>
      <xdr:colOff>47625</xdr:colOff>
      <xdr:row>8</xdr:row>
      <xdr:rowOff>38100</xdr:rowOff>
    </xdr:from>
    <xdr:to>
      <xdr:col>16</xdr:col>
      <xdr:colOff>438150</xdr:colOff>
      <xdr:row>9</xdr:row>
      <xdr:rowOff>3954</xdr:rowOff>
    </xdr:to>
    <xdr:pic>
      <xdr:nvPicPr>
        <xdr:cNvPr id="23" name="Picture 33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7325" y="1695450"/>
          <a:ext cx="3905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16</xdr:col>
      <xdr:colOff>209550</xdr:colOff>
      <xdr:row>11</xdr:row>
      <xdr:rowOff>38100</xdr:rowOff>
    </xdr:from>
    <xdr:to>
      <xdr:col>16</xdr:col>
      <xdr:colOff>438150</xdr:colOff>
      <xdr:row>12</xdr:row>
      <xdr:rowOff>1797</xdr:rowOff>
    </xdr:to>
    <xdr:pic>
      <xdr:nvPicPr>
        <xdr:cNvPr id="24" name="Picture 36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0" y="2305050"/>
          <a:ext cx="2286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1038225</xdr:colOff>
      <xdr:row>21</xdr:row>
      <xdr:rowOff>238125</xdr:rowOff>
    </xdr:from>
    <xdr:to>
      <xdr:col>8</xdr:col>
      <xdr:colOff>609600</xdr:colOff>
      <xdr:row>24</xdr:row>
      <xdr:rowOff>0</xdr:rowOff>
    </xdr:to>
    <xdr:pic>
      <xdr:nvPicPr>
        <xdr:cNvPr id="25" name="Picture 49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4362450"/>
          <a:ext cx="3048000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1066800</xdr:colOff>
      <xdr:row>40</xdr:row>
      <xdr:rowOff>123825</xdr:rowOff>
    </xdr:from>
    <xdr:to>
      <xdr:col>1</xdr:col>
      <xdr:colOff>2324100</xdr:colOff>
      <xdr:row>42</xdr:row>
      <xdr:rowOff>114300</xdr:rowOff>
    </xdr:to>
    <xdr:pic>
      <xdr:nvPicPr>
        <xdr:cNvPr id="26" name="Picture 56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5275"/>
          <a:ext cx="2324100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981075</xdr:colOff>
      <xdr:row>43</xdr:row>
      <xdr:rowOff>152400</xdr:rowOff>
    </xdr:from>
    <xdr:to>
      <xdr:col>3</xdr:col>
      <xdr:colOff>114300</xdr:colOff>
      <xdr:row>46</xdr:row>
      <xdr:rowOff>9525</xdr:rowOff>
    </xdr:to>
    <xdr:pic>
      <xdr:nvPicPr>
        <xdr:cNvPr id="27" name="Picture 57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53450"/>
          <a:ext cx="3048000" cy="428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1038225</xdr:colOff>
      <xdr:row>27</xdr:row>
      <xdr:rowOff>95250</xdr:rowOff>
    </xdr:from>
    <xdr:to>
      <xdr:col>2</xdr:col>
      <xdr:colOff>438150</xdr:colOff>
      <xdr:row>28</xdr:row>
      <xdr:rowOff>180975</xdr:rowOff>
    </xdr:to>
    <xdr:pic>
      <xdr:nvPicPr>
        <xdr:cNvPr id="28" name="Picture 58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0200"/>
          <a:ext cx="2762250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109160</xdr:colOff>
      <xdr:row>24</xdr:row>
      <xdr:rowOff>161745</xdr:rowOff>
    </xdr:from>
    <xdr:to>
      <xdr:col>4</xdr:col>
      <xdr:colOff>584082</xdr:colOff>
      <xdr:row>25</xdr:row>
      <xdr:rowOff>179716</xdr:rowOff>
    </xdr:to>
    <xdr:pic>
      <xdr:nvPicPr>
        <xdr:cNvPr id="29" name="Picture 59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9608" y="4870330"/>
          <a:ext cx="474922" cy="2066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7</xdr:col>
      <xdr:colOff>381191</xdr:colOff>
      <xdr:row>25</xdr:row>
      <xdr:rowOff>26957</xdr:rowOff>
    </xdr:from>
    <xdr:to>
      <xdr:col>7</xdr:col>
      <xdr:colOff>602051</xdr:colOff>
      <xdr:row>26</xdr:row>
      <xdr:rowOff>26773</xdr:rowOff>
    </xdr:to>
    <xdr:pic>
      <xdr:nvPicPr>
        <xdr:cNvPr id="30" name="Picture 60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4752" y="4924245"/>
          <a:ext cx="220860" cy="18851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381000</xdr:colOff>
      <xdr:row>30</xdr:row>
      <xdr:rowOff>266700</xdr:rowOff>
    </xdr:from>
    <xdr:to>
      <xdr:col>4</xdr:col>
      <xdr:colOff>609600</xdr:colOff>
      <xdr:row>32</xdr:row>
      <xdr:rowOff>38100</xdr:rowOff>
    </xdr:to>
    <xdr:pic>
      <xdr:nvPicPr>
        <xdr:cNvPr id="31" name="Picture 6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6076950"/>
          <a:ext cx="2286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28</xdr:row>
      <xdr:rowOff>95250</xdr:rowOff>
    </xdr:from>
    <xdr:to>
      <xdr:col>9</xdr:col>
      <xdr:colOff>609600</xdr:colOff>
      <xdr:row>30</xdr:row>
      <xdr:rowOff>152400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5600700"/>
          <a:ext cx="3648075" cy="438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7</xdr:col>
      <xdr:colOff>295275</xdr:colOff>
      <xdr:row>31</xdr:row>
      <xdr:rowOff>0</xdr:rowOff>
    </xdr:from>
    <xdr:to>
      <xdr:col>7</xdr:col>
      <xdr:colOff>609600</xdr:colOff>
      <xdr:row>32</xdr:row>
      <xdr:rowOff>95250</xdr:rowOff>
    </xdr:to>
    <xdr:pic>
      <xdr:nvPicPr>
        <xdr:cNvPr id="33" name="Picture 63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6076950"/>
          <a:ext cx="314325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15</xdr:col>
      <xdr:colOff>4457700</xdr:colOff>
      <xdr:row>15</xdr:row>
      <xdr:rowOff>0</xdr:rowOff>
    </xdr:from>
    <xdr:to>
      <xdr:col>16</xdr:col>
      <xdr:colOff>438150</xdr:colOff>
      <xdr:row>16</xdr:row>
      <xdr:rowOff>0</xdr:rowOff>
    </xdr:to>
    <xdr:pic>
      <xdr:nvPicPr>
        <xdr:cNvPr id="34" name="Picture 64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9700" y="3028950"/>
          <a:ext cx="4381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15</xdr:col>
      <xdr:colOff>4495800</xdr:colOff>
      <xdr:row>16</xdr:row>
      <xdr:rowOff>95250</xdr:rowOff>
    </xdr:from>
    <xdr:to>
      <xdr:col>16</xdr:col>
      <xdr:colOff>438150</xdr:colOff>
      <xdr:row>17</xdr:row>
      <xdr:rowOff>66675</xdr:rowOff>
    </xdr:to>
    <xdr:pic>
      <xdr:nvPicPr>
        <xdr:cNvPr id="35" name="Picture 65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9700" y="3314700"/>
          <a:ext cx="43815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152400</xdr:colOff>
      <xdr:row>68</xdr:row>
      <xdr:rowOff>123825</xdr:rowOff>
    </xdr:from>
    <xdr:to>
      <xdr:col>11</xdr:col>
      <xdr:colOff>381000</xdr:colOff>
      <xdr:row>72</xdr:row>
      <xdr:rowOff>104775</xdr:rowOff>
    </xdr:to>
    <xdr:pic>
      <xdr:nvPicPr>
        <xdr:cNvPr id="36" name="Picture 7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3325475"/>
          <a:ext cx="4495800" cy="742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123825</xdr:colOff>
      <xdr:row>75</xdr:row>
      <xdr:rowOff>114300</xdr:rowOff>
    </xdr:from>
    <xdr:to>
      <xdr:col>8</xdr:col>
      <xdr:colOff>552450</xdr:colOff>
      <xdr:row>78</xdr:row>
      <xdr:rowOff>0</xdr:rowOff>
    </xdr:to>
    <xdr:pic>
      <xdr:nvPicPr>
        <xdr:cNvPr id="37" name="Picture 73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4649450"/>
          <a:ext cx="2867025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47625</xdr:colOff>
      <xdr:row>60</xdr:row>
      <xdr:rowOff>38100</xdr:rowOff>
    </xdr:from>
    <xdr:to>
      <xdr:col>10</xdr:col>
      <xdr:colOff>609600</xdr:colOff>
      <xdr:row>61</xdr:row>
      <xdr:rowOff>180975</xdr:rowOff>
    </xdr:to>
    <xdr:pic>
      <xdr:nvPicPr>
        <xdr:cNvPr id="38" name="Picture 74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0525" y="11715750"/>
          <a:ext cx="421957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161925</xdr:colOff>
      <xdr:row>54</xdr:row>
      <xdr:rowOff>104775</xdr:rowOff>
    </xdr:from>
    <xdr:to>
      <xdr:col>7</xdr:col>
      <xdr:colOff>152400</xdr:colOff>
      <xdr:row>56</xdr:row>
      <xdr:rowOff>95250</xdr:rowOff>
    </xdr:to>
    <xdr:pic>
      <xdr:nvPicPr>
        <xdr:cNvPr id="39" name="Picture 75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0639425"/>
          <a:ext cx="1819275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209550</xdr:colOff>
      <xdr:row>48</xdr:row>
      <xdr:rowOff>152400</xdr:rowOff>
    </xdr:from>
    <xdr:to>
      <xdr:col>9</xdr:col>
      <xdr:colOff>381000</xdr:colOff>
      <xdr:row>50</xdr:row>
      <xdr:rowOff>9525</xdr:rowOff>
    </xdr:to>
    <xdr:pic>
      <xdr:nvPicPr>
        <xdr:cNvPr id="40" name="Picture 76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9544050"/>
          <a:ext cx="32194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14</xdr:col>
      <xdr:colOff>11681</xdr:colOff>
      <xdr:row>27</xdr:row>
      <xdr:rowOff>118074</xdr:rowOff>
    </xdr:from>
    <xdr:to>
      <xdr:col>16</xdr:col>
      <xdr:colOff>122926</xdr:colOff>
      <xdr:row>29</xdr:row>
      <xdr:rowOff>127599</xdr:rowOff>
    </xdr:to>
    <xdr:pic>
      <xdr:nvPicPr>
        <xdr:cNvPr id="41" name="Picture 79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4535" y="5392767"/>
          <a:ext cx="2726127" cy="38693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15</xdr:col>
      <xdr:colOff>114300</xdr:colOff>
      <xdr:row>33</xdr:row>
      <xdr:rowOff>38100</xdr:rowOff>
    </xdr:from>
    <xdr:to>
      <xdr:col>15</xdr:col>
      <xdr:colOff>2505075</xdr:colOff>
      <xdr:row>35</xdr:row>
      <xdr:rowOff>38100</xdr:rowOff>
    </xdr:to>
    <xdr:pic>
      <xdr:nvPicPr>
        <xdr:cNvPr id="42" name="Picture 80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6496050"/>
          <a:ext cx="2390775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15</xdr:col>
      <xdr:colOff>66675</xdr:colOff>
      <xdr:row>38</xdr:row>
      <xdr:rowOff>38100</xdr:rowOff>
    </xdr:from>
    <xdr:to>
      <xdr:col>15</xdr:col>
      <xdr:colOff>2505075</xdr:colOff>
      <xdr:row>41</xdr:row>
      <xdr:rowOff>66675</xdr:rowOff>
    </xdr:to>
    <xdr:pic>
      <xdr:nvPicPr>
        <xdr:cNvPr id="43" name="Picture 8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7448550"/>
          <a:ext cx="2438400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15</xdr:col>
      <xdr:colOff>38100</xdr:colOff>
      <xdr:row>43</xdr:row>
      <xdr:rowOff>123825</xdr:rowOff>
    </xdr:from>
    <xdr:to>
      <xdr:col>16</xdr:col>
      <xdr:colOff>171450</xdr:colOff>
      <xdr:row>46</xdr:row>
      <xdr:rowOff>1797</xdr:rowOff>
    </xdr:to>
    <xdr:pic>
      <xdr:nvPicPr>
        <xdr:cNvPr id="44" name="Picture 82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8524875"/>
          <a:ext cx="2638425" cy="447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14</xdr:col>
      <xdr:colOff>114300</xdr:colOff>
      <xdr:row>48</xdr:row>
      <xdr:rowOff>0</xdr:rowOff>
    </xdr:from>
    <xdr:to>
      <xdr:col>16</xdr:col>
      <xdr:colOff>381000</xdr:colOff>
      <xdr:row>50</xdr:row>
      <xdr:rowOff>114300</xdr:rowOff>
    </xdr:to>
    <xdr:pic>
      <xdr:nvPicPr>
        <xdr:cNvPr id="45" name="Picture 83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4625" y="9391650"/>
          <a:ext cx="2886075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14</xdr:col>
      <xdr:colOff>152400</xdr:colOff>
      <xdr:row>53</xdr:row>
      <xdr:rowOff>104775</xdr:rowOff>
    </xdr:from>
    <xdr:to>
      <xdr:col>16</xdr:col>
      <xdr:colOff>152400</xdr:colOff>
      <xdr:row>56</xdr:row>
      <xdr:rowOff>114300</xdr:rowOff>
    </xdr:to>
    <xdr:pic>
      <xdr:nvPicPr>
        <xdr:cNvPr id="46" name="Picture 84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4625" y="10448925"/>
          <a:ext cx="2657475" cy="581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14</xdr:col>
      <xdr:colOff>114300</xdr:colOff>
      <xdr:row>66</xdr:row>
      <xdr:rowOff>114300</xdr:rowOff>
    </xdr:from>
    <xdr:to>
      <xdr:col>15</xdr:col>
      <xdr:colOff>2505075</xdr:colOff>
      <xdr:row>68</xdr:row>
      <xdr:rowOff>114300</xdr:rowOff>
    </xdr:to>
    <xdr:pic>
      <xdr:nvPicPr>
        <xdr:cNvPr id="47" name="Picture 8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4625" y="12934950"/>
          <a:ext cx="2505075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15</xdr:col>
      <xdr:colOff>66675</xdr:colOff>
      <xdr:row>72</xdr:row>
      <xdr:rowOff>228600</xdr:rowOff>
    </xdr:from>
    <xdr:to>
      <xdr:col>18</xdr:col>
      <xdr:colOff>609600</xdr:colOff>
      <xdr:row>74</xdr:row>
      <xdr:rowOff>95250</xdr:rowOff>
    </xdr:to>
    <xdr:pic>
      <xdr:nvPicPr>
        <xdr:cNvPr id="48" name="Picture 8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14154150"/>
          <a:ext cx="4095750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66675</xdr:colOff>
      <xdr:row>44</xdr:row>
      <xdr:rowOff>266700</xdr:rowOff>
    </xdr:from>
    <xdr:to>
      <xdr:col>6</xdr:col>
      <xdr:colOff>180975</xdr:colOff>
      <xdr:row>46</xdr:row>
      <xdr:rowOff>47625</xdr:rowOff>
    </xdr:to>
    <xdr:pic>
      <xdr:nvPicPr>
        <xdr:cNvPr id="49" name="Picture 89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8782050"/>
          <a:ext cx="13335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209550</xdr:colOff>
      <xdr:row>58</xdr:row>
      <xdr:rowOff>1797</xdr:rowOff>
    </xdr:to>
    <xdr:pic>
      <xdr:nvPicPr>
        <xdr:cNvPr id="50" name="Picture 90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11106150"/>
          <a:ext cx="2095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95250</xdr:colOff>
      <xdr:row>65</xdr:row>
      <xdr:rowOff>38100</xdr:rowOff>
    </xdr:from>
    <xdr:to>
      <xdr:col>5</xdr:col>
      <xdr:colOff>609600</xdr:colOff>
      <xdr:row>66</xdr:row>
      <xdr:rowOff>95250</xdr:rowOff>
    </xdr:to>
    <xdr:pic>
      <xdr:nvPicPr>
        <xdr:cNvPr id="51" name="Picture 91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12668250"/>
          <a:ext cx="112395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180975</xdr:colOff>
      <xdr:row>10</xdr:row>
      <xdr:rowOff>180975</xdr:rowOff>
    </xdr:from>
    <xdr:to>
      <xdr:col>6</xdr:col>
      <xdr:colOff>609600</xdr:colOff>
      <xdr:row>12</xdr:row>
      <xdr:rowOff>9525</xdr:rowOff>
    </xdr:to>
    <xdr:pic>
      <xdr:nvPicPr>
        <xdr:cNvPr id="54" name="Picture 130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2257425"/>
          <a:ext cx="1647825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8</xdr:col>
      <xdr:colOff>638175</xdr:colOff>
      <xdr:row>42</xdr:row>
      <xdr:rowOff>342900</xdr:rowOff>
    </xdr:from>
    <xdr:to>
      <xdr:col>9</xdr:col>
      <xdr:colOff>609600</xdr:colOff>
      <xdr:row>44</xdr:row>
      <xdr:rowOff>47625</xdr:rowOff>
    </xdr:to>
    <xdr:pic>
      <xdr:nvPicPr>
        <xdr:cNvPr id="55" name="Picture 132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8401050"/>
          <a:ext cx="6096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607443</xdr:colOff>
      <xdr:row>36</xdr:row>
      <xdr:rowOff>59307</xdr:rowOff>
    </xdr:from>
    <xdr:to>
      <xdr:col>9</xdr:col>
      <xdr:colOff>510755</xdr:colOff>
      <xdr:row>38</xdr:row>
      <xdr:rowOff>154557</xdr:rowOff>
    </xdr:to>
    <xdr:pic>
      <xdr:nvPicPr>
        <xdr:cNvPr id="56" name="Picture 148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6853" y="7032326"/>
          <a:ext cx="3569539" cy="47265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47625</xdr:colOff>
      <xdr:row>39</xdr:row>
      <xdr:rowOff>66675</xdr:rowOff>
    </xdr:from>
    <xdr:to>
      <xdr:col>11</xdr:col>
      <xdr:colOff>609600</xdr:colOff>
      <xdr:row>42</xdr:row>
      <xdr:rowOff>1797</xdr:rowOff>
    </xdr:to>
    <xdr:pic>
      <xdr:nvPicPr>
        <xdr:cNvPr id="57" name="Picture 149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0525" y="7667625"/>
          <a:ext cx="482917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15</xdr:col>
      <xdr:colOff>66675</xdr:colOff>
      <xdr:row>59</xdr:row>
      <xdr:rowOff>171450</xdr:rowOff>
    </xdr:from>
    <xdr:to>
      <xdr:col>19</xdr:col>
      <xdr:colOff>276225</xdr:colOff>
      <xdr:row>63</xdr:row>
      <xdr:rowOff>161925</xdr:rowOff>
    </xdr:to>
    <xdr:pic>
      <xdr:nvPicPr>
        <xdr:cNvPr id="58" name="Picture 150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11658600"/>
          <a:ext cx="4371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36</xdr:col>
      <xdr:colOff>9525</xdr:colOff>
      <xdr:row>0</xdr:row>
      <xdr:rowOff>47625</xdr:rowOff>
    </xdr:from>
    <xdr:to>
      <xdr:col>41</xdr:col>
      <xdr:colOff>342900</xdr:colOff>
      <xdr:row>2</xdr:row>
      <xdr:rowOff>1797</xdr:rowOff>
    </xdr:to>
    <xdr:pic>
      <xdr:nvPicPr>
        <xdr:cNvPr id="59" name="Picture 152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9775" y="47625"/>
          <a:ext cx="3343275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43</xdr:col>
      <xdr:colOff>38100</xdr:colOff>
      <xdr:row>0</xdr:row>
      <xdr:rowOff>95250</xdr:rowOff>
    </xdr:from>
    <xdr:to>
      <xdr:col>49</xdr:col>
      <xdr:colOff>333375</xdr:colOff>
      <xdr:row>2</xdr:row>
      <xdr:rowOff>1797</xdr:rowOff>
    </xdr:to>
    <xdr:pic>
      <xdr:nvPicPr>
        <xdr:cNvPr id="60" name="Picture 153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27450" y="95250"/>
          <a:ext cx="3952875" cy="285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51</xdr:col>
      <xdr:colOff>38100</xdr:colOff>
      <xdr:row>0</xdr:row>
      <xdr:rowOff>38100</xdr:rowOff>
    </xdr:from>
    <xdr:to>
      <xdr:col>53</xdr:col>
      <xdr:colOff>609600</xdr:colOff>
      <xdr:row>2</xdr:row>
      <xdr:rowOff>1797</xdr:rowOff>
    </xdr:to>
    <xdr:pic>
      <xdr:nvPicPr>
        <xdr:cNvPr id="61" name="Picture 154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0" y="38100"/>
          <a:ext cx="17907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15</xdr:col>
      <xdr:colOff>38100</xdr:colOff>
      <xdr:row>76</xdr:row>
      <xdr:rowOff>266700</xdr:rowOff>
    </xdr:from>
    <xdr:to>
      <xdr:col>19</xdr:col>
      <xdr:colOff>609600</xdr:colOff>
      <xdr:row>79</xdr:row>
      <xdr:rowOff>57150</xdr:rowOff>
    </xdr:to>
    <xdr:pic>
      <xdr:nvPicPr>
        <xdr:cNvPr id="62" name="Picture 155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4916150"/>
          <a:ext cx="4733925" cy="438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15</xdr:col>
      <xdr:colOff>114300</xdr:colOff>
      <xdr:row>82</xdr:row>
      <xdr:rowOff>209550</xdr:rowOff>
    </xdr:from>
    <xdr:to>
      <xdr:col>19</xdr:col>
      <xdr:colOff>104775</xdr:colOff>
      <xdr:row>85</xdr:row>
      <xdr:rowOff>9525</xdr:rowOff>
    </xdr:to>
    <xdr:pic>
      <xdr:nvPicPr>
        <xdr:cNvPr id="63" name="Picture 156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59150"/>
          <a:ext cx="4152900" cy="390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58</xdr:col>
      <xdr:colOff>66675</xdr:colOff>
      <xdr:row>0</xdr:row>
      <xdr:rowOff>114300</xdr:rowOff>
    </xdr:from>
    <xdr:to>
      <xdr:col>66</xdr:col>
      <xdr:colOff>466725</xdr:colOff>
      <xdr:row>2</xdr:row>
      <xdr:rowOff>1797</xdr:rowOff>
    </xdr:to>
    <xdr:pic>
      <xdr:nvPicPr>
        <xdr:cNvPr id="1152" name="Picture 157">
          <a:extLst>
            <a:ext uri="{FF2B5EF4-FFF2-40B4-BE49-F238E27FC236}">
              <a16:creationId xmlns:a16="http://schemas.microsoft.com/office/drawing/2014/main" id="{00000000-0008-0000-07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52400" y="114300"/>
          <a:ext cx="527685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2562225</xdr:colOff>
          <xdr:row>73</xdr:row>
          <xdr:rowOff>66675</xdr:rowOff>
        </xdr:from>
        <xdr:to>
          <xdr:col>5</xdr:col>
          <xdr:colOff>19050</xdr:colOff>
          <xdr:row>74</xdr:row>
          <xdr:rowOff>76200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8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47625</xdr:rowOff>
        </xdr:from>
        <xdr:to>
          <xdr:col>6</xdr:col>
          <xdr:colOff>314325</xdr:colOff>
          <xdr:row>80</xdr:row>
          <xdr:rowOff>57150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8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83</xdr:row>
          <xdr:rowOff>19050</xdr:rowOff>
        </xdr:from>
        <xdr:to>
          <xdr:col>6</xdr:col>
          <xdr:colOff>295275</xdr:colOff>
          <xdr:row>84</xdr:row>
          <xdr:rowOff>85725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8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70</xdr:row>
          <xdr:rowOff>95250</xdr:rowOff>
        </xdr:from>
        <xdr:to>
          <xdr:col>7</xdr:col>
          <xdr:colOff>219075</xdr:colOff>
          <xdr:row>72</xdr:row>
          <xdr:rowOff>28575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8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14</xdr:col>
      <xdr:colOff>590550</xdr:colOff>
      <xdr:row>54</xdr:row>
      <xdr:rowOff>123825</xdr:rowOff>
    </xdr:from>
    <xdr:to>
      <xdr:col>22</xdr:col>
      <xdr:colOff>285750</xdr:colOff>
      <xdr:row>69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266700</xdr:colOff>
      <xdr:row>32</xdr:row>
      <xdr:rowOff>47625</xdr:rowOff>
    </xdr:from>
    <xdr:to>
      <xdr:col>21</xdr:col>
      <xdr:colOff>571500</xdr:colOff>
      <xdr:row>46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495300</xdr:colOff>
      <xdr:row>6</xdr:row>
      <xdr:rowOff>0</xdr:rowOff>
    </xdr:from>
    <xdr:to>
      <xdr:col>21</xdr:col>
      <xdr:colOff>438150</xdr:colOff>
      <xdr:row>15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 txBox="1"/>
      </xdr:nvSpPr>
      <xdr:spPr>
        <a:xfrm>
          <a:off x="11182350" y="1143000"/>
          <a:ext cx="4210050" cy="1876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/>
            <a:t>Page</a:t>
          </a:r>
          <a:r>
            <a:rPr lang="en-US" sz="2400" baseline="0"/>
            <a:t> under construction</a:t>
          </a:r>
          <a:endParaRPr lang="en-US" sz="2400"/>
        </a:p>
      </xdr:txBody>
    </xdr:sp>
    <xdr:clientData/>
  </xdr:twoCellAnchor>
  <xdr:twoCellAnchor>
    <xdr:from>
      <xdr:col>0</xdr:col>
      <xdr:colOff>444500</xdr:colOff>
      <xdr:row>0</xdr:row>
      <xdr:rowOff>31750</xdr:rowOff>
    </xdr:from>
    <xdr:to>
      <xdr:col>27</xdr:col>
      <xdr:colOff>571500</xdr:colOff>
      <xdr:row>93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444500" y="31750"/>
          <a:ext cx="18573750" cy="1778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42F6~1.TAN/AppData/Local/Temp/Tanner%20HHG%20Open%20EconomyMAY2015FIXED%20EX%20RATT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GRAPHS ONLY"/>
      <sheetName val="MAIN OPEN ECONOMY"/>
      <sheetName val="FIXED EXCHANGE RATE"/>
      <sheetName val="FER GRAPHS ONLY"/>
      <sheetName val="Fiscal and Central Bank "/>
      <sheetName val="FIXED EXCHANGE RATE (2)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C6">
            <v>0.15</v>
          </cell>
        </row>
        <row r="13">
          <cell r="C13">
            <v>18.334275262846369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4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1.bin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2.emf"/><Relationship Id="rId4" Type="http://schemas.openxmlformats.org/officeDocument/2006/relationships/oleObject" Target="../embeddings/oleObject1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5.bin"/><Relationship Id="rId3" Type="http://schemas.openxmlformats.org/officeDocument/2006/relationships/vmlDrawing" Target="../drawings/vmlDrawing3.vml"/><Relationship Id="rId7" Type="http://schemas.openxmlformats.org/officeDocument/2006/relationships/image" Target="../media/image70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14.bin"/><Relationship Id="rId11" Type="http://schemas.openxmlformats.org/officeDocument/2006/relationships/image" Target="../media/image72.emf"/><Relationship Id="rId5" Type="http://schemas.openxmlformats.org/officeDocument/2006/relationships/image" Target="../media/image69.emf"/><Relationship Id="rId10" Type="http://schemas.openxmlformats.org/officeDocument/2006/relationships/oleObject" Target="../embeddings/oleObject16.bin"/><Relationship Id="rId4" Type="http://schemas.openxmlformats.org/officeDocument/2006/relationships/oleObject" Target="../embeddings/oleObject13.bin"/><Relationship Id="rId9" Type="http://schemas.openxmlformats.org/officeDocument/2006/relationships/image" Target="../media/image7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C14"/>
  <sheetViews>
    <sheetView topLeftCell="A4" zoomScale="181" workbookViewId="0">
      <selection activeCell="C9" sqref="C9"/>
    </sheetView>
  </sheetViews>
  <sheetFormatPr defaultRowHeight="15" x14ac:dyDescent="0.25"/>
  <cols>
    <col min="2" max="2" width="22.42578125" customWidth="1"/>
  </cols>
  <sheetData>
    <row r="2" spans="2:3" x14ac:dyDescent="0.25">
      <c r="B2" t="s">
        <v>0</v>
      </c>
      <c r="C2" t="s">
        <v>13</v>
      </c>
    </row>
    <row r="3" spans="2:3" x14ac:dyDescent="0.25">
      <c r="B3" t="s">
        <v>1</v>
      </c>
      <c r="C3">
        <v>0.41499999999999998</v>
      </c>
    </row>
    <row r="4" spans="2:3" x14ac:dyDescent="0.25">
      <c r="B4" t="s">
        <v>8</v>
      </c>
      <c r="C4">
        <v>0.2</v>
      </c>
    </row>
    <row r="5" spans="2:3" x14ac:dyDescent="0.25">
      <c r="B5" t="s">
        <v>2</v>
      </c>
      <c r="C5">
        <v>0.15</v>
      </c>
    </row>
    <row r="6" spans="2:3" x14ac:dyDescent="0.25">
      <c r="B6" t="s">
        <v>3</v>
      </c>
      <c r="C6">
        <v>145</v>
      </c>
    </row>
    <row r="7" spans="2:3" x14ac:dyDescent="0.25">
      <c r="B7" t="s">
        <v>4</v>
      </c>
      <c r="C7">
        <v>0.05</v>
      </c>
    </row>
    <row r="8" spans="2:3" x14ac:dyDescent="0.25">
      <c r="B8" t="s">
        <v>5</v>
      </c>
      <c r="C8">
        <v>0.3</v>
      </c>
    </row>
    <row r="9" spans="2:3" x14ac:dyDescent="0.25">
      <c r="B9" t="s">
        <v>6</v>
      </c>
      <c r="C9">
        <f>(((C4*(1-C5))*C3)/C7)^(1/(1-C8))</f>
        <v>1.6353473805634506</v>
      </c>
    </row>
    <row r="10" spans="2:3" x14ac:dyDescent="0.25">
      <c r="B10" t="s">
        <v>7</v>
      </c>
      <c r="C10">
        <f>C3*C9^C8*C6^(1-C8)</f>
        <v>15.67071109977511</v>
      </c>
    </row>
    <row r="11" spans="2:3" x14ac:dyDescent="0.25">
      <c r="B11" t="s">
        <v>9</v>
      </c>
      <c r="C11">
        <f>C9*C7</f>
        <v>8.176736902817254E-2</v>
      </c>
    </row>
    <row r="12" spans="2:3" x14ac:dyDescent="0.25">
      <c r="B12" t="s">
        <v>10</v>
      </c>
    </row>
    <row r="13" spans="2:3" x14ac:dyDescent="0.25">
      <c r="B13" t="s">
        <v>11</v>
      </c>
      <c r="C13">
        <f>C9/C10</f>
        <v>0.10435693505873639</v>
      </c>
    </row>
    <row r="14" spans="2:3" x14ac:dyDescent="0.25">
      <c r="B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showGridLines="0" workbookViewId="0">
      <selection activeCell="E36" sqref="E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showGridLines="0" topLeftCell="A16" zoomScale="140" zoomScaleNormal="140" workbookViewId="0">
      <selection activeCell="K25" sqref="K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F5:G52"/>
  <sheetViews>
    <sheetView topLeftCell="A13" workbookViewId="0">
      <selection activeCell="F23" sqref="F23"/>
    </sheetView>
  </sheetViews>
  <sheetFormatPr defaultRowHeight="15" x14ac:dyDescent="0.25"/>
  <cols>
    <col min="5" max="5" width="30.140625" customWidth="1"/>
    <col min="6" max="6" width="40.28515625" customWidth="1"/>
    <col min="7" max="7" width="38.28515625" customWidth="1"/>
    <col min="8" max="9" width="30.140625" customWidth="1"/>
  </cols>
  <sheetData>
    <row r="5" spans="6:7" ht="26.45" customHeight="1" x14ac:dyDescent="0.25">
      <c r="F5" s="61" t="s">
        <v>188</v>
      </c>
      <c r="G5" s="61" t="s">
        <v>187</v>
      </c>
    </row>
    <row r="6" spans="6:7" ht="26.45" customHeight="1" x14ac:dyDescent="0.25">
      <c r="F6" s="62" t="s">
        <v>195</v>
      </c>
      <c r="G6" s="62" t="s">
        <v>192</v>
      </c>
    </row>
    <row r="7" spans="6:7" ht="23.1" customHeight="1" x14ac:dyDescent="0.25">
      <c r="F7" s="63" t="s">
        <v>196</v>
      </c>
      <c r="G7" s="63" t="s">
        <v>198</v>
      </c>
    </row>
    <row r="9" spans="6:7" ht="30" customHeight="1" x14ac:dyDescent="0.25"/>
    <row r="10" spans="6:7" ht="30" customHeight="1" x14ac:dyDescent="0.25">
      <c r="F10" s="61" t="s">
        <v>188</v>
      </c>
      <c r="G10" s="61" t="s">
        <v>187</v>
      </c>
    </row>
    <row r="11" spans="6:7" ht="30" customHeight="1" x14ac:dyDescent="0.25">
      <c r="F11" s="62" t="s">
        <v>195</v>
      </c>
      <c r="G11" s="62" t="s">
        <v>192</v>
      </c>
    </row>
    <row r="12" spans="6:7" ht="30" customHeight="1" x14ac:dyDescent="0.25">
      <c r="F12" s="63" t="s">
        <v>196</v>
      </c>
      <c r="G12" s="63" t="s">
        <v>198</v>
      </c>
    </row>
    <row r="14" spans="6:7" x14ac:dyDescent="0.25">
      <c r="F14" t="s">
        <v>199</v>
      </c>
      <c r="G14" t="s">
        <v>200</v>
      </c>
    </row>
    <row r="17" spans="6:7" x14ac:dyDescent="0.25">
      <c r="F17" t="s">
        <v>202</v>
      </c>
      <c r="G17" t="s">
        <v>201</v>
      </c>
    </row>
    <row r="19" spans="6:7" x14ac:dyDescent="0.25">
      <c r="F19" s="14">
        <v>-0.02</v>
      </c>
      <c r="G19" s="14">
        <v>0</v>
      </c>
    </row>
    <row r="20" spans="6:7" x14ac:dyDescent="0.25">
      <c r="F20" s="14">
        <f>F19+0.5%</f>
        <v>-1.4999999999999999E-2</v>
      </c>
      <c r="G20" s="14">
        <f>G19+0.5%</f>
        <v>5.0000000000000001E-3</v>
      </c>
    </row>
    <row r="21" spans="6:7" x14ac:dyDescent="0.25">
      <c r="F21" s="14">
        <f t="shared" ref="F21:G27" si="0">F20+0.5%</f>
        <v>-9.9999999999999985E-3</v>
      </c>
      <c r="G21" s="14">
        <f t="shared" si="0"/>
        <v>0.01</v>
      </c>
    </row>
    <row r="22" spans="6:7" x14ac:dyDescent="0.25">
      <c r="F22" s="14">
        <f t="shared" si="0"/>
        <v>-4.9999999999999984E-3</v>
      </c>
      <c r="G22" s="14">
        <f t="shared" si="0"/>
        <v>1.4999999999999999E-2</v>
      </c>
    </row>
    <row r="23" spans="6:7" x14ac:dyDescent="0.25">
      <c r="F23" s="14">
        <f t="shared" si="0"/>
        <v>0</v>
      </c>
      <c r="G23" s="14">
        <f t="shared" si="0"/>
        <v>0.02</v>
      </c>
    </row>
    <row r="24" spans="6:7" x14ac:dyDescent="0.25">
      <c r="F24" s="14">
        <f t="shared" si="0"/>
        <v>5.0000000000000001E-3</v>
      </c>
      <c r="G24" s="14">
        <f t="shared" si="0"/>
        <v>2.5000000000000001E-2</v>
      </c>
    </row>
    <row r="25" spans="6:7" x14ac:dyDescent="0.25">
      <c r="F25" s="14">
        <f t="shared" si="0"/>
        <v>0.01</v>
      </c>
      <c r="G25" s="14">
        <f t="shared" si="0"/>
        <v>3.0000000000000002E-2</v>
      </c>
    </row>
    <row r="26" spans="6:7" x14ac:dyDescent="0.25">
      <c r="F26" s="14">
        <f t="shared" si="0"/>
        <v>1.4999999999999999E-2</v>
      </c>
      <c r="G26" s="14">
        <f t="shared" si="0"/>
        <v>3.5000000000000003E-2</v>
      </c>
    </row>
    <row r="27" spans="6:7" x14ac:dyDescent="0.25">
      <c r="F27" s="14">
        <f t="shared" si="0"/>
        <v>0.02</v>
      </c>
      <c r="G27" s="14">
        <f t="shared" si="0"/>
        <v>0.04</v>
      </c>
    </row>
    <row r="28" spans="6:7" x14ac:dyDescent="0.25">
      <c r="F28" s="14"/>
    </row>
    <row r="29" spans="6:7" x14ac:dyDescent="0.25">
      <c r="F29" s="14"/>
    </row>
    <row r="30" spans="6:7" x14ac:dyDescent="0.25">
      <c r="F30" s="14"/>
    </row>
    <row r="31" spans="6:7" x14ac:dyDescent="0.25">
      <c r="F31" s="14"/>
    </row>
    <row r="32" spans="6:7" x14ac:dyDescent="0.25">
      <c r="F32" s="14"/>
    </row>
    <row r="33" spans="6:6" x14ac:dyDescent="0.25">
      <c r="F33" s="14"/>
    </row>
    <row r="34" spans="6:6" x14ac:dyDescent="0.25">
      <c r="F34" s="14"/>
    </row>
    <row r="40" spans="6:6" x14ac:dyDescent="0.25">
      <c r="F40" t="s">
        <v>194</v>
      </c>
    </row>
    <row r="41" spans="6:6" x14ac:dyDescent="0.25">
      <c r="F41" t="s">
        <v>195</v>
      </c>
    </row>
    <row r="42" spans="6:6" x14ac:dyDescent="0.25">
      <c r="F42" s="19">
        <v>0.02</v>
      </c>
    </row>
    <row r="43" spans="6:6" x14ac:dyDescent="0.25">
      <c r="F43" s="19">
        <v>-0.02</v>
      </c>
    </row>
    <row r="44" spans="6:6" x14ac:dyDescent="0.25">
      <c r="F44">
        <v>0</v>
      </c>
    </row>
    <row r="47" spans="6:6" x14ac:dyDescent="0.25">
      <c r="F47" t="s">
        <v>196</v>
      </c>
    </row>
    <row r="48" spans="6:6" x14ac:dyDescent="0.25">
      <c r="F48" t="s">
        <v>193</v>
      </c>
    </row>
    <row r="49" spans="6:6" x14ac:dyDescent="0.25">
      <c r="F49" t="s">
        <v>197</v>
      </c>
    </row>
    <row r="50" spans="6:6" x14ac:dyDescent="0.25">
      <c r="F50" s="14">
        <v>0.01</v>
      </c>
    </row>
    <row r="51" spans="6:6" x14ac:dyDescent="0.25">
      <c r="F51" s="14">
        <v>-0.01</v>
      </c>
    </row>
    <row r="52" spans="6:6" x14ac:dyDescent="0.25">
      <c r="F52" s="14">
        <v>0</v>
      </c>
    </row>
  </sheetData>
  <dataValidations count="2">
    <dataValidation type="list" allowBlank="1" showInputMessage="1" showErrorMessage="1" sqref="F6">
      <formula1>$F$17:$F$41</formula1>
    </dataValidation>
    <dataValidation type="list" allowBlank="1" showInputMessage="1" showErrorMessage="1" sqref="F7">
      <formula1>$F$47:$F$49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F5:G88"/>
  <sheetViews>
    <sheetView showGridLines="0" tabSelected="1" topLeftCell="E1" zoomScale="70" zoomScaleNormal="70" workbookViewId="0">
      <selection activeCell="F26" sqref="F26"/>
    </sheetView>
  </sheetViews>
  <sheetFormatPr defaultRowHeight="15" x14ac:dyDescent="0.25"/>
  <cols>
    <col min="1" max="4" width="0" hidden="1" customWidth="1"/>
    <col min="5" max="5" width="30.140625" customWidth="1"/>
    <col min="6" max="6" width="38.140625" customWidth="1"/>
    <col min="7" max="7" width="40.85546875" customWidth="1"/>
    <col min="8" max="9" width="30.140625" customWidth="1"/>
  </cols>
  <sheetData>
    <row r="5" spans="6:7" ht="9.6" customHeight="1" x14ac:dyDescent="0.25"/>
    <row r="6" spans="6:7" ht="54.95" customHeight="1" x14ac:dyDescent="0.25">
      <c r="F6" s="70" t="s">
        <v>209</v>
      </c>
      <c r="G6" s="69" t="s">
        <v>210</v>
      </c>
    </row>
    <row r="7" spans="6:7" ht="90" customHeight="1" x14ac:dyDescent="0.25">
      <c r="F7" s="67" t="s">
        <v>195</v>
      </c>
      <c r="G7" s="65" t="str">
        <f>'NEW Assignment Problem'!X50</f>
        <v>No monetary adjustment required</v>
      </c>
    </row>
    <row r="8" spans="6:7" ht="110.25" customHeight="1" x14ac:dyDescent="0.25">
      <c r="F8" s="68" t="s">
        <v>197</v>
      </c>
      <c r="G8" s="66" t="str">
        <f>'NEW Assignment Problem'!X51</f>
        <v>No fiscal adjustment required</v>
      </c>
    </row>
    <row r="50" spans="6:7" x14ac:dyDescent="0.25">
      <c r="F50" s="1">
        <f>IF(F7=F57,G57,IF(F7=F58,G58,IF(F7=F59,G59,IF(F7=F60,G60,IF(F7=F61,G61,"")))))</f>
        <v>0</v>
      </c>
    </row>
    <row r="51" spans="6:7" x14ac:dyDescent="0.25">
      <c r="F51" s="1">
        <f>IF(F8=F65,G65,IF(F8=F66,G66,IF(F8=F67,G67,IF(F8=F68,G68,IF(F8=F69,G69,"")))))</f>
        <v>0</v>
      </c>
    </row>
    <row r="53" spans="6:7" x14ac:dyDescent="0.25">
      <c r="F53" s="1"/>
    </row>
    <row r="54" spans="6:7" x14ac:dyDescent="0.25">
      <c r="G54" s="14"/>
    </row>
    <row r="55" spans="6:7" x14ac:dyDescent="0.25">
      <c r="F55" s="14"/>
      <c r="G55" s="14"/>
    </row>
    <row r="56" spans="6:7" x14ac:dyDescent="0.25">
      <c r="F56" s="14"/>
      <c r="G56" s="14"/>
    </row>
    <row r="57" spans="6:7" x14ac:dyDescent="0.25">
      <c r="F57" s="14" t="s">
        <v>191</v>
      </c>
      <c r="G57" s="14">
        <v>0.01</v>
      </c>
    </row>
    <row r="58" spans="6:7" x14ac:dyDescent="0.25">
      <c r="F58" s="14" t="s">
        <v>203</v>
      </c>
      <c r="G58" s="14">
        <v>5.0000000000000001E-3</v>
      </c>
    </row>
    <row r="59" spans="6:7" x14ac:dyDescent="0.25">
      <c r="F59" s="14" t="s">
        <v>195</v>
      </c>
      <c r="G59" s="14">
        <v>0</v>
      </c>
    </row>
    <row r="60" spans="6:7" x14ac:dyDescent="0.25">
      <c r="F60" s="14" t="s">
        <v>204</v>
      </c>
      <c r="G60" s="14">
        <v>-5.0000000000000001E-3</v>
      </c>
    </row>
    <row r="61" spans="6:7" x14ac:dyDescent="0.25">
      <c r="F61" s="14" t="s">
        <v>194</v>
      </c>
      <c r="G61" s="14">
        <v>-0.01</v>
      </c>
    </row>
    <row r="62" spans="6:7" x14ac:dyDescent="0.25">
      <c r="F62" s="14"/>
      <c r="G62" s="14"/>
    </row>
    <row r="63" spans="6:7" x14ac:dyDescent="0.25">
      <c r="F63" s="14"/>
      <c r="G63" s="14"/>
    </row>
    <row r="64" spans="6:7" x14ac:dyDescent="0.25">
      <c r="F64" s="14"/>
    </row>
    <row r="65" spans="6:7" x14ac:dyDescent="0.25">
      <c r="F65" s="14" t="s">
        <v>206</v>
      </c>
      <c r="G65" s="14">
        <v>-0.01</v>
      </c>
    </row>
    <row r="66" spans="6:7" x14ac:dyDescent="0.25">
      <c r="F66" s="14" t="s">
        <v>205</v>
      </c>
      <c r="G66" s="14">
        <v>-5.0000000000000001E-3</v>
      </c>
    </row>
    <row r="67" spans="6:7" x14ac:dyDescent="0.25">
      <c r="F67" s="14" t="s">
        <v>197</v>
      </c>
      <c r="G67" s="14">
        <v>0</v>
      </c>
    </row>
    <row r="68" spans="6:7" x14ac:dyDescent="0.25">
      <c r="F68" s="14" t="s">
        <v>207</v>
      </c>
      <c r="G68" s="14">
        <v>5.0000000000000001E-3</v>
      </c>
    </row>
    <row r="69" spans="6:7" x14ac:dyDescent="0.25">
      <c r="F69" s="14" t="s">
        <v>208</v>
      </c>
      <c r="G69" s="14">
        <v>0.01</v>
      </c>
    </row>
    <row r="70" spans="6:7" x14ac:dyDescent="0.25">
      <c r="F70" s="14"/>
    </row>
    <row r="78" spans="6:7" x14ac:dyDescent="0.25">
      <c r="F78" s="19"/>
    </row>
    <row r="79" spans="6:7" x14ac:dyDescent="0.25">
      <c r="F79" s="19"/>
    </row>
    <row r="86" spans="6:6" x14ac:dyDescent="0.25">
      <c r="F86" s="14"/>
    </row>
    <row r="87" spans="6:6" x14ac:dyDescent="0.25">
      <c r="F87" s="14"/>
    </row>
    <row r="88" spans="6:6" x14ac:dyDescent="0.25">
      <c r="F88" s="14"/>
    </row>
  </sheetData>
  <sheetProtection sheet="1" objects="1" scenarios="1"/>
  <protectedRanges>
    <protectedRange sqref="F7:F8" name="Range1"/>
  </protectedRanges>
  <dataValidations count="2">
    <dataValidation type="list" allowBlank="1" showInputMessage="1" showErrorMessage="1" sqref="F7">
      <formula1>$F$57:$F$61</formula1>
    </dataValidation>
    <dataValidation type="list" allowBlank="1" showInputMessage="1" showErrorMessage="1" sqref="F8">
      <formula1>$F$65:$F$69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I2:AB104"/>
  <sheetViews>
    <sheetView showGridLines="0" topLeftCell="G46" zoomScale="70" zoomScaleNormal="70" workbookViewId="0">
      <selection activeCell="R90" sqref="R90"/>
    </sheetView>
  </sheetViews>
  <sheetFormatPr defaultRowHeight="15" x14ac:dyDescent="0.25"/>
  <cols>
    <col min="23" max="23" width="31.28515625" customWidth="1"/>
    <col min="24" max="24" width="28.7109375" customWidth="1"/>
  </cols>
  <sheetData>
    <row r="2" spans="9:28" x14ac:dyDescent="0.25">
      <c r="T2" s="34" t="s">
        <v>160</v>
      </c>
      <c r="V2" t="s">
        <v>161</v>
      </c>
      <c r="Z2" t="s">
        <v>162</v>
      </c>
    </row>
    <row r="5" spans="9:28" x14ac:dyDescent="0.25">
      <c r="V5" s="34" t="s">
        <v>21</v>
      </c>
      <c r="W5" s="34" t="s">
        <v>163</v>
      </c>
      <c r="X5" s="34" t="s">
        <v>164</v>
      </c>
      <c r="Z5" s="34" t="s">
        <v>21</v>
      </c>
      <c r="AA5" s="34" t="s">
        <v>163</v>
      </c>
      <c r="AB5" s="34" t="s">
        <v>164</v>
      </c>
    </row>
    <row r="7" spans="9:28" x14ac:dyDescent="0.25">
      <c r="T7" s="1">
        <f t="shared" ref="T7:T13" si="0">T8+$T$23</f>
        <v>0.35</v>
      </c>
      <c r="V7" s="39">
        <f t="shared" ref="V7:X14" si="1">-($I$12/$I$15)*$T7+V$23/$I$15</f>
        <v>-0.7471333333333332</v>
      </c>
      <c r="W7" s="39">
        <f t="shared" si="1"/>
        <v>-0.7471333333333332</v>
      </c>
      <c r="X7" s="39">
        <f t="shared" si="1"/>
        <v>-0.7471333333333332</v>
      </c>
      <c r="Z7" s="6">
        <f t="shared" ref="Z7:AB14" si="2">-($I$22/$I$26)*$T7+Z$23/$I$26</f>
        <v>0.38500000000000001</v>
      </c>
      <c r="AA7" s="6">
        <f t="shared" si="2"/>
        <v>0.38500000000000001</v>
      </c>
      <c r="AB7" s="6">
        <f t="shared" si="2"/>
        <v>0.38500000000000001</v>
      </c>
    </row>
    <row r="8" spans="9:28" x14ac:dyDescent="0.25">
      <c r="T8" s="1">
        <f t="shared" si="0"/>
        <v>0.3</v>
      </c>
      <c r="V8" s="39">
        <f t="shared" si="1"/>
        <v>-0.64039999999999997</v>
      </c>
      <c r="W8" s="39">
        <f t="shared" si="1"/>
        <v>-0.64039999999999997</v>
      </c>
      <c r="X8" s="39">
        <f t="shared" si="1"/>
        <v>-0.64039999999999997</v>
      </c>
      <c r="Z8" s="6">
        <f t="shared" si="2"/>
        <v>0.33</v>
      </c>
      <c r="AA8" s="6">
        <f t="shared" si="2"/>
        <v>0.33</v>
      </c>
      <c r="AB8" s="6">
        <f t="shared" si="2"/>
        <v>0.33</v>
      </c>
    </row>
    <row r="9" spans="9:28" x14ac:dyDescent="0.25">
      <c r="I9" s="4">
        <f>(1-'OPTIONAL FULL MODEL APPENDIX'!L8+'OPTIONAL FULL MODEL APPENDIX'!F32)</f>
        <v>1.054</v>
      </c>
      <c r="T9" s="1">
        <f t="shared" si="0"/>
        <v>0.25</v>
      </c>
      <c r="V9" s="39">
        <f t="shared" si="1"/>
        <v>-0.53366666666666662</v>
      </c>
      <c r="W9" s="39">
        <f t="shared" si="1"/>
        <v>-0.53366666666666662</v>
      </c>
      <c r="X9" s="39">
        <f t="shared" si="1"/>
        <v>-0.53366666666666662</v>
      </c>
      <c r="Z9" s="6">
        <f t="shared" si="2"/>
        <v>0.27500000000000002</v>
      </c>
      <c r="AA9" s="6">
        <f t="shared" si="2"/>
        <v>0.27500000000000002</v>
      </c>
      <c r="AB9" s="6">
        <f t="shared" si="2"/>
        <v>0.27500000000000002</v>
      </c>
    </row>
    <row r="10" spans="9:28" x14ac:dyDescent="0.25">
      <c r="T10" s="1">
        <f t="shared" si="0"/>
        <v>0.2</v>
      </c>
      <c r="V10" s="39">
        <f t="shared" si="1"/>
        <v>-0.42693333333333333</v>
      </c>
      <c r="W10" s="39">
        <f t="shared" si="1"/>
        <v>-0.42693333333333333</v>
      </c>
      <c r="X10" s="39">
        <f t="shared" si="1"/>
        <v>-0.42693333333333333</v>
      </c>
      <c r="Z10" s="6">
        <f t="shared" si="2"/>
        <v>0.22000000000000003</v>
      </c>
      <c r="AA10" s="6">
        <f t="shared" si="2"/>
        <v>0.22000000000000003</v>
      </c>
      <c r="AB10" s="6">
        <f t="shared" si="2"/>
        <v>0.22000000000000003</v>
      </c>
    </row>
    <row r="11" spans="9:28" x14ac:dyDescent="0.25">
      <c r="T11" s="1">
        <f t="shared" si="0"/>
        <v>0.15000000000000002</v>
      </c>
      <c r="V11" s="39">
        <f t="shared" si="1"/>
        <v>-0.32020000000000004</v>
      </c>
      <c r="W11" s="39">
        <f t="shared" si="1"/>
        <v>-0.32020000000000004</v>
      </c>
      <c r="X11" s="39">
        <f t="shared" si="1"/>
        <v>-0.32020000000000004</v>
      </c>
      <c r="Z11" s="6">
        <f t="shared" si="2"/>
        <v>0.16500000000000004</v>
      </c>
      <c r="AA11" s="6">
        <f t="shared" si="2"/>
        <v>0.16500000000000004</v>
      </c>
      <c r="AB11" s="6">
        <f t="shared" si="2"/>
        <v>0.16500000000000004</v>
      </c>
    </row>
    <row r="12" spans="9:28" x14ac:dyDescent="0.25">
      <c r="I12" s="4">
        <f>-('OPTIONAL FULL MODEL APPENDIX'!F26-'OPTIONAL FULL MODEL APPENDIX'!I32)-'OPTIONAL FULL MODEL APPENDIX'!F32*('OPTIONAL FULL MODEL APPENDIX'!H14-'OPTIONAL FULL MODEL APPENDIX'!H46)/I9</f>
        <v>-0.60759013282732455</v>
      </c>
      <c r="K12" s="26">
        <f>-('OPTIONAL FULL MODEL APPENDIX'!F26-'OPTIONAL FULL MODEL APPENDIX'!I32)</f>
        <v>-0.8</v>
      </c>
      <c r="L12" s="26">
        <f>'OPTIONAL FULL MODEL APPENDIX'!F32*('OPTIONAL FULL MODEL APPENDIX'!H14-'OPTIONAL FULL MODEL APPENDIX'!H46)/I9</f>
        <v>-0.19240986717267552</v>
      </c>
      <c r="T12" s="1">
        <f t="shared" si="0"/>
        <v>0.1</v>
      </c>
      <c r="V12" s="39">
        <f t="shared" si="1"/>
        <v>-0.21346666666666667</v>
      </c>
      <c r="W12" s="39">
        <f t="shared" si="1"/>
        <v>-0.21346666666666667</v>
      </c>
      <c r="X12" s="39">
        <f t="shared" si="1"/>
        <v>-0.21346666666666667</v>
      </c>
      <c r="Z12" s="6">
        <f t="shared" si="2"/>
        <v>0.11000000000000001</v>
      </c>
      <c r="AA12" s="6">
        <f t="shared" si="2"/>
        <v>0.11000000000000001</v>
      </c>
      <c r="AB12" s="6">
        <f t="shared" si="2"/>
        <v>0.11000000000000001</v>
      </c>
    </row>
    <row r="13" spans="9:28" x14ac:dyDescent="0.25">
      <c r="T13" s="1">
        <f t="shared" si="0"/>
        <v>0.05</v>
      </c>
      <c r="V13" s="39">
        <f t="shared" si="1"/>
        <v>-0.10673333333333333</v>
      </c>
      <c r="W13" s="39">
        <f t="shared" si="1"/>
        <v>-0.10673333333333333</v>
      </c>
      <c r="X13" s="39">
        <f t="shared" si="1"/>
        <v>-0.10673333333333333</v>
      </c>
      <c r="Z13" s="6">
        <f t="shared" si="2"/>
        <v>5.5000000000000007E-2</v>
      </c>
      <c r="AA13" s="6">
        <f t="shared" si="2"/>
        <v>5.5000000000000007E-2</v>
      </c>
      <c r="AB13" s="6">
        <f t="shared" si="2"/>
        <v>5.5000000000000007E-2</v>
      </c>
    </row>
    <row r="14" spans="9:28" x14ac:dyDescent="0.25">
      <c r="T14" s="1">
        <v>0</v>
      </c>
      <c r="V14" s="39">
        <f>-($I$12/$I$15)*$T14+V$23/$I$15</f>
        <v>0</v>
      </c>
      <c r="W14" s="39">
        <f t="shared" si="1"/>
        <v>0</v>
      </c>
      <c r="X14" s="39">
        <f t="shared" si="1"/>
        <v>0</v>
      </c>
      <c r="Z14" s="6">
        <f>-($I$22/$I$26)*$T14+Z$23/$I$26</f>
        <v>0</v>
      </c>
      <c r="AA14" s="6">
        <f t="shared" si="2"/>
        <v>0</v>
      </c>
      <c r="AB14" s="6">
        <f t="shared" si="2"/>
        <v>0</v>
      </c>
    </row>
    <row r="15" spans="9:28" x14ac:dyDescent="0.25">
      <c r="I15" s="4">
        <f>-'OPTIONAL FULL MODEL APPENDIX'!F32/'NEW Assignment Problem'!I9</f>
        <v>-0.28462998102466797</v>
      </c>
      <c r="T15" s="1">
        <f t="shared" ref="T15:T21" si="3">T14-$T$23</f>
        <v>-0.05</v>
      </c>
      <c r="V15" s="39">
        <f t="shared" ref="V15:X21" si="4">-($I$12/$I$15)*$T15+V$23/$I$15</f>
        <v>0.10673333333333333</v>
      </c>
      <c r="W15" s="39">
        <f t="shared" si="4"/>
        <v>0.10673333333333333</v>
      </c>
      <c r="X15" s="39">
        <f t="shared" si="4"/>
        <v>0.10673333333333333</v>
      </c>
      <c r="Z15" s="6">
        <f t="shared" ref="Z15:AB21" si="5">-($I$22/$I$26)*$T15+Z$23/$I$26</f>
        <v>-5.5000000000000007E-2</v>
      </c>
      <c r="AA15" s="6">
        <f t="shared" si="5"/>
        <v>-5.5000000000000007E-2</v>
      </c>
      <c r="AB15" s="6">
        <f t="shared" si="5"/>
        <v>-5.5000000000000007E-2</v>
      </c>
    </row>
    <row r="16" spans="9:28" x14ac:dyDescent="0.25">
      <c r="T16" s="1">
        <f t="shared" si="3"/>
        <v>-0.1</v>
      </c>
      <c r="V16" s="39">
        <f t="shared" si="4"/>
        <v>0.21346666666666667</v>
      </c>
      <c r="W16" s="39">
        <f t="shared" si="4"/>
        <v>0.21346666666666667</v>
      </c>
      <c r="X16" s="39">
        <f t="shared" si="4"/>
        <v>0.21346666666666667</v>
      </c>
      <c r="Z16" s="6">
        <f t="shared" si="5"/>
        <v>-0.11000000000000001</v>
      </c>
      <c r="AA16" s="6">
        <f t="shared" si="5"/>
        <v>-0.11000000000000001</v>
      </c>
      <c r="AB16" s="6">
        <f t="shared" si="5"/>
        <v>-0.11000000000000001</v>
      </c>
    </row>
    <row r="17" spans="9:28" x14ac:dyDescent="0.25">
      <c r="T17" s="1">
        <f t="shared" si="3"/>
        <v>-0.15000000000000002</v>
      </c>
      <c r="V17" s="39">
        <f t="shared" si="4"/>
        <v>0.32020000000000004</v>
      </c>
      <c r="W17" s="39">
        <f t="shared" si="4"/>
        <v>0.32020000000000004</v>
      </c>
      <c r="X17" s="39">
        <f t="shared" si="4"/>
        <v>0.32020000000000004</v>
      </c>
      <c r="Z17" s="6">
        <f t="shared" si="5"/>
        <v>-0.16500000000000004</v>
      </c>
      <c r="AA17" s="6">
        <f t="shared" si="5"/>
        <v>-0.16500000000000004</v>
      </c>
      <c r="AB17" s="6">
        <f t="shared" si="5"/>
        <v>-0.16500000000000004</v>
      </c>
    </row>
    <row r="18" spans="9:28" x14ac:dyDescent="0.25">
      <c r="T18" s="1">
        <f t="shared" si="3"/>
        <v>-0.2</v>
      </c>
      <c r="V18" s="39">
        <f t="shared" si="4"/>
        <v>0.42693333333333333</v>
      </c>
      <c r="W18" s="39">
        <f t="shared" si="4"/>
        <v>0.42693333333333333</v>
      </c>
      <c r="X18" s="39">
        <f t="shared" si="4"/>
        <v>0.42693333333333333</v>
      </c>
      <c r="Z18" s="6">
        <f t="shared" si="5"/>
        <v>-0.22000000000000003</v>
      </c>
      <c r="AA18" s="6">
        <f t="shared" si="5"/>
        <v>-0.22000000000000003</v>
      </c>
      <c r="AB18" s="6">
        <f t="shared" si="5"/>
        <v>-0.22000000000000003</v>
      </c>
    </row>
    <row r="19" spans="9:28" x14ac:dyDescent="0.25">
      <c r="T19" s="1">
        <f t="shared" si="3"/>
        <v>-0.25</v>
      </c>
      <c r="V19" s="39">
        <f t="shared" si="4"/>
        <v>0.53366666666666662</v>
      </c>
      <c r="W19" s="39">
        <f t="shared" si="4"/>
        <v>0.53366666666666662</v>
      </c>
      <c r="X19" s="39">
        <f t="shared" si="4"/>
        <v>0.53366666666666662</v>
      </c>
      <c r="Z19" s="6">
        <f t="shared" si="5"/>
        <v>-0.27500000000000002</v>
      </c>
      <c r="AA19" s="6">
        <f t="shared" si="5"/>
        <v>-0.27500000000000002</v>
      </c>
      <c r="AB19" s="6">
        <f t="shared" si="5"/>
        <v>-0.27500000000000002</v>
      </c>
    </row>
    <row r="20" spans="9:28" x14ac:dyDescent="0.25">
      <c r="T20" s="1">
        <f t="shared" si="3"/>
        <v>-0.3</v>
      </c>
      <c r="V20" s="39">
        <f t="shared" si="4"/>
        <v>0.64039999999999997</v>
      </c>
      <c r="W20" s="39">
        <f t="shared" si="4"/>
        <v>0.64039999999999997</v>
      </c>
      <c r="X20" s="39">
        <f t="shared" si="4"/>
        <v>0.64039999999999997</v>
      </c>
      <c r="Z20" s="6">
        <f t="shared" si="5"/>
        <v>-0.33</v>
      </c>
      <c r="AA20" s="6">
        <f t="shared" si="5"/>
        <v>-0.33</v>
      </c>
      <c r="AB20" s="6">
        <f t="shared" si="5"/>
        <v>-0.33</v>
      </c>
    </row>
    <row r="21" spans="9:28" x14ac:dyDescent="0.25">
      <c r="T21" s="1">
        <f t="shared" si="3"/>
        <v>-0.35</v>
      </c>
      <c r="V21" s="39">
        <f t="shared" si="4"/>
        <v>0.7471333333333332</v>
      </c>
      <c r="W21" s="39">
        <f t="shared" si="4"/>
        <v>0.7471333333333332</v>
      </c>
      <c r="X21" s="39">
        <f t="shared" si="4"/>
        <v>0.7471333333333332</v>
      </c>
      <c r="Z21" s="6">
        <f t="shared" si="5"/>
        <v>-0.38500000000000001</v>
      </c>
      <c r="AA21" s="6">
        <f t="shared" si="5"/>
        <v>-0.38500000000000001</v>
      </c>
      <c r="AB21" s="6">
        <f t="shared" si="5"/>
        <v>-0.38500000000000001</v>
      </c>
    </row>
    <row r="22" spans="9:28" x14ac:dyDescent="0.25">
      <c r="I22" s="4">
        <f>('OPTIONAL FULL MODEL APPENDIX'!H14-'OPTIONAL FULL MODEL APPENDIX'!K44)/('OPTIONAL FULL MODEL APPENDIX'!F58*'NEW Assignment Problem'!I9)</f>
        <v>-0.20872865275142316</v>
      </c>
    </row>
    <row r="23" spans="9:28" x14ac:dyDescent="0.25">
      <c r="T23">
        <v>0.05</v>
      </c>
      <c r="V23" s="1">
        <v>0</v>
      </c>
      <c r="W23" s="64">
        <f>'Assignment Problem Dash '!F50</f>
        <v>0</v>
      </c>
      <c r="X23" s="1">
        <v>0</v>
      </c>
      <c r="Z23" s="1">
        <v>0</v>
      </c>
      <c r="AA23" s="64">
        <f>'Assignment Problem Dash '!F51</f>
        <v>0</v>
      </c>
      <c r="AB23" s="1">
        <v>0</v>
      </c>
    </row>
    <row r="24" spans="9:28" x14ac:dyDescent="0.25">
      <c r="W24" t="str">
        <f>IF(W23&lt;0,"External Surplus",IF(W23&gt;0,"External Deficit",""))</f>
        <v/>
      </c>
      <c r="AA24" t="str">
        <f>IF(AA23&lt;0,"Expansion/high inflation",IF(AA23&gt;0,"Contraction/Low Inflation",""))</f>
        <v/>
      </c>
    </row>
    <row r="26" spans="9:28" x14ac:dyDescent="0.25">
      <c r="I26" s="4">
        <f>1/('OPTIONAL FULL MODEL APPENDIX'!F58*'NEW Assignment Problem'!I9)</f>
        <v>0.18975332068311193</v>
      </c>
    </row>
    <row r="29" spans="9:28" x14ac:dyDescent="0.25">
      <c r="W29" t="s">
        <v>22</v>
      </c>
    </row>
    <row r="30" spans="9:28" x14ac:dyDescent="0.25">
      <c r="L30" t="s">
        <v>1</v>
      </c>
      <c r="W30" t="s">
        <v>53</v>
      </c>
      <c r="X30" t="s">
        <v>54</v>
      </c>
    </row>
    <row r="31" spans="9:28" x14ac:dyDescent="0.25">
      <c r="L31" s="53">
        <f>I12</f>
        <v>-0.60759013282732455</v>
      </c>
      <c r="M31" s="53">
        <f>I15</f>
        <v>-0.28462998102466797</v>
      </c>
      <c r="W31" s="14">
        <f>S39</f>
        <v>0</v>
      </c>
      <c r="X31">
        <v>0</v>
      </c>
    </row>
    <row r="32" spans="9:28" x14ac:dyDescent="0.25">
      <c r="L32" s="53">
        <f>I22</f>
        <v>-0.20872865275142316</v>
      </c>
      <c r="M32" s="53">
        <f>I26</f>
        <v>0.18975332068311193</v>
      </c>
      <c r="W32" s="14">
        <f>S39</f>
        <v>0</v>
      </c>
      <c r="X32" s="14">
        <f>S40</f>
        <v>0</v>
      </c>
    </row>
    <row r="34" spans="12:24" x14ac:dyDescent="0.25">
      <c r="L34" t="s">
        <v>165</v>
      </c>
      <c r="W34" t="s">
        <v>53</v>
      </c>
      <c r="X34" t="s">
        <v>54</v>
      </c>
    </row>
    <row r="35" spans="12:24" x14ac:dyDescent="0.25">
      <c r="L35" s="18">
        <f t="array" ref="L35:M36">MINVERSE(L31:M32)</f>
        <v>-1.0861500412201153</v>
      </c>
      <c r="M35" s="18">
        <v>-1.6292250618301733</v>
      </c>
      <c r="W35">
        <v>0</v>
      </c>
      <c r="X35" s="14">
        <f>X32</f>
        <v>0</v>
      </c>
    </row>
    <row r="36" spans="12:24" x14ac:dyDescent="0.25">
      <c r="L36" s="18">
        <v>-1.194765045342127</v>
      </c>
      <c r="M36" s="18">
        <v>3.4778524319868098</v>
      </c>
      <c r="W36" s="14">
        <f>W32</f>
        <v>0</v>
      </c>
      <c r="X36" s="14">
        <f>X35</f>
        <v>0</v>
      </c>
    </row>
    <row r="37" spans="12:24" x14ac:dyDescent="0.25">
      <c r="R37" t="s">
        <v>166</v>
      </c>
      <c r="S37" s="54">
        <f>W23</f>
        <v>0</v>
      </c>
      <c r="U37" s="1">
        <v>0.02</v>
      </c>
    </row>
    <row r="38" spans="12:24" x14ac:dyDescent="0.25">
      <c r="R38" t="s">
        <v>167</v>
      </c>
      <c r="S38" s="54">
        <f>AA23</f>
        <v>0</v>
      </c>
      <c r="U38" s="1">
        <v>-5.0000000000000001E-3</v>
      </c>
      <c r="W38" t="str">
        <f>W44&amp;W46&amp;W45</f>
        <v>No monetary adjustment/No fiscal adjustment</v>
      </c>
    </row>
    <row r="39" spans="12:24" x14ac:dyDescent="0.25">
      <c r="R39" t="s">
        <v>160</v>
      </c>
      <c r="S39" s="35">
        <f>L35*S37+M35*S38</f>
        <v>0</v>
      </c>
      <c r="U39" s="1">
        <v>-1.9081325301204821E-2</v>
      </c>
      <c r="W39" t="s">
        <v>53</v>
      </c>
      <c r="X39" t="s">
        <v>54</v>
      </c>
    </row>
    <row r="40" spans="12:24" x14ac:dyDescent="0.25">
      <c r="R40" t="s">
        <v>168</v>
      </c>
      <c r="S40" s="1">
        <f>L36*S37+M36*S38</f>
        <v>0</v>
      </c>
      <c r="U40" s="1">
        <v>-2.813132530120482E-2</v>
      </c>
      <c r="W40" s="14">
        <f>W31</f>
        <v>0</v>
      </c>
      <c r="X40" s="14">
        <f>X35</f>
        <v>0</v>
      </c>
    </row>
    <row r="41" spans="12:24" x14ac:dyDescent="0.25">
      <c r="W41" s="19">
        <f>W32</f>
        <v>0</v>
      </c>
      <c r="X41" s="14">
        <f>X40</f>
        <v>0</v>
      </c>
    </row>
    <row r="44" spans="12:24" x14ac:dyDescent="0.25">
      <c r="W44" t="str">
        <f>IF(S39&gt;0,"Monetary tightening",IF(S39&lt;0,"Monetary loosening",IF(S39=0,"No monetary adjustment","")))</f>
        <v>No monetary adjustment</v>
      </c>
    </row>
    <row r="45" spans="12:24" x14ac:dyDescent="0.25">
      <c r="W45" t="str">
        <f>IF(S40&gt;0,"Fiscal expansion (if space available)",IF(S40&lt;0,"Fiscal tightening",IF(S40=0,"No fiscal adjustment","")))</f>
        <v>No fiscal adjustment</v>
      </c>
    </row>
    <row r="46" spans="12:24" x14ac:dyDescent="0.25">
      <c r="W46" s="56" t="s">
        <v>186</v>
      </c>
    </row>
    <row r="49" spans="23:24" x14ac:dyDescent="0.25">
      <c r="W49" s="57" t="s">
        <v>188</v>
      </c>
      <c r="X49" s="57" t="s">
        <v>187</v>
      </c>
    </row>
    <row r="50" spans="23:24" x14ac:dyDescent="0.25">
      <c r="W50" s="59" t="str">
        <f>IF(S37&gt;0,"External deficit",IF(S37&lt;0,"External surplus",IF(S37=0,"External balance achieved","")))</f>
        <v>External balance achieved</v>
      </c>
      <c r="X50" s="59" t="str">
        <f>IF(S39&gt;0,"Monetary tightening required",IF(S39&lt;0,"Monetary loosening required",IF(S39=0,"No monetary adjustment required","")))</f>
        <v>No monetary adjustment required</v>
      </c>
    </row>
    <row r="51" spans="23:24" x14ac:dyDescent="0.25">
      <c r="W51" s="60" t="str">
        <f>IF(S38&gt;0,"Contraction/Low inflation",IF(S38&lt;0,"Expansion/High inflation",IF(S38=0,"Internal balance achieved","")))</f>
        <v>Internal balance achieved</v>
      </c>
      <c r="X51" s="60" t="str">
        <f>IF(S40&gt;0,"Fiscal expansion may be appropriate",IF(S40&lt;0,"Fiscal tightening required",IF(S40=0,"No fiscal adjustment required","")))</f>
        <v>No fiscal adjustment required</v>
      </c>
    </row>
    <row r="72" spans="12:23" x14ac:dyDescent="0.25">
      <c r="L72" t="s">
        <v>183</v>
      </c>
      <c r="O72" t="s">
        <v>185</v>
      </c>
    </row>
    <row r="73" spans="12:23" x14ac:dyDescent="0.25">
      <c r="L73" t="s">
        <v>53</v>
      </c>
      <c r="M73" t="s">
        <v>54</v>
      </c>
      <c r="O73" t="s">
        <v>53</v>
      </c>
      <c r="P73" t="s">
        <v>54</v>
      </c>
    </row>
    <row r="74" spans="12:23" x14ac:dyDescent="0.25">
      <c r="L74">
        <v>0</v>
      </c>
      <c r="M74">
        <v>0.1</v>
      </c>
      <c r="O74">
        <v>0.05</v>
      </c>
      <c r="P74">
        <v>0</v>
      </c>
    </row>
    <row r="75" spans="12:23" x14ac:dyDescent="0.25">
      <c r="L75">
        <v>0</v>
      </c>
      <c r="M75">
        <v>0.1</v>
      </c>
      <c r="O75">
        <v>0.05</v>
      </c>
      <c r="P75">
        <v>0</v>
      </c>
    </row>
    <row r="76" spans="12:23" x14ac:dyDescent="0.25">
      <c r="W76" s="58" t="s">
        <v>189</v>
      </c>
    </row>
    <row r="77" spans="12:23" x14ac:dyDescent="0.25">
      <c r="L77" t="s">
        <v>182</v>
      </c>
      <c r="O77" t="s">
        <v>184</v>
      </c>
      <c r="W77" s="60" t="str">
        <f>W51</f>
        <v>Internal balance achieved</v>
      </c>
    </row>
    <row r="78" spans="12:23" x14ac:dyDescent="0.25">
      <c r="L78" t="s">
        <v>53</v>
      </c>
      <c r="M78" t="s">
        <v>54</v>
      </c>
      <c r="O78" t="s">
        <v>53</v>
      </c>
      <c r="P78" t="s">
        <v>54</v>
      </c>
    </row>
    <row r="79" spans="12:23" x14ac:dyDescent="0.25">
      <c r="L79">
        <v>0</v>
      </c>
      <c r="M79">
        <v>-0.15</v>
      </c>
      <c r="O79">
        <v>-0.05</v>
      </c>
      <c r="P79">
        <v>0</v>
      </c>
    </row>
    <row r="80" spans="12:23" x14ac:dyDescent="0.25">
      <c r="L80">
        <v>0</v>
      </c>
      <c r="M80">
        <v>-0.15</v>
      </c>
      <c r="O80">
        <v>-0.05</v>
      </c>
      <c r="P80">
        <v>0</v>
      </c>
    </row>
    <row r="103" spans="23:23" x14ac:dyDescent="0.25">
      <c r="W103" s="58" t="s">
        <v>190</v>
      </c>
    </row>
    <row r="104" spans="23:23" x14ac:dyDescent="0.25">
      <c r="W104" s="59" t="str">
        <f>W50</f>
        <v>External balance achieved</v>
      </c>
    </row>
  </sheetData>
  <sheetProtection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8194" r:id="rId4">
          <objectPr defaultSize="0" autoPict="0" r:id="rId5">
            <anchor moveWithCells="1">
              <from>
                <xdr:col>2</xdr:col>
                <xdr:colOff>590550</xdr:colOff>
                <xdr:row>4</xdr:row>
                <xdr:rowOff>152400</xdr:rowOff>
              </from>
              <to>
                <xdr:col>6</xdr:col>
                <xdr:colOff>590550</xdr:colOff>
                <xdr:row>6</xdr:row>
                <xdr:rowOff>161925</xdr:rowOff>
              </to>
            </anchor>
          </objectPr>
        </oleObject>
      </mc:Choice>
      <mc:Fallback>
        <oleObject progId="Equation.DSMT4" shapeId="8194" r:id="rId4"/>
      </mc:Fallback>
    </mc:AlternateContent>
    <mc:AlternateContent xmlns:mc="http://schemas.openxmlformats.org/markup-compatibility/2006">
      <mc:Choice Requires="x14">
        <oleObject progId="Equation.DSMT4" shapeId="8195" r:id="rId6">
          <objectPr defaultSize="0" r:id="rId7">
            <anchor moveWithCells="1">
              <from>
                <xdr:col>3</xdr:col>
                <xdr:colOff>28575</xdr:colOff>
                <xdr:row>10</xdr:row>
                <xdr:rowOff>19050</xdr:rowOff>
              </from>
              <to>
                <xdr:col>7</xdr:col>
                <xdr:colOff>28575</xdr:colOff>
                <xdr:row>12</xdr:row>
                <xdr:rowOff>114300</xdr:rowOff>
              </to>
            </anchor>
          </objectPr>
        </oleObject>
      </mc:Choice>
      <mc:Fallback>
        <oleObject progId="Equation.DSMT4" shapeId="8195" r:id="rId6"/>
      </mc:Fallback>
    </mc:AlternateContent>
    <mc:AlternateContent xmlns:mc="http://schemas.openxmlformats.org/markup-compatibility/2006">
      <mc:Choice Requires="x14">
        <oleObject progId="Equation.DSMT4" shapeId="8197" r:id="rId8">
          <objectPr defaultSize="0" r:id="rId9">
            <anchor moveWithCells="1">
              <from>
                <xdr:col>3</xdr:col>
                <xdr:colOff>47625</xdr:colOff>
                <xdr:row>13</xdr:row>
                <xdr:rowOff>47625</xdr:rowOff>
              </from>
              <to>
                <xdr:col>4</xdr:col>
                <xdr:colOff>276225</xdr:colOff>
                <xdr:row>15</xdr:row>
                <xdr:rowOff>123825</xdr:rowOff>
              </to>
            </anchor>
          </objectPr>
        </oleObject>
      </mc:Choice>
      <mc:Fallback>
        <oleObject progId="Equation.DSMT4" shapeId="8197" r:id="rId8"/>
      </mc:Fallback>
    </mc:AlternateContent>
    <mc:AlternateContent xmlns:mc="http://schemas.openxmlformats.org/markup-compatibility/2006">
      <mc:Choice Requires="x14">
        <oleObject progId="Equation.DSMT4" shapeId="8198" r:id="rId10">
          <objectPr defaultSize="0" r:id="rId11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7</xdr:col>
                <xdr:colOff>66675</xdr:colOff>
                <xdr:row>18</xdr:row>
                <xdr:rowOff>171450</xdr:rowOff>
              </to>
            </anchor>
          </objectPr>
        </oleObject>
      </mc:Choice>
      <mc:Fallback>
        <oleObject progId="Equation.DSMT4" shapeId="8198" r:id="rId10"/>
      </mc:Fallback>
    </mc:AlternateContent>
    <mc:AlternateContent xmlns:mc="http://schemas.openxmlformats.org/markup-compatibility/2006">
      <mc:Choice Requires="x14">
        <oleObject progId="Equation.DSMT4" shapeId="8199" r:id="rId12">
          <objectPr defaultSize="0" autoPict="0" r:id="rId13">
            <anchor moveWithCells="1">
              <from>
                <xdr:col>3</xdr:col>
                <xdr:colOff>9525</xdr:colOff>
                <xdr:row>20</xdr:row>
                <xdr:rowOff>19050</xdr:rowOff>
              </from>
              <to>
                <xdr:col>4</xdr:col>
                <xdr:colOff>561975</xdr:colOff>
                <xdr:row>22</xdr:row>
                <xdr:rowOff>123825</xdr:rowOff>
              </to>
            </anchor>
          </objectPr>
        </oleObject>
      </mc:Choice>
      <mc:Fallback>
        <oleObject progId="Equation.DSMT4" shapeId="8199" r:id="rId12"/>
      </mc:Fallback>
    </mc:AlternateContent>
    <mc:AlternateContent xmlns:mc="http://schemas.openxmlformats.org/markup-compatibility/2006">
      <mc:Choice Requires="x14">
        <oleObject progId="Equation.DSMT4" shapeId="8200" r:id="rId14">
          <objectPr defaultSize="0" autoPict="0" r:id="rId15">
            <anchor moveWithCells="1">
              <from>
                <xdr:col>3</xdr:col>
                <xdr:colOff>28575</xdr:colOff>
                <xdr:row>24</xdr:row>
                <xdr:rowOff>9525</xdr:rowOff>
              </from>
              <to>
                <xdr:col>4</xdr:col>
                <xdr:colOff>200025</xdr:colOff>
                <xdr:row>26</xdr:row>
                <xdr:rowOff>28575</xdr:rowOff>
              </to>
            </anchor>
          </objectPr>
        </oleObject>
      </mc:Choice>
      <mc:Fallback>
        <oleObject progId="Equation.DSMT4" shapeId="8200" r:id="rId14"/>
      </mc:Fallback>
    </mc:AlternateContent>
    <mc:AlternateContent xmlns:mc="http://schemas.openxmlformats.org/markup-compatibility/2006">
      <mc:Choice Requires="x14">
        <oleObject progId="Equation.DSMT4" shapeId="8201" r:id="rId16">
          <objectPr defaultSize="0" autoPict="0" r:id="rId17">
            <anchor moveWithCells="1">
              <from>
                <xdr:col>3</xdr:col>
                <xdr:colOff>0</xdr:colOff>
                <xdr:row>7</xdr:row>
                <xdr:rowOff>104775</xdr:rowOff>
              </from>
              <to>
                <xdr:col>7</xdr:col>
                <xdr:colOff>161925</xdr:colOff>
                <xdr:row>9</xdr:row>
                <xdr:rowOff>19050</xdr:rowOff>
              </to>
            </anchor>
          </objectPr>
        </oleObject>
      </mc:Choice>
      <mc:Fallback>
        <oleObject progId="Equation.DSMT4" shapeId="8201" r:id="rId16"/>
      </mc:Fallback>
    </mc:AlternateContent>
    <mc:AlternateContent xmlns:mc="http://schemas.openxmlformats.org/markup-compatibility/2006">
      <mc:Choice Requires="x14">
        <oleObject progId="Equation.DSMT4" shapeId="8204" r:id="rId18">
          <objectPr defaultSize="0" autoPict="0" r:id="rId19">
            <anchor moveWithCells="1">
              <from>
                <xdr:col>21</xdr:col>
                <xdr:colOff>19050</xdr:colOff>
                <xdr:row>2</xdr:row>
                <xdr:rowOff>28575</xdr:rowOff>
              </from>
              <to>
                <xdr:col>22</xdr:col>
                <xdr:colOff>1000125</xdr:colOff>
                <xdr:row>3</xdr:row>
                <xdr:rowOff>171450</xdr:rowOff>
              </to>
            </anchor>
          </objectPr>
        </oleObject>
      </mc:Choice>
      <mc:Fallback>
        <oleObject progId="Equation.DSMT4" shapeId="8204" r:id="rId18"/>
      </mc:Fallback>
    </mc:AlternateContent>
    <mc:AlternateContent xmlns:mc="http://schemas.openxmlformats.org/markup-compatibility/2006">
      <mc:Choice Requires="x14">
        <oleObject progId="Equation.DSMT4" shapeId="8205" r:id="rId20">
          <objectPr defaultSize="0" autoPict="0" r:id="rId21">
            <anchor moveWithCells="1">
              <from>
                <xdr:col>25</xdr:col>
                <xdr:colOff>57150</xdr:colOff>
                <xdr:row>2</xdr:row>
                <xdr:rowOff>0</xdr:rowOff>
              </from>
              <to>
                <xdr:col>28</xdr:col>
                <xdr:colOff>200025</xdr:colOff>
                <xdr:row>4</xdr:row>
                <xdr:rowOff>57150</xdr:rowOff>
              </to>
            </anchor>
          </objectPr>
        </oleObject>
      </mc:Choice>
      <mc:Fallback>
        <oleObject progId="Equation.DSMT4" shapeId="8205" r:id="rId20"/>
      </mc:Fallback>
    </mc:AlternateContent>
    <mc:AlternateContent xmlns:mc="http://schemas.openxmlformats.org/markup-compatibility/2006">
      <mc:Choice Requires="x14">
        <oleObject progId="Equation.DSMT4" shapeId="8206" r:id="rId22">
          <objectPr defaultSize="0" autoPict="0" r:id="rId23">
            <anchor moveWithCells="1">
              <from>
                <xdr:col>5</xdr:col>
                <xdr:colOff>447675</xdr:colOff>
                <xdr:row>29</xdr:row>
                <xdr:rowOff>28575</xdr:rowOff>
              </from>
              <to>
                <xdr:col>9</xdr:col>
                <xdr:colOff>381000</xdr:colOff>
                <xdr:row>32</xdr:row>
                <xdr:rowOff>104775</xdr:rowOff>
              </to>
            </anchor>
          </objectPr>
        </oleObject>
      </mc:Choice>
      <mc:Fallback>
        <oleObject progId="Equation.DSMT4" shapeId="8206" r:id="rId22"/>
      </mc:Fallback>
    </mc:AlternateContent>
    <mc:AlternateContent xmlns:mc="http://schemas.openxmlformats.org/markup-compatibility/2006">
      <mc:Choice Requires="x14">
        <oleObject progId="Equation.DSMT4" shapeId="8207" r:id="rId24">
          <objectPr defaultSize="0" autoPict="0" r:id="rId25">
            <anchor moveWithCells="1">
              <from>
                <xdr:col>5</xdr:col>
                <xdr:colOff>457200</xdr:colOff>
                <xdr:row>33</xdr:row>
                <xdr:rowOff>104775</xdr:rowOff>
              </from>
              <to>
                <xdr:col>9</xdr:col>
                <xdr:colOff>381000</xdr:colOff>
                <xdr:row>36</xdr:row>
                <xdr:rowOff>152400</xdr:rowOff>
              </to>
            </anchor>
          </objectPr>
        </oleObject>
      </mc:Choice>
      <mc:Fallback>
        <oleObject progId="Equation.DSMT4" shapeId="8207" r:id="rId2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K3:R58"/>
  <sheetViews>
    <sheetView showGridLines="0" zoomScale="140" zoomScaleNormal="140" workbookViewId="0">
      <selection activeCell="J6" sqref="J6"/>
    </sheetView>
  </sheetViews>
  <sheetFormatPr defaultRowHeight="15" x14ac:dyDescent="0.25"/>
  <cols>
    <col min="12" max="12" width="29.5703125" customWidth="1"/>
    <col min="13" max="13" width="9.140625" customWidth="1"/>
  </cols>
  <sheetData>
    <row r="3" spans="11:18" x14ac:dyDescent="0.25">
      <c r="N3" t="s">
        <v>20</v>
      </c>
    </row>
    <row r="4" spans="11:18" x14ac:dyDescent="0.25">
      <c r="K4" t="s">
        <v>25</v>
      </c>
      <c r="N4" t="s">
        <v>21</v>
      </c>
      <c r="O4" t="s">
        <v>115</v>
      </c>
      <c r="P4" t="s">
        <v>22</v>
      </c>
      <c r="R4" t="s">
        <v>23</v>
      </c>
    </row>
    <row r="5" spans="11:18" x14ac:dyDescent="0.25">
      <c r="L5" t="s">
        <v>24</v>
      </c>
      <c r="N5" s="5">
        <v>0</v>
      </c>
      <c r="P5" s="5">
        <v>0</v>
      </c>
      <c r="R5" s="5">
        <v>0</v>
      </c>
    </row>
    <row r="6" spans="11:18" x14ac:dyDescent="0.25">
      <c r="L6" t="s">
        <v>26</v>
      </c>
      <c r="N6" s="5">
        <v>0</v>
      </c>
      <c r="P6" s="5">
        <v>0</v>
      </c>
      <c r="R6" s="5">
        <v>0</v>
      </c>
    </row>
    <row r="8" spans="11:18" x14ac:dyDescent="0.25">
      <c r="K8" t="s">
        <v>29</v>
      </c>
      <c r="N8" t="s">
        <v>27</v>
      </c>
    </row>
    <row r="9" spans="11:18" ht="17.25" x14ac:dyDescent="0.25">
      <c r="L9" t="s">
        <v>28</v>
      </c>
      <c r="N9" s="5">
        <v>0</v>
      </c>
      <c r="P9" s="5">
        <v>0</v>
      </c>
      <c r="R9" s="5">
        <v>0</v>
      </c>
    </row>
    <row r="10" spans="11:18" x14ac:dyDescent="0.25">
      <c r="L10" t="s">
        <v>30</v>
      </c>
      <c r="N10" s="5">
        <v>0</v>
      </c>
      <c r="P10" s="5">
        <v>0</v>
      </c>
      <c r="R10" s="5">
        <v>0</v>
      </c>
    </row>
    <row r="12" spans="11:18" x14ac:dyDescent="0.25">
      <c r="K12" t="s">
        <v>29</v>
      </c>
      <c r="N12" t="s">
        <v>31</v>
      </c>
    </row>
    <row r="13" spans="11:18" x14ac:dyDescent="0.25">
      <c r="L13" t="s">
        <v>32</v>
      </c>
      <c r="N13" s="5">
        <v>0</v>
      </c>
      <c r="P13" s="5">
        <v>0</v>
      </c>
      <c r="R13" s="5">
        <v>0</v>
      </c>
    </row>
    <row r="15" spans="11:18" x14ac:dyDescent="0.25">
      <c r="L15" t="s">
        <v>29</v>
      </c>
      <c r="N15" t="s">
        <v>81</v>
      </c>
    </row>
    <row r="16" spans="11:18" x14ac:dyDescent="0.25">
      <c r="L16" t="s">
        <v>82</v>
      </c>
      <c r="N16" s="23">
        <f>N17+N18</f>
        <v>0</v>
      </c>
      <c r="P16" s="23">
        <f>P17+P18</f>
        <v>0</v>
      </c>
      <c r="R16" s="23">
        <f>R17+R18</f>
        <v>0</v>
      </c>
    </row>
    <row r="17" spans="12:18" x14ac:dyDescent="0.25">
      <c r="L17" t="s">
        <v>83</v>
      </c>
      <c r="N17" s="5">
        <v>0</v>
      </c>
      <c r="P17" s="5">
        <v>0</v>
      </c>
      <c r="R17" s="5">
        <v>0</v>
      </c>
    </row>
    <row r="18" spans="12:18" x14ac:dyDescent="0.25">
      <c r="L18" t="s">
        <v>84</v>
      </c>
      <c r="N18" s="5">
        <v>0</v>
      </c>
      <c r="P18" s="5">
        <v>0</v>
      </c>
      <c r="R18" s="5">
        <v>0</v>
      </c>
    </row>
    <row r="20" spans="12:18" x14ac:dyDescent="0.25">
      <c r="L20" t="s">
        <v>29</v>
      </c>
      <c r="N20" t="s">
        <v>85</v>
      </c>
    </row>
    <row r="21" spans="12:18" x14ac:dyDescent="0.25">
      <c r="L21" t="s">
        <v>86</v>
      </c>
      <c r="N21" s="23">
        <f>N22-N23</f>
        <v>0</v>
      </c>
      <c r="P21" s="23">
        <f>P22-P23</f>
        <v>0</v>
      </c>
      <c r="R21" s="23">
        <f>R22-R23</f>
        <v>0</v>
      </c>
    </row>
    <row r="22" spans="12:18" x14ac:dyDescent="0.25">
      <c r="L22" t="s">
        <v>87</v>
      </c>
      <c r="N22" s="5">
        <v>0</v>
      </c>
      <c r="P22" s="5">
        <f>-4%*0</f>
        <v>0</v>
      </c>
      <c r="R22" s="5">
        <f>-4%*0</f>
        <v>0</v>
      </c>
    </row>
    <row r="23" spans="12:18" x14ac:dyDescent="0.25">
      <c r="L23" t="s">
        <v>88</v>
      </c>
      <c r="N23" s="5">
        <v>0</v>
      </c>
      <c r="P23" s="5">
        <v>0</v>
      </c>
      <c r="R23" s="5">
        <v>0</v>
      </c>
    </row>
    <row r="25" spans="12:18" x14ac:dyDescent="0.25">
      <c r="N25" t="str">
        <f>N4</f>
        <v>base</v>
      </c>
      <c r="P25" t="str">
        <f>P4</f>
        <v>alt(i)</v>
      </c>
      <c r="R25" t="str">
        <f>R4</f>
        <v>alt(ii)</v>
      </c>
    </row>
    <row r="26" spans="12:18" x14ac:dyDescent="0.25">
      <c r="L26" t="s">
        <v>173</v>
      </c>
    </row>
    <row r="27" spans="12:18" x14ac:dyDescent="0.25">
      <c r="L27" t="s">
        <v>169</v>
      </c>
      <c r="N27" s="9">
        <f>'OPTIONAL FULL MODEL APPENDIX'!R58</f>
        <v>0</v>
      </c>
      <c r="O27" s="14"/>
      <c r="P27" s="9">
        <f>'OPTIONAL FULL MODEL APPENDIX'!T58</f>
        <v>0</v>
      </c>
      <c r="Q27" s="14"/>
      <c r="R27" s="9">
        <f>'OPTIONAL FULL MODEL APPENDIX'!V58</f>
        <v>0</v>
      </c>
    </row>
    <row r="28" spans="12:18" x14ac:dyDescent="0.25">
      <c r="N28" s="55" t="str">
        <f>IF(N27&gt;0,"Expansion",IF(N27&lt;0,"Recession",""))</f>
        <v/>
      </c>
      <c r="P28" s="55" t="str">
        <f>IF(P27&gt;0,"Expansion",IF(P27&lt;0,"Recession",""))</f>
        <v/>
      </c>
      <c r="R28" s="55" t="str">
        <f>IF(R27&gt;0,"Expansion",IF(R27&lt;0,"Recession",""))</f>
        <v/>
      </c>
    </row>
    <row r="29" spans="12:18" x14ac:dyDescent="0.25">
      <c r="L29" t="s">
        <v>170</v>
      </c>
      <c r="N29" s="9">
        <f>'OPTIONAL FULL MODEL APPENDIX'!R72</f>
        <v>0.02</v>
      </c>
      <c r="O29" s="14"/>
      <c r="P29" s="9">
        <f>'OPTIONAL FULL MODEL APPENDIX'!T72</f>
        <v>0.02</v>
      </c>
      <c r="Q29" s="14"/>
      <c r="R29" s="9">
        <f>'OPTIONAL FULL MODEL APPENDIX'!V72</f>
        <v>0.02</v>
      </c>
    </row>
    <row r="30" spans="12:18" x14ac:dyDescent="0.25">
      <c r="N30" s="55" t="str">
        <f>IF(N29&gt;'OPTIONAL FULL MODEL APPENDIX'!$C$34,"Above neutral",IF(N29&lt;'OPTIONAL FULL MODEL APPENDIX'!$C$34,"Below neutral",""))</f>
        <v/>
      </c>
      <c r="P30" s="55" t="str">
        <f>IF(P29&gt;'OPTIONAL FULL MODEL APPENDIX'!$C$34,"Above neutral",IF(P29&lt;'OPTIONAL FULL MODEL APPENDIX'!$C$34,"Below neutral",""))</f>
        <v/>
      </c>
      <c r="R30" s="55" t="str">
        <f>IF(R29&gt;'OPTIONAL FULL MODEL APPENDIX'!$C$34,"Above neutral",IF(R29&lt;'OPTIONAL FULL MODEL APPENDIX'!$C$34,"Below neutral",""))</f>
        <v/>
      </c>
    </row>
    <row r="31" spans="12:18" x14ac:dyDescent="0.25">
      <c r="L31" t="s">
        <v>171</v>
      </c>
      <c r="N31" s="9">
        <f>'OPTIONAL FULL MODEL APPENDIX'!R67</f>
        <v>4.4999999999999998E-2</v>
      </c>
      <c r="O31" s="14"/>
      <c r="P31" s="9">
        <f>'OPTIONAL FULL MODEL APPENDIX'!T67</f>
        <v>4.4999999999999998E-2</v>
      </c>
      <c r="Q31" s="14"/>
      <c r="R31" s="9">
        <f>'OPTIONAL FULL MODEL APPENDIX'!V67</f>
        <v>4.4999999999999998E-2</v>
      </c>
    </row>
    <row r="32" spans="12:18" x14ac:dyDescent="0.25">
      <c r="N32" s="55" t="str">
        <f>IF(N31&gt;'OPTIONAL FULL MODEL APPENDIX'!$C$31,"Above target",IF(N31&lt;'OPTIONAL FULL MODEL APPENDIX'!$C$31,"Below target",""))</f>
        <v/>
      </c>
      <c r="P32" s="55" t="str">
        <f>IF(P31&gt;'OPTIONAL FULL MODEL APPENDIX'!$C$31,"Above target",IF(P31&lt;'OPTIONAL FULL MODEL APPENDIX'!$C$31,"Below target",""))</f>
        <v/>
      </c>
      <c r="R32" s="55" t="str">
        <f>IF(R31&gt;'OPTIONAL FULL MODEL APPENDIX'!$C$31,"Above target",IF(R31&lt;'OPTIONAL FULL MODEL APPENDIX'!$C$31,"Below target",""))</f>
        <v/>
      </c>
    </row>
    <row r="33" spans="12:18" x14ac:dyDescent="0.25">
      <c r="L33" t="s">
        <v>172</v>
      </c>
      <c r="N33" s="9">
        <f>N29+N31</f>
        <v>6.5000000000000002E-2</v>
      </c>
      <c r="O33" s="14"/>
      <c r="P33" s="9">
        <f>P29+P31</f>
        <v>6.5000000000000002E-2</v>
      </c>
      <c r="Q33" s="14"/>
      <c r="R33" s="9">
        <f>R29+R31</f>
        <v>6.5000000000000002E-2</v>
      </c>
    </row>
    <row r="36" spans="12:18" x14ac:dyDescent="0.25">
      <c r="L36" t="s">
        <v>175</v>
      </c>
    </row>
    <row r="38" spans="12:18" x14ac:dyDescent="0.25">
      <c r="L38" t="s">
        <v>176</v>
      </c>
      <c r="N38" s="9">
        <f>'OPTIONAL FULL MODEL APPENDIX'!R76</f>
        <v>0</v>
      </c>
      <c r="O38" s="14"/>
      <c r="P38" s="9">
        <f>'OPTIONAL FULL MODEL APPENDIX'!T76</f>
        <v>0</v>
      </c>
      <c r="Q38" s="14"/>
      <c r="R38" s="9">
        <f>'OPTIONAL FULL MODEL APPENDIX'!V76</f>
        <v>0</v>
      </c>
    </row>
    <row r="39" spans="12:18" x14ac:dyDescent="0.25">
      <c r="L39" t="s">
        <v>177</v>
      </c>
      <c r="N39" s="55" t="str">
        <f>IF(N38&gt;0,"Favorable",IF(N38&lt;0,"Unfavorable",""))</f>
        <v/>
      </c>
      <c r="P39" s="55" t="str">
        <f>IF(P38&gt;0,"Favorable",IF(P38&lt;0,"Unfavorable",""))</f>
        <v/>
      </c>
      <c r="R39" s="55" t="str">
        <f>IF(R38&gt;0,"Favorable",IF(R38&lt;0,"Unfavorable",""))</f>
        <v/>
      </c>
    </row>
    <row r="41" spans="12:18" x14ac:dyDescent="0.25">
      <c r="L41" t="s">
        <v>178</v>
      </c>
      <c r="N41" s="9">
        <f>'OPTIONAL FULL MODEL APPENDIX'!R82</f>
        <v>0</v>
      </c>
      <c r="O41" s="14"/>
      <c r="P41" s="9">
        <f>'OPTIONAL FULL MODEL APPENDIX'!T82</f>
        <v>0</v>
      </c>
      <c r="Q41" s="14"/>
      <c r="R41" s="9">
        <f>'OPTIONAL FULL MODEL APPENDIX'!V82</f>
        <v>0</v>
      </c>
    </row>
    <row r="42" spans="12:18" x14ac:dyDescent="0.25">
      <c r="L42" t="s">
        <v>179</v>
      </c>
      <c r="N42" s="55" t="str">
        <f>IF(N41&gt;0,"Favorable",IF(N41&lt;0,"Unfavorable",""))</f>
        <v/>
      </c>
      <c r="P42" s="55" t="str">
        <f>IF(P41&gt;0,"Unfavorable",IF(P41&lt;0,"Favorable",""))</f>
        <v/>
      </c>
      <c r="R42" s="55" t="str">
        <f>IF(R41&gt;0,"Favorable",IF(R41&lt;0,"Unfavorable",""))</f>
        <v/>
      </c>
    </row>
    <row r="44" spans="12:18" x14ac:dyDescent="0.25">
      <c r="L44" t="s">
        <v>174</v>
      </c>
      <c r="N44" s="32">
        <f>'OPTIONAL FULL MODEL APPENDIX'!R91</f>
        <v>100</v>
      </c>
      <c r="O44" s="22"/>
      <c r="P44" s="32">
        <f>'OPTIONAL FULL MODEL APPENDIX'!T91</f>
        <v>100</v>
      </c>
      <c r="Q44" s="22"/>
      <c r="R44" s="32">
        <f>'OPTIONAL FULL MODEL APPENDIX'!V91</f>
        <v>100</v>
      </c>
    </row>
    <row r="45" spans="12:18" x14ac:dyDescent="0.25">
      <c r="N45" s="55" t="str">
        <f>IF(N44&gt;'OPTIONAL FULL MODEL APPENDIX'!$C$51,"Depreciation",IF(N44&lt;'OPTIONAL FULL MODEL APPENDIX'!$C$51,"Appreciation",""))</f>
        <v/>
      </c>
      <c r="P45" s="55" t="str">
        <f>IF(P44&gt;'OPTIONAL FULL MODEL APPENDIX'!$C$51,"Depreciation",IF(P44&lt;'OPTIONAL FULL MODEL APPENDIX'!$C$51,"Appreciation",""))</f>
        <v/>
      </c>
      <c r="R45" s="55" t="str">
        <f>IF(R44&gt;'OPTIONAL FULL MODEL APPENDIX'!$C$51,"Depreciation",IF(R44&lt;'OPTIONAL FULL MODEL APPENDIX'!$C$51,"Appreciation",""))</f>
        <v/>
      </c>
    </row>
    <row r="47" spans="12:18" x14ac:dyDescent="0.25">
      <c r="L47" t="s">
        <v>180</v>
      </c>
      <c r="N47" s="33">
        <f>'OPTIONAL FULL MODEL APPENDIX'!R106</f>
        <v>-1.4499999999999782E-2</v>
      </c>
      <c r="O47" s="22"/>
      <c r="P47" s="33">
        <f>'OPTIONAL FULL MODEL APPENDIX'!T106</f>
        <v>-1.4499999999999782E-2</v>
      </c>
      <c r="Q47" s="22"/>
      <c r="R47" s="33">
        <f>'OPTIONAL FULL MODEL APPENDIX'!V106</f>
        <v>-1.4499999999999782E-2</v>
      </c>
    </row>
    <row r="48" spans="12:18" x14ac:dyDescent="0.25">
      <c r="L48" t="s">
        <v>181</v>
      </c>
      <c r="N48" s="1">
        <f>'OPTIONAL FULL MODEL APPENDIX'!R107</f>
        <v>-1.4499999999999791E-2</v>
      </c>
      <c r="P48" s="1">
        <f>'OPTIONAL FULL MODEL APPENDIX'!T107</f>
        <v>-1.4499999999999791E-2</v>
      </c>
      <c r="R48" s="1">
        <f>'OPTIONAL FULL MODEL APPENDIX'!V107</f>
        <v>-1.4499999999999791E-2</v>
      </c>
    </row>
    <row r="49" spans="12:18" x14ac:dyDescent="0.25">
      <c r="N49" s="55" t="str">
        <f>IF(N47&gt;N48,"Surplus",IF(N47&lt;N48,"Deficit",""))</f>
        <v/>
      </c>
      <c r="P49" s="55" t="str">
        <f>IF(P47&gt;P48,"Surplus",IF(P47&lt;P48,"Deficit",""))</f>
        <v/>
      </c>
      <c r="R49" s="55" t="str">
        <f>IF(R47&gt;R48,"Surplus",IF(R47&lt;R48,"Deficit",""))</f>
        <v/>
      </c>
    </row>
    <row r="51" spans="12:18" x14ac:dyDescent="0.25">
      <c r="L51" t="str">
        <f>'OPTIONAL FULL MODEL APPENDIX'!P110</f>
        <v>Demand side decomposition of output gap (percent of potential)</v>
      </c>
    </row>
    <row r="52" spans="12:18" x14ac:dyDescent="0.25">
      <c r="L52" t="str">
        <f>'OPTIONAL FULL MODEL APPENDIX'!P111</f>
        <v>Output gap</v>
      </c>
      <c r="N52" s="33">
        <f>'OPTIONAL FULL MODEL APPENDIX'!R111</f>
        <v>0</v>
      </c>
      <c r="P52" s="33">
        <f>'OPTIONAL FULL MODEL APPENDIX'!T111</f>
        <v>0</v>
      </c>
      <c r="R52" s="33">
        <f>'OPTIONAL FULL MODEL APPENDIX'!V111</f>
        <v>0</v>
      </c>
    </row>
    <row r="53" spans="12:18" x14ac:dyDescent="0.25">
      <c r="L53" t="str">
        <f>'OPTIONAL FULL MODEL APPENDIX'!P112</f>
        <v xml:space="preserve">  Consumption </v>
      </c>
      <c r="N53" s="33">
        <f>'OPTIONAL FULL MODEL APPENDIX'!R112</f>
        <v>0</v>
      </c>
      <c r="P53" s="33">
        <f>'OPTIONAL FULL MODEL APPENDIX'!T112</f>
        <v>0</v>
      </c>
      <c r="R53" s="33">
        <f>'OPTIONAL FULL MODEL APPENDIX'!V112</f>
        <v>0</v>
      </c>
    </row>
    <row r="54" spans="12:18" x14ac:dyDescent="0.25">
      <c r="L54" t="str">
        <f>'OPTIONAL FULL MODEL APPENDIX'!P113</f>
        <v xml:space="preserve">  Investment </v>
      </c>
      <c r="N54" s="33">
        <f>'OPTIONAL FULL MODEL APPENDIX'!R113</f>
        <v>0</v>
      </c>
      <c r="P54" s="33">
        <f>'OPTIONAL FULL MODEL APPENDIX'!T113</f>
        <v>0</v>
      </c>
      <c r="R54" s="33">
        <f>'OPTIONAL FULL MODEL APPENDIX'!V113</f>
        <v>0</v>
      </c>
    </row>
    <row r="55" spans="12:18" x14ac:dyDescent="0.25">
      <c r="L55" t="str">
        <f>'OPTIONAL FULL MODEL APPENDIX'!P114</f>
        <v xml:space="preserve">  Governerment Spending</v>
      </c>
      <c r="N55" s="33">
        <f>'OPTIONAL FULL MODEL APPENDIX'!R114</f>
        <v>0</v>
      </c>
      <c r="P55" s="33">
        <f>'OPTIONAL FULL MODEL APPENDIX'!T114</f>
        <v>0</v>
      </c>
      <c r="R55" s="33">
        <f>'OPTIONAL FULL MODEL APPENDIX'!V114</f>
        <v>0</v>
      </c>
    </row>
    <row r="56" spans="12:18" x14ac:dyDescent="0.25">
      <c r="L56" t="str">
        <f>'OPTIONAL FULL MODEL APPENDIX'!P115</f>
        <v xml:space="preserve">  Net Exports</v>
      </c>
      <c r="N56" s="33">
        <f>'OPTIONAL FULL MODEL APPENDIX'!R115</f>
        <v>0</v>
      </c>
      <c r="P56" s="33">
        <f>'OPTIONAL FULL MODEL APPENDIX'!T115</f>
        <v>0</v>
      </c>
      <c r="R56" s="33">
        <f>'OPTIONAL FULL MODEL APPENDIX'!V115</f>
        <v>0</v>
      </c>
    </row>
    <row r="57" spans="12:18" x14ac:dyDescent="0.25">
      <c r="L57" t="str">
        <f>'OPTIONAL FULL MODEL APPENDIX'!P116</f>
        <v xml:space="preserve">     Exports</v>
      </c>
      <c r="N57" s="33">
        <f>'OPTIONAL FULL MODEL APPENDIX'!R116</f>
        <v>0</v>
      </c>
      <c r="P57" s="33">
        <f>'OPTIONAL FULL MODEL APPENDIX'!T116</f>
        <v>0</v>
      </c>
      <c r="R57" s="33">
        <f>'OPTIONAL FULL MODEL APPENDIX'!V116</f>
        <v>0</v>
      </c>
    </row>
    <row r="58" spans="12:18" x14ac:dyDescent="0.25">
      <c r="L58" t="str">
        <f>'OPTIONAL FULL MODEL APPENDIX'!P117</f>
        <v xml:space="preserve">     Imports</v>
      </c>
      <c r="N58" s="33">
        <f>'OPTIONAL FULL MODEL APPENDIX'!R117</f>
        <v>0</v>
      </c>
      <c r="P58" s="33">
        <f>'OPTIONAL FULL MODEL APPENDIX'!T117</f>
        <v>0</v>
      </c>
      <c r="R58" s="33">
        <f>'OPTIONAL FULL MODEL APPENDIX'!V117</f>
        <v>0</v>
      </c>
    </row>
  </sheetData>
  <sheetProtection algorithmName="SHA-512" hashValue="Up4GkbLwxmxDYgIJDRM43BbZfyLpsoYtANd2HHjj+KU4bWDDMeMaWht2qUybjDHy7UEzhrIL8q0M/iva0H16/Q==" saltValue="ni/zBtO1eeeRgOM9OIcAQQ==" spinCount="100000" sheet="1" objects="1" scenarios="1"/>
  <protectedRanges>
    <protectedRange sqref="U6:U7" name="Range3"/>
    <protectedRange sqref="S6:S7" name="Range2"/>
    <protectedRange sqref="R22:R23" name="Range15"/>
    <protectedRange sqref="P22:P23" name="Range14"/>
    <protectedRange sqref="N22:N23" name="Range13"/>
    <protectedRange sqref="R17:R18" name="Range12"/>
    <protectedRange sqref="P17:P18" name="Range11"/>
    <protectedRange sqref="N17:N18" name="Range10"/>
    <protectedRange sqref="R13" name="Range9"/>
    <protectedRange sqref="P13" name="Range8"/>
    <protectedRange sqref="N13" name="Range7"/>
    <protectedRange sqref="R9:R10" name="Range6"/>
    <protectedRange sqref="P9:P10" name="Range5"/>
    <protectedRange sqref="N9:N10" name="Range4"/>
    <protectedRange sqref="R5:R6" name="Range3_1"/>
    <protectedRange sqref="P5:P6" name="Range2_1"/>
    <protectedRange sqref="N5:N6" name="Range1_1"/>
  </protectedRanges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2:BM125"/>
  <sheetViews>
    <sheetView showGridLines="0" topLeftCell="A22" zoomScale="106" zoomScaleNormal="100" workbookViewId="0">
      <selection activeCell="F33" sqref="F33"/>
    </sheetView>
  </sheetViews>
  <sheetFormatPr defaultRowHeight="15" x14ac:dyDescent="0.25"/>
  <cols>
    <col min="2" max="2" width="34.85546875" customWidth="1"/>
    <col min="14" max="14" width="8.85546875" customWidth="1"/>
    <col min="15" max="15" width="1.5703125" customWidth="1"/>
    <col min="16" max="16" width="37.5703125" customWidth="1"/>
    <col min="17" max="17" width="6.5703125" customWidth="1"/>
    <col min="40" max="40" width="8.5703125" customWidth="1"/>
    <col min="56" max="56" width="8.42578125" customWidth="1"/>
  </cols>
  <sheetData>
    <row r="2" spans="2:65" x14ac:dyDescent="0.25">
      <c r="B2" t="s">
        <v>0</v>
      </c>
      <c r="E2" t="s">
        <v>33</v>
      </c>
      <c r="R2" t="s">
        <v>20</v>
      </c>
    </row>
    <row r="3" spans="2:65" ht="18.75" x14ac:dyDescent="0.35">
      <c r="B3" t="s">
        <v>75</v>
      </c>
      <c r="C3">
        <v>9.5525913320967106</v>
      </c>
      <c r="O3" t="s">
        <v>25</v>
      </c>
      <c r="R3" t="s">
        <v>21</v>
      </c>
      <c r="S3" t="s">
        <v>115</v>
      </c>
      <c r="T3" t="s">
        <v>22</v>
      </c>
      <c r="V3" t="s">
        <v>23</v>
      </c>
      <c r="AI3" t="s">
        <v>50</v>
      </c>
      <c r="AK3" s="16" t="s">
        <v>49</v>
      </c>
      <c r="AL3" s="16"/>
      <c r="AM3" s="16"/>
      <c r="AN3" s="16"/>
      <c r="AO3" s="16"/>
      <c r="AR3" s="17" t="s">
        <v>51</v>
      </c>
      <c r="AS3" s="17"/>
      <c r="AT3" s="17"/>
      <c r="AU3" s="17"/>
      <c r="AV3" s="17"/>
      <c r="AZ3" s="18" t="s">
        <v>52</v>
      </c>
      <c r="BA3" s="18"/>
      <c r="BB3" s="18"/>
      <c r="BC3" s="18"/>
      <c r="BD3" s="18"/>
      <c r="BG3" s="29" t="s">
        <v>100</v>
      </c>
      <c r="BH3" s="29"/>
      <c r="BI3" s="29"/>
      <c r="BJ3" s="29"/>
      <c r="BK3" s="29"/>
      <c r="BL3" s="29"/>
    </row>
    <row r="4" spans="2:65" ht="18" x14ac:dyDescent="0.35">
      <c r="B4" t="s">
        <v>74</v>
      </c>
      <c r="C4">
        <f>C3</f>
        <v>9.5525913320967106</v>
      </c>
      <c r="E4" t="s">
        <v>15</v>
      </c>
      <c r="P4" t="s">
        <v>24</v>
      </c>
      <c r="R4" s="5">
        <f>'Streamlined Dashboard'!N5</f>
        <v>0</v>
      </c>
      <c r="T4" s="5">
        <f>'Streamlined Dashboard'!P5</f>
        <v>0</v>
      </c>
      <c r="V4" s="5">
        <f>'Streamlined Dashboard'!R5</f>
        <v>0</v>
      </c>
    </row>
    <row r="5" spans="2:65" x14ac:dyDescent="0.25">
      <c r="B5" t="s">
        <v>65</v>
      </c>
      <c r="C5">
        <v>0.3</v>
      </c>
      <c r="P5" t="s">
        <v>26</v>
      </c>
      <c r="R5" s="5">
        <f>'Streamlined Dashboard'!N6</f>
        <v>0</v>
      </c>
      <c r="T5" s="5">
        <f>'Streamlined Dashboard'!P6</f>
        <v>0</v>
      </c>
      <c r="V5" s="5">
        <f>'Streamlined Dashboard'!R6</f>
        <v>0</v>
      </c>
      <c r="AK5" t="s">
        <v>21</v>
      </c>
      <c r="AM5" t="s">
        <v>22</v>
      </c>
      <c r="AO5" t="s">
        <v>23</v>
      </c>
      <c r="AR5" t="s">
        <v>21</v>
      </c>
      <c r="AT5" t="s">
        <v>22</v>
      </c>
      <c r="AV5" t="s">
        <v>23</v>
      </c>
      <c r="AZ5" t="s">
        <v>21</v>
      </c>
      <c r="BB5" t="s">
        <v>22</v>
      </c>
      <c r="BD5" t="s">
        <v>23</v>
      </c>
      <c r="BG5" t="s">
        <v>101</v>
      </c>
      <c r="BI5" t="s">
        <v>21</v>
      </c>
      <c r="BK5" t="s">
        <v>22</v>
      </c>
      <c r="BM5" t="s">
        <v>23</v>
      </c>
    </row>
    <row r="6" spans="2:65" x14ac:dyDescent="0.25">
      <c r="B6" t="s">
        <v>2</v>
      </c>
      <c r="C6">
        <v>0.18</v>
      </c>
    </row>
    <row r="7" spans="2:65" x14ac:dyDescent="0.25">
      <c r="B7" t="s">
        <v>3</v>
      </c>
      <c r="C7">
        <v>24.5</v>
      </c>
      <c r="O7" t="s">
        <v>29</v>
      </c>
      <c r="R7" t="s">
        <v>27</v>
      </c>
      <c r="T7" t="s">
        <v>27</v>
      </c>
      <c r="V7" t="s">
        <v>27</v>
      </c>
      <c r="AI7" s="14">
        <f t="shared" ref="AI7:AI16" si="0">AI8+AI$30</f>
        <v>4.9999999999999996E-2</v>
      </c>
      <c r="AK7" s="13">
        <f t="shared" ref="AK7:AK27" si="1">$C$34+((1-$L$8+$F$32)*$AI7-R$4+$I$8*R$5-$K$44*R$15-$H$46*R$20)/($H$14-$K$44)</f>
        <v>-2.7909090909090901E-2</v>
      </c>
      <c r="AM7" s="13">
        <f t="shared" ref="AM7:AM27" si="2">$C$34+((1-$L$8+$F$32)*$AI7-T$4+$I$8*T$5-$K$44*T$15-$H$46*T$20)/($H$14-$K$44)</f>
        <v>-2.7909090909090901E-2</v>
      </c>
      <c r="AO7" s="13">
        <f t="shared" ref="AO7:AO27" si="3">$C$34+((1-$L$8+$F$32)*$AI7-V$4+$I$8*V$5-$K$44*V$15-$H$46*V$20)/($H$14-$K$44)</f>
        <v>-2.7909090909090901E-2</v>
      </c>
      <c r="AR7" s="14">
        <f t="shared" ref="AR7:AR27" si="4">$C$34+$F$64*R$9+$I$64*$AI7-$K$64*R$8+$H$66*R$15+R$12</f>
        <v>5.4999999999999993E-2</v>
      </c>
      <c r="AT7" s="14">
        <f t="shared" ref="AT7:AT27" si="5">$C$34+$F$64*T$9+$I$64*$AI7-$K$64*T$8+$H$66*T$15+T$12</f>
        <v>5.4999999999999993E-2</v>
      </c>
      <c r="AV7" s="14">
        <f t="shared" ref="AV7:AV27" si="6">$C$34+$F$64*V$9+$I$64*$AI7-$K$64*V$8+$H$66*V$15+V$12</f>
        <v>5.4999999999999993E-2</v>
      </c>
      <c r="AZ7" s="14">
        <f t="shared" ref="AZ7:AZ27" si="7">$C$31+R$9+(1/$F$58)*($AI7-R$8)+$I$58*R$15</f>
        <v>5.5E-2</v>
      </c>
      <c r="BB7" s="14">
        <f t="shared" ref="BB7:BB27" si="8">$C$31+T$9+(1/$F$58)*($AI7-T$8)+$I$58*T$15</f>
        <v>5.5E-2</v>
      </c>
      <c r="BD7" s="14">
        <f t="shared" ref="BD7:BD27" si="9">$C$31+V$9+(1/$F$58)*($AI7-V$8)+$I$58*V$15</f>
        <v>5.5E-2</v>
      </c>
      <c r="BG7" s="22">
        <f t="shared" ref="BG7:BG16" si="10">BG8*(1+$BG$30)</f>
        <v>105.11401320407893</v>
      </c>
      <c r="BI7" s="14">
        <f t="shared" ref="BI7:BI27" si="11">$C$21-$C$22+($F$26-$I$32)*($BG7/$BG$17-1)+($F$26*(1-$I$26)+$I$32*$I$26)*R$20-$F$32*R$58</f>
        <v>2.6412105632631716E-2</v>
      </c>
      <c r="BK7" s="14">
        <f t="shared" ref="BK7:BK27" si="12">$C$21-$C$22+($F$26-$I$32)*($BG7/$BG$17-1)+($F$26*(1-$I$26)+$I$32*$I$26)*T$20-$F$32*T$58</f>
        <v>2.6412105632631716E-2</v>
      </c>
      <c r="BM7" s="14">
        <f t="shared" ref="BM7:BM27" si="13">$C$21-$C$22+($F$26-$I$32)*($BG7/$BG$17-1)+($F$26*(1-$I$26)+$I$32*$I$26)*V$20-$F$32*V$58</f>
        <v>2.6412105632631716E-2</v>
      </c>
    </row>
    <row r="8" spans="2:65" ht="18.75" x14ac:dyDescent="0.35">
      <c r="B8" t="s">
        <v>72</v>
      </c>
      <c r="C8" s="22">
        <f>C7/1.2</f>
        <v>20.416666666666668</v>
      </c>
      <c r="G8" s="2">
        <f>(1-C18-C6)*0+C17</f>
        <v>0.65</v>
      </c>
      <c r="I8" s="2">
        <f>0.3</f>
        <v>0.3</v>
      </c>
      <c r="L8" s="2">
        <f>(1-C6)*I8</f>
        <v>0.246</v>
      </c>
      <c r="P8" t="s">
        <v>28</v>
      </c>
      <c r="R8" s="5">
        <f>'Streamlined Dashboard'!N9</f>
        <v>0</v>
      </c>
      <c r="T8" s="5">
        <f>'Streamlined Dashboard'!P9</f>
        <v>0</v>
      </c>
      <c r="V8" s="5">
        <f>'Streamlined Dashboard'!R9</f>
        <v>0</v>
      </c>
      <c r="AI8" s="14">
        <f t="shared" si="0"/>
        <v>4.4999999999999998E-2</v>
      </c>
      <c r="AK8" s="13">
        <f t="shared" si="1"/>
        <v>-2.3118181818181812E-2</v>
      </c>
      <c r="AM8" s="13">
        <f t="shared" si="2"/>
        <v>-2.3118181818181812E-2</v>
      </c>
      <c r="AO8" s="13">
        <f t="shared" si="3"/>
        <v>-2.3118181818181812E-2</v>
      </c>
      <c r="AR8" s="14">
        <f t="shared" si="4"/>
        <v>5.1500000000000004E-2</v>
      </c>
      <c r="AT8" s="14">
        <f t="shared" si="5"/>
        <v>5.1500000000000004E-2</v>
      </c>
      <c r="AV8" s="14">
        <f t="shared" si="6"/>
        <v>5.1500000000000004E-2</v>
      </c>
      <c r="AZ8" s="14">
        <f t="shared" si="7"/>
        <v>5.3999999999999999E-2</v>
      </c>
      <c r="BB8" s="14">
        <f t="shared" si="8"/>
        <v>5.3999999999999999E-2</v>
      </c>
      <c r="BD8" s="14">
        <f t="shared" si="9"/>
        <v>5.3999999999999999E-2</v>
      </c>
      <c r="BG8" s="22">
        <f t="shared" si="10"/>
        <v>104.59105791450641</v>
      </c>
      <c r="BI8" s="14">
        <f t="shared" si="11"/>
        <v>2.2228463316051432E-2</v>
      </c>
      <c r="BK8" s="14">
        <f t="shared" si="12"/>
        <v>2.2228463316051432E-2</v>
      </c>
      <c r="BM8" s="14">
        <f t="shared" si="13"/>
        <v>2.2228463316051432E-2</v>
      </c>
    </row>
    <row r="9" spans="2:65" ht="18" x14ac:dyDescent="0.35">
      <c r="B9" t="s">
        <v>73</v>
      </c>
      <c r="C9" s="22">
        <f>C7-C8</f>
        <v>4.0833333333333321</v>
      </c>
      <c r="P9" t="s">
        <v>30</v>
      </c>
      <c r="R9" s="5">
        <f>'Streamlined Dashboard'!N10</f>
        <v>0</v>
      </c>
      <c r="T9" s="5">
        <f>'Streamlined Dashboard'!P10</f>
        <v>0</v>
      </c>
      <c r="V9" s="5">
        <f>'Streamlined Dashboard'!R10</f>
        <v>0</v>
      </c>
      <c r="AI9" s="14">
        <f t="shared" si="0"/>
        <v>0.04</v>
      </c>
      <c r="AK9" s="13">
        <f t="shared" si="1"/>
        <v>-1.8327272727272723E-2</v>
      </c>
      <c r="AM9" s="13">
        <f t="shared" si="2"/>
        <v>-1.8327272727272723E-2</v>
      </c>
      <c r="AO9" s="13">
        <f t="shared" si="3"/>
        <v>-1.8327272727272723E-2</v>
      </c>
      <c r="AR9" s="14">
        <f t="shared" si="4"/>
        <v>4.8000000000000001E-2</v>
      </c>
      <c r="AT9" s="14">
        <f t="shared" si="5"/>
        <v>4.8000000000000001E-2</v>
      </c>
      <c r="AV9" s="14">
        <f t="shared" si="6"/>
        <v>4.8000000000000001E-2</v>
      </c>
      <c r="AZ9" s="14">
        <f t="shared" si="7"/>
        <v>5.2999999999999999E-2</v>
      </c>
      <c r="BB9" s="14">
        <f t="shared" si="8"/>
        <v>5.2999999999999999E-2</v>
      </c>
      <c r="BD9" s="14">
        <f t="shared" si="9"/>
        <v>5.2999999999999999E-2</v>
      </c>
      <c r="BG9" s="22">
        <f t="shared" si="10"/>
        <v>104.0707043925437</v>
      </c>
      <c r="BI9" s="14">
        <f t="shared" si="11"/>
        <v>1.8065635140349902E-2</v>
      </c>
      <c r="BK9" s="14">
        <f t="shared" si="12"/>
        <v>1.8065635140349902E-2</v>
      </c>
      <c r="BM9" s="14">
        <f t="shared" si="13"/>
        <v>1.8065635140349902E-2</v>
      </c>
    </row>
    <row r="10" spans="2:65" x14ac:dyDescent="0.25">
      <c r="B10" t="s">
        <v>4</v>
      </c>
      <c r="C10">
        <v>0.06</v>
      </c>
      <c r="E10" t="s">
        <v>16</v>
      </c>
      <c r="AI10" s="14">
        <f t="shared" si="0"/>
        <v>3.5000000000000003E-2</v>
      </c>
      <c r="AK10" s="13">
        <f t="shared" si="1"/>
        <v>-1.3536363636363642E-2</v>
      </c>
      <c r="AM10" s="13">
        <f t="shared" si="2"/>
        <v>-1.3536363636363642E-2</v>
      </c>
      <c r="AO10" s="13">
        <f t="shared" si="3"/>
        <v>-1.3536363636363642E-2</v>
      </c>
      <c r="AR10" s="14">
        <f t="shared" si="4"/>
        <v>4.4499999999999998E-2</v>
      </c>
      <c r="AT10" s="14">
        <f t="shared" si="5"/>
        <v>4.4499999999999998E-2</v>
      </c>
      <c r="AV10" s="14">
        <f t="shared" si="6"/>
        <v>4.4499999999999998E-2</v>
      </c>
      <c r="AZ10" s="14">
        <f t="shared" si="7"/>
        <v>5.1999999999999998E-2</v>
      </c>
      <c r="BB10" s="14">
        <f t="shared" si="8"/>
        <v>5.1999999999999998E-2</v>
      </c>
      <c r="BD10" s="14">
        <f t="shared" si="9"/>
        <v>5.1999999999999998E-2</v>
      </c>
      <c r="BG10" s="22">
        <f t="shared" si="10"/>
        <v>103.55293969407334</v>
      </c>
      <c r="BI10" s="14">
        <f t="shared" si="11"/>
        <v>1.3923517552587042E-2</v>
      </c>
      <c r="BK10" s="14">
        <f t="shared" si="12"/>
        <v>1.3923517552587042E-2</v>
      </c>
      <c r="BM10" s="14">
        <f t="shared" si="13"/>
        <v>1.3923517552587042E-2</v>
      </c>
    </row>
    <row r="11" spans="2:65" x14ac:dyDescent="0.25">
      <c r="B11" t="s">
        <v>5</v>
      </c>
      <c r="C11">
        <v>0.3</v>
      </c>
      <c r="O11" t="s">
        <v>29</v>
      </c>
      <c r="R11" t="s">
        <v>31</v>
      </c>
      <c r="T11" t="s">
        <v>31</v>
      </c>
      <c r="V11" t="s">
        <v>31</v>
      </c>
      <c r="AI11" s="14">
        <f t="shared" si="0"/>
        <v>3.0000000000000002E-2</v>
      </c>
      <c r="AK11" s="13">
        <f t="shared" si="1"/>
        <v>-8.7454545454545458E-3</v>
      </c>
      <c r="AM11" s="13">
        <f t="shared" si="2"/>
        <v>-8.7454545454545458E-3</v>
      </c>
      <c r="AO11" s="13">
        <f t="shared" si="3"/>
        <v>-8.7454545454545458E-3</v>
      </c>
      <c r="AR11" s="14">
        <f t="shared" si="4"/>
        <v>4.1000000000000002E-2</v>
      </c>
      <c r="AT11" s="14">
        <f t="shared" si="5"/>
        <v>4.1000000000000002E-2</v>
      </c>
      <c r="AV11" s="14">
        <f t="shared" si="6"/>
        <v>4.1000000000000002E-2</v>
      </c>
      <c r="AZ11" s="14">
        <f t="shared" si="7"/>
        <v>5.0999999999999997E-2</v>
      </c>
      <c r="BB11" s="14">
        <f t="shared" si="8"/>
        <v>5.0999999999999997E-2</v>
      </c>
      <c r="BD11" s="14">
        <f t="shared" si="9"/>
        <v>5.0999999999999997E-2</v>
      </c>
      <c r="BG11" s="22">
        <f t="shared" si="10"/>
        <v>103.03775093937648</v>
      </c>
      <c r="BI11" s="14">
        <f t="shared" si="11"/>
        <v>9.8020075150120692E-3</v>
      </c>
      <c r="BK11" s="14">
        <f t="shared" si="12"/>
        <v>9.8020075150120692E-3</v>
      </c>
      <c r="BM11" s="14">
        <f t="shared" si="13"/>
        <v>9.8020075150120692E-3</v>
      </c>
    </row>
    <row r="12" spans="2:65" x14ac:dyDescent="0.25">
      <c r="B12" t="s">
        <v>6</v>
      </c>
      <c r="C12" s="7">
        <f>((C34+C10)/(C11*(1-C6)*(($C$4*$C$9^(1-$C$11)+$C$39*$C$3*$C$8^(1-$C$11)))))^(1/(C5-1))</f>
        <v>3812.9999980140888</v>
      </c>
      <c r="P12" t="s">
        <v>32</v>
      </c>
      <c r="R12" s="5">
        <f>'Streamlined Dashboard'!N13</f>
        <v>0</v>
      </c>
      <c r="T12" s="5">
        <f>'Streamlined Dashboard'!P13</f>
        <v>0</v>
      </c>
      <c r="V12" s="5">
        <f>'Streamlined Dashboard'!R13</f>
        <v>0</v>
      </c>
      <c r="AI12" s="14">
        <f t="shared" si="0"/>
        <v>2.5000000000000001E-2</v>
      </c>
      <c r="AK12" s="13">
        <f t="shared" si="1"/>
        <v>-3.9545454545454536E-3</v>
      </c>
      <c r="AM12" s="13">
        <f t="shared" si="2"/>
        <v>-3.9545454545454536E-3</v>
      </c>
      <c r="AO12" s="13">
        <f t="shared" si="3"/>
        <v>-3.9545454545454536E-3</v>
      </c>
      <c r="AR12" s="14">
        <f t="shared" si="4"/>
        <v>3.7499999999999999E-2</v>
      </c>
      <c r="AT12" s="14">
        <f t="shared" si="5"/>
        <v>3.7499999999999999E-2</v>
      </c>
      <c r="AV12" s="14">
        <f t="shared" si="6"/>
        <v>3.7499999999999999E-2</v>
      </c>
      <c r="AZ12" s="14">
        <f t="shared" si="7"/>
        <v>0.05</v>
      </c>
      <c r="BB12" s="14">
        <f t="shared" si="8"/>
        <v>0.05</v>
      </c>
      <c r="BD12" s="14">
        <f t="shared" si="9"/>
        <v>0.05</v>
      </c>
      <c r="BG12" s="22">
        <f t="shared" si="10"/>
        <v>102.52512531281243</v>
      </c>
      <c r="BI12" s="14">
        <f t="shared" si="11"/>
        <v>5.7010025024997087E-3</v>
      </c>
      <c r="BK12" s="14">
        <f t="shared" si="12"/>
        <v>5.7010025024997087E-3</v>
      </c>
      <c r="BM12" s="14">
        <f t="shared" si="13"/>
        <v>5.7010025024997087E-3</v>
      </c>
    </row>
    <row r="13" spans="2:65" x14ac:dyDescent="0.25">
      <c r="B13" t="s">
        <v>7</v>
      </c>
      <c r="C13" s="7">
        <f>((C34+C10)/(C11*(1-C6)*(($C$4*$C$9^(1-$C$11)+$C$39*$C$3*$C$8^(1-$C$11)))))^(C5/(C5-1))*($C$3*$C$8^(1-$C$11)+$C$39*$C$4*$C$9^(1-$C$11))</f>
        <v>1239.9999993541767</v>
      </c>
      <c r="R13" s="5">
        <f>'Streamlined Dashboard'!N14</f>
        <v>0</v>
      </c>
      <c r="T13" s="5">
        <f>'Streamlined Dashboard'!P14</f>
        <v>0</v>
      </c>
      <c r="V13" s="5">
        <f>'Streamlined Dashboard'!R14</f>
        <v>0</v>
      </c>
      <c r="AI13" s="14">
        <f t="shared" si="0"/>
        <v>0.02</v>
      </c>
      <c r="AK13" s="13">
        <f t="shared" si="1"/>
        <v>8.3636363636363856E-4</v>
      </c>
      <c r="AM13" s="13">
        <f t="shared" si="2"/>
        <v>8.3636363636363856E-4</v>
      </c>
      <c r="AO13" s="13">
        <f t="shared" si="3"/>
        <v>8.3636363636363856E-4</v>
      </c>
      <c r="AR13" s="14">
        <f t="shared" si="4"/>
        <v>3.4000000000000002E-2</v>
      </c>
      <c r="AT13" s="14">
        <f t="shared" si="5"/>
        <v>3.4000000000000002E-2</v>
      </c>
      <c r="AV13" s="14">
        <f t="shared" si="6"/>
        <v>3.4000000000000002E-2</v>
      </c>
      <c r="AZ13" s="14">
        <f t="shared" si="7"/>
        <v>4.9000000000000002E-2</v>
      </c>
      <c r="BB13" s="14">
        <f t="shared" si="8"/>
        <v>4.9000000000000002E-2</v>
      </c>
      <c r="BD13" s="14">
        <f t="shared" si="9"/>
        <v>4.9000000000000002E-2</v>
      </c>
      <c r="BG13" s="22">
        <f t="shared" si="10"/>
        <v>102.01505006249995</v>
      </c>
      <c r="BI13" s="14">
        <f t="shared" si="11"/>
        <v>1.6204004999998654E-3</v>
      </c>
      <c r="BK13" s="14">
        <f t="shared" si="12"/>
        <v>1.6204004999998654E-3</v>
      </c>
      <c r="BM13" s="14">
        <f t="shared" si="13"/>
        <v>1.6204004999998654E-3</v>
      </c>
    </row>
    <row r="14" spans="2:65" x14ac:dyDescent="0.25">
      <c r="B14" t="s">
        <v>9</v>
      </c>
      <c r="C14" s="7">
        <f>C12*C10</f>
        <v>228.77999988084531</v>
      </c>
      <c r="F14" s="2">
        <f>C18</f>
        <v>0.18449999999999978</v>
      </c>
      <c r="H14" s="3">
        <f>-0.6+0.3</f>
        <v>-0.3</v>
      </c>
      <c r="P14" t="s">
        <v>29</v>
      </c>
      <c r="R14" t="s">
        <v>81</v>
      </c>
      <c r="T14" t="s">
        <v>81</v>
      </c>
      <c r="V14" t="s">
        <v>81</v>
      </c>
      <c r="AI14" s="14">
        <f t="shared" si="0"/>
        <v>1.4999999999999999E-2</v>
      </c>
      <c r="AK14" s="13">
        <f t="shared" si="1"/>
        <v>5.6272727272727273E-3</v>
      </c>
      <c r="AM14" s="13">
        <f t="shared" si="2"/>
        <v>5.6272727272727273E-3</v>
      </c>
      <c r="AO14" s="13">
        <f t="shared" si="3"/>
        <v>5.6272727272727273E-3</v>
      </c>
      <c r="AR14" s="14">
        <f t="shared" si="4"/>
        <v>3.0499999999999999E-2</v>
      </c>
      <c r="AT14" s="14">
        <f t="shared" si="5"/>
        <v>3.0499999999999999E-2</v>
      </c>
      <c r="AV14" s="14">
        <f t="shared" si="6"/>
        <v>3.0499999999999999E-2</v>
      </c>
      <c r="AZ14" s="14">
        <f t="shared" si="7"/>
        <v>4.8000000000000001E-2</v>
      </c>
      <c r="BB14" s="14">
        <f t="shared" si="8"/>
        <v>4.8000000000000001E-2</v>
      </c>
      <c r="BD14" s="14">
        <f t="shared" si="9"/>
        <v>4.8000000000000001E-2</v>
      </c>
      <c r="BG14" s="22">
        <f t="shared" si="10"/>
        <v>101.50751249999996</v>
      </c>
      <c r="BI14" s="14">
        <f t="shared" si="11"/>
        <v>-2.4399000000000833E-3</v>
      </c>
      <c r="BK14" s="14">
        <f t="shared" si="12"/>
        <v>-2.4399000000000833E-3</v>
      </c>
      <c r="BM14" s="14">
        <f t="shared" si="13"/>
        <v>-2.4399000000000833E-3</v>
      </c>
    </row>
    <row r="15" spans="2:65" x14ac:dyDescent="0.25">
      <c r="B15" t="s">
        <v>10</v>
      </c>
      <c r="P15" t="s">
        <v>82</v>
      </c>
      <c r="R15" s="23">
        <f>R16+R17</f>
        <v>0</v>
      </c>
      <c r="T15" s="23">
        <f>T16+T17</f>
        <v>0</v>
      </c>
      <c r="V15" s="23">
        <f>V16+V17</f>
        <v>0</v>
      </c>
      <c r="AI15" s="14">
        <f t="shared" si="0"/>
        <v>0.01</v>
      </c>
      <c r="AK15" s="13">
        <f t="shared" si="1"/>
        <v>1.0418181818181819E-2</v>
      </c>
      <c r="AM15" s="13">
        <f t="shared" si="2"/>
        <v>1.0418181818181819E-2</v>
      </c>
      <c r="AO15" s="13">
        <f t="shared" si="3"/>
        <v>1.0418181818181819E-2</v>
      </c>
      <c r="AR15" s="14">
        <f t="shared" si="4"/>
        <v>2.7E-2</v>
      </c>
      <c r="AT15" s="14">
        <f t="shared" si="5"/>
        <v>2.7E-2</v>
      </c>
      <c r="AV15" s="14">
        <f t="shared" si="6"/>
        <v>2.7E-2</v>
      </c>
      <c r="AZ15" s="14">
        <f t="shared" si="7"/>
        <v>4.7E-2</v>
      </c>
      <c r="BB15" s="14">
        <f t="shared" si="8"/>
        <v>4.7E-2</v>
      </c>
      <c r="BD15" s="14">
        <f t="shared" si="9"/>
        <v>4.7E-2</v>
      </c>
      <c r="BG15" s="22">
        <f t="shared" si="10"/>
        <v>101.00249999999997</v>
      </c>
      <c r="BI15" s="14">
        <f t="shared" si="11"/>
        <v>-6.4800000000000083E-3</v>
      </c>
      <c r="BK15" s="14">
        <f t="shared" si="12"/>
        <v>-6.4800000000000083E-3</v>
      </c>
      <c r="BM15" s="14">
        <f t="shared" si="13"/>
        <v>-6.4800000000000083E-3</v>
      </c>
    </row>
    <row r="16" spans="2:65" x14ac:dyDescent="0.25">
      <c r="B16" t="s">
        <v>11</v>
      </c>
      <c r="C16" s="7">
        <f>C12/C13</f>
        <v>3.0749999999999962</v>
      </c>
      <c r="E16" t="s">
        <v>17</v>
      </c>
      <c r="P16" t="s">
        <v>83</v>
      </c>
      <c r="R16" s="5">
        <f>'Streamlined Dashboard'!N17</f>
        <v>0</v>
      </c>
      <c r="T16" s="5">
        <f>'Streamlined Dashboard'!P17</f>
        <v>0</v>
      </c>
      <c r="V16" s="5">
        <f>'Streamlined Dashboard'!R17</f>
        <v>0</v>
      </c>
      <c r="AI16" s="14">
        <f t="shared" si="0"/>
        <v>5.0000000000000001E-3</v>
      </c>
      <c r="AK16" s="13">
        <f t="shared" si="1"/>
        <v>1.520909090909091E-2</v>
      </c>
      <c r="AM16" s="13">
        <f t="shared" si="2"/>
        <v>1.520909090909091E-2</v>
      </c>
      <c r="AO16" s="13">
        <f t="shared" si="3"/>
        <v>1.520909090909091E-2</v>
      </c>
      <c r="AR16" s="14">
        <f t="shared" si="4"/>
        <v>2.35E-2</v>
      </c>
      <c r="AT16" s="14">
        <f t="shared" si="5"/>
        <v>2.35E-2</v>
      </c>
      <c r="AV16" s="14">
        <f t="shared" si="6"/>
        <v>2.35E-2</v>
      </c>
      <c r="AZ16" s="14">
        <f t="shared" si="7"/>
        <v>4.5999999999999999E-2</v>
      </c>
      <c r="BB16" s="14">
        <f t="shared" si="8"/>
        <v>4.5999999999999999E-2</v>
      </c>
      <c r="BD16" s="14">
        <f t="shared" si="9"/>
        <v>4.5999999999999999E-2</v>
      </c>
      <c r="BG16" s="22">
        <f t="shared" si="10"/>
        <v>100.49999999999999</v>
      </c>
      <c r="BI16" s="14">
        <f t="shared" si="11"/>
        <v>-1.0499999999999876E-2</v>
      </c>
      <c r="BK16" s="14">
        <f t="shared" si="12"/>
        <v>-1.0499999999999876E-2</v>
      </c>
      <c r="BM16" s="14">
        <f t="shared" si="13"/>
        <v>-1.0499999999999876E-2</v>
      </c>
    </row>
    <row r="17" spans="2:65" x14ac:dyDescent="0.25">
      <c r="B17" t="s">
        <v>60</v>
      </c>
      <c r="C17" s="1">
        <v>0.65</v>
      </c>
      <c r="P17" t="s">
        <v>84</v>
      </c>
      <c r="R17" s="5">
        <f>'Streamlined Dashboard'!N18</f>
        <v>0</v>
      </c>
      <c r="T17" s="5">
        <f>'Streamlined Dashboard'!P18</f>
        <v>0</v>
      </c>
      <c r="V17" s="5">
        <f>'Streamlined Dashboard'!R18</f>
        <v>0</v>
      </c>
      <c r="AI17" s="15">
        <v>0</v>
      </c>
      <c r="AK17" s="15">
        <f t="shared" si="1"/>
        <v>0.02</v>
      </c>
      <c r="AL17" s="15"/>
      <c r="AM17" s="15">
        <f t="shared" si="2"/>
        <v>0.02</v>
      </c>
      <c r="AN17" s="15"/>
      <c r="AO17" s="15">
        <f t="shared" si="3"/>
        <v>0.02</v>
      </c>
      <c r="AP17" s="15"/>
      <c r="AR17" s="15">
        <f t="shared" si="4"/>
        <v>0.02</v>
      </c>
      <c r="AT17" s="15">
        <f t="shared" si="5"/>
        <v>0.02</v>
      </c>
      <c r="AV17" s="15">
        <f t="shared" si="6"/>
        <v>0.02</v>
      </c>
      <c r="AW17" s="13"/>
      <c r="AZ17" s="15">
        <f t="shared" si="7"/>
        <v>4.4999999999999998E-2</v>
      </c>
      <c r="BB17" s="15">
        <f t="shared" si="8"/>
        <v>4.4999999999999998E-2</v>
      </c>
      <c r="BD17" s="15">
        <f t="shared" si="9"/>
        <v>4.4999999999999998E-2</v>
      </c>
      <c r="BG17" s="31">
        <f>C51</f>
        <v>100</v>
      </c>
      <c r="BI17" s="15">
        <f t="shared" si="11"/>
        <v>-1.4499999999999791E-2</v>
      </c>
      <c r="BK17" s="15">
        <f t="shared" si="12"/>
        <v>-1.4499999999999791E-2</v>
      </c>
      <c r="BM17" s="15">
        <f t="shared" si="13"/>
        <v>-1.4499999999999791E-2</v>
      </c>
    </row>
    <row r="18" spans="2:65" x14ac:dyDescent="0.25">
      <c r="B18" t="s">
        <v>40</v>
      </c>
      <c r="C18" s="6">
        <f>C16*C10</f>
        <v>0.18449999999999978</v>
      </c>
      <c r="AI18" s="14">
        <f t="shared" ref="AI18:AI25" si="14">AI17-AI$30</f>
        <v>-5.0000000000000001E-3</v>
      </c>
      <c r="AK18" s="13">
        <f t="shared" si="1"/>
        <v>2.4790909090909093E-2</v>
      </c>
      <c r="AM18" s="13">
        <f t="shared" si="2"/>
        <v>2.4790909090909093E-2</v>
      </c>
      <c r="AO18" s="13">
        <f t="shared" si="3"/>
        <v>2.4790909090909093E-2</v>
      </c>
      <c r="AR18" s="14">
        <f t="shared" si="4"/>
        <v>1.6500000000000001E-2</v>
      </c>
      <c r="AT18" s="14">
        <f t="shared" si="5"/>
        <v>1.6500000000000001E-2</v>
      </c>
      <c r="AV18" s="14">
        <f t="shared" si="6"/>
        <v>1.6500000000000001E-2</v>
      </c>
      <c r="AZ18" s="14">
        <f t="shared" si="7"/>
        <v>4.3999999999999997E-2</v>
      </c>
      <c r="BB18" s="14">
        <f t="shared" si="8"/>
        <v>4.3999999999999997E-2</v>
      </c>
      <c r="BD18" s="14">
        <f t="shared" si="9"/>
        <v>4.3999999999999997E-2</v>
      </c>
      <c r="BG18" s="22">
        <f t="shared" ref="BG18:BG27" si="15">BG17*(1-$BG$30)</f>
        <v>99.5</v>
      </c>
      <c r="BI18" s="14">
        <f t="shared" si="11"/>
        <v>-1.8499999999999794E-2</v>
      </c>
      <c r="BK18" s="14">
        <f t="shared" si="12"/>
        <v>-1.8499999999999794E-2</v>
      </c>
      <c r="BM18" s="14">
        <f t="shared" si="13"/>
        <v>-1.8499999999999794E-2</v>
      </c>
    </row>
    <row r="19" spans="2:65" x14ac:dyDescent="0.25">
      <c r="B19" t="s">
        <v>61</v>
      </c>
      <c r="C19" s="1">
        <f>C6</f>
        <v>0.18</v>
      </c>
      <c r="F19" s="2">
        <f>C6</f>
        <v>0.18</v>
      </c>
      <c r="P19" t="s">
        <v>29</v>
      </c>
      <c r="R19" t="s">
        <v>85</v>
      </c>
      <c r="T19" t="s">
        <v>85</v>
      </c>
      <c r="V19" t="s">
        <v>85</v>
      </c>
      <c r="AI19" s="14">
        <f t="shared" si="14"/>
        <v>-0.01</v>
      </c>
      <c r="AK19" s="13">
        <f t="shared" si="1"/>
        <v>2.9581818181818181E-2</v>
      </c>
      <c r="AM19" s="13">
        <f t="shared" si="2"/>
        <v>2.9581818181818181E-2</v>
      </c>
      <c r="AO19" s="13">
        <f t="shared" si="3"/>
        <v>2.9581818181818181E-2</v>
      </c>
      <c r="AR19" s="14">
        <f t="shared" si="4"/>
        <v>1.3000000000000001E-2</v>
      </c>
      <c r="AT19" s="14">
        <f t="shared" si="5"/>
        <v>1.3000000000000001E-2</v>
      </c>
      <c r="AV19" s="14">
        <f t="shared" si="6"/>
        <v>1.3000000000000001E-2</v>
      </c>
      <c r="AZ19" s="14">
        <f t="shared" si="7"/>
        <v>4.2999999999999997E-2</v>
      </c>
      <c r="BB19" s="14">
        <f t="shared" si="8"/>
        <v>4.2999999999999997E-2</v>
      </c>
      <c r="BD19" s="14">
        <f t="shared" si="9"/>
        <v>4.2999999999999997E-2</v>
      </c>
      <c r="BG19" s="22">
        <f t="shared" si="15"/>
        <v>99.002499999999998</v>
      </c>
      <c r="BI19" s="14">
        <f t="shared" si="11"/>
        <v>-2.2479999999999847E-2</v>
      </c>
      <c r="BK19" s="14">
        <f t="shared" si="12"/>
        <v>-2.2479999999999847E-2</v>
      </c>
      <c r="BM19" s="14">
        <f t="shared" si="13"/>
        <v>-2.2479999999999847E-2</v>
      </c>
    </row>
    <row r="20" spans="2:65" x14ac:dyDescent="0.25">
      <c r="B20" t="s">
        <v>62</v>
      </c>
      <c r="C20" s="1">
        <f>1-C17-C18-C19</f>
        <v>-1.4499999999999791E-2</v>
      </c>
      <c r="P20" t="s">
        <v>86</v>
      </c>
      <c r="R20" s="23">
        <f>R21-R22</f>
        <v>0</v>
      </c>
      <c r="T20" s="23">
        <f>T21-T22</f>
        <v>0</v>
      </c>
      <c r="V20" s="23">
        <f>V21-V22</f>
        <v>0</v>
      </c>
      <c r="AI20" s="14">
        <f t="shared" si="14"/>
        <v>-1.4999999999999999E-2</v>
      </c>
      <c r="AK20" s="13">
        <f t="shared" si="1"/>
        <v>3.4372727272727277E-2</v>
      </c>
      <c r="AM20" s="13">
        <f t="shared" si="2"/>
        <v>3.4372727272727277E-2</v>
      </c>
      <c r="AO20" s="13">
        <f t="shared" si="3"/>
        <v>3.4372727272727277E-2</v>
      </c>
      <c r="AR20" s="14">
        <f t="shared" si="4"/>
        <v>9.5000000000000015E-3</v>
      </c>
      <c r="AT20" s="14">
        <f t="shared" si="5"/>
        <v>9.5000000000000015E-3</v>
      </c>
      <c r="AV20" s="14">
        <f t="shared" si="6"/>
        <v>9.5000000000000015E-3</v>
      </c>
      <c r="AZ20" s="14">
        <f t="shared" si="7"/>
        <v>4.1999999999999996E-2</v>
      </c>
      <c r="BB20" s="14">
        <f t="shared" si="8"/>
        <v>4.1999999999999996E-2</v>
      </c>
      <c r="BD20" s="14">
        <f t="shared" si="9"/>
        <v>4.1999999999999996E-2</v>
      </c>
      <c r="BG20" s="22">
        <f t="shared" si="15"/>
        <v>98.507487499999996</v>
      </c>
      <c r="BI20" s="14">
        <f t="shared" si="11"/>
        <v>-2.6440099999999779E-2</v>
      </c>
      <c r="BK20" s="14">
        <f t="shared" si="12"/>
        <v>-2.6440099999999779E-2</v>
      </c>
      <c r="BM20" s="14">
        <f t="shared" si="13"/>
        <v>-2.6440099999999779E-2</v>
      </c>
    </row>
    <row r="21" spans="2:65" x14ac:dyDescent="0.25">
      <c r="B21" t="s">
        <v>63</v>
      </c>
      <c r="C21" s="6">
        <f>C49/C47</f>
        <v>0.24478789573564869</v>
      </c>
      <c r="E21" t="s">
        <v>59</v>
      </c>
      <c r="P21" t="s">
        <v>87</v>
      </c>
      <c r="R21" s="5">
        <f>'Streamlined Dashboard'!N22</f>
        <v>0</v>
      </c>
      <c r="T21" s="5">
        <f>'Streamlined Dashboard'!P22</f>
        <v>0</v>
      </c>
      <c r="V21" s="5">
        <f>'Streamlined Dashboard'!R22</f>
        <v>0</v>
      </c>
      <c r="AI21" s="14">
        <f t="shared" si="14"/>
        <v>-0.02</v>
      </c>
      <c r="AK21" s="13">
        <f t="shared" si="1"/>
        <v>3.9163636363636359E-2</v>
      </c>
      <c r="AM21" s="13">
        <f t="shared" si="2"/>
        <v>3.9163636363636359E-2</v>
      </c>
      <c r="AO21" s="13">
        <f t="shared" si="3"/>
        <v>3.9163636363636359E-2</v>
      </c>
      <c r="AR21" s="14">
        <f t="shared" si="4"/>
        <v>6.0000000000000019E-3</v>
      </c>
      <c r="AT21" s="14">
        <f t="shared" si="5"/>
        <v>6.0000000000000019E-3</v>
      </c>
      <c r="AV21" s="14">
        <f t="shared" si="6"/>
        <v>6.0000000000000019E-3</v>
      </c>
      <c r="AZ21" s="14">
        <f t="shared" si="7"/>
        <v>4.0999999999999995E-2</v>
      </c>
      <c r="BB21" s="14">
        <f t="shared" si="8"/>
        <v>4.0999999999999995E-2</v>
      </c>
      <c r="BD21" s="14">
        <f t="shared" si="9"/>
        <v>4.0999999999999995E-2</v>
      </c>
      <c r="BG21" s="22">
        <f t="shared" si="15"/>
        <v>98.014950062499992</v>
      </c>
      <c r="BI21" s="14">
        <f t="shared" si="11"/>
        <v>-3.0380399499999832E-2</v>
      </c>
      <c r="BK21" s="14">
        <f t="shared" si="12"/>
        <v>-3.0380399499999832E-2</v>
      </c>
      <c r="BM21" s="14">
        <f t="shared" si="13"/>
        <v>-3.0380399499999832E-2</v>
      </c>
    </row>
    <row r="22" spans="2:65" x14ac:dyDescent="0.25">
      <c r="B22" t="s">
        <v>64</v>
      </c>
      <c r="C22" s="6">
        <f>C21-C20</f>
        <v>0.25928789573564848</v>
      </c>
      <c r="P22" t="s">
        <v>88</v>
      </c>
      <c r="R22" s="5">
        <f>'Streamlined Dashboard'!N23</f>
        <v>0</v>
      </c>
      <c r="T22" s="5">
        <f>'Streamlined Dashboard'!P23</f>
        <v>0</v>
      </c>
      <c r="V22" s="5">
        <f>'Streamlined Dashboard'!R23</f>
        <v>0</v>
      </c>
      <c r="AI22" s="14">
        <f t="shared" si="14"/>
        <v>-2.5000000000000001E-2</v>
      </c>
      <c r="AK22" s="13">
        <f t="shared" si="1"/>
        <v>4.3954545454545454E-2</v>
      </c>
      <c r="AM22" s="13">
        <f t="shared" si="2"/>
        <v>4.3954545454545454E-2</v>
      </c>
      <c r="AO22" s="13">
        <f t="shared" si="3"/>
        <v>4.3954545454545454E-2</v>
      </c>
      <c r="AR22" s="14">
        <f t="shared" si="4"/>
        <v>2.5000000000000022E-3</v>
      </c>
      <c r="AT22" s="14">
        <f t="shared" si="5"/>
        <v>2.5000000000000022E-3</v>
      </c>
      <c r="AV22" s="14">
        <f t="shared" si="6"/>
        <v>2.5000000000000022E-3</v>
      </c>
      <c r="AZ22" s="14">
        <f t="shared" si="7"/>
        <v>3.9999999999999994E-2</v>
      </c>
      <c r="BB22" s="14">
        <f t="shared" si="8"/>
        <v>3.9999999999999994E-2</v>
      </c>
      <c r="BD22" s="14">
        <f t="shared" si="9"/>
        <v>3.9999999999999994E-2</v>
      </c>
      <c r="BG22" s="22">
        <f t="shared" si="15"/>
        <v>97.52487531218749</v>
      </c>
      <c r="BI22" s="14">
        <f t="shared" si="11"/>
        <v>-3.4300997502499903E-2</v>
      </c>
      <c r="BK22" s="14">
        <f t="shared" si="12"/>
        <v>-3.4300997502499903E-2</v>
      </c>
      <c r="BM22" s="14">
        <f t="shared" si="13"/>
        <v>-3.4300997502499903E-2</v>
      </c>
    </row>
    <row r="23" spans="2:65" x14ac:dyDescent="0.25">
      <c r="AI23" s="14">
        <f t="shared" si="14"/>
        <v>-3.0000000000000002E-2</v>
      </c>
      <c r="AK23" s="13">
        <f t="shared" si="1"/>
        <v>4.874545454545455E-2</v>
      </c>
      <c r="AM23" s="13">
        <f t="shared" si="2"/>
        <v>4.874545454545455E-2</v>
      </c>
      <c r="AO23" s="13">
        <f t="shared" si="3"/>
        <v>4.874545454545455E-2</v>
      </c>
      <c r="AR23" s="14">
        <f t="shared" si="4"/>
        <v>-1.0000000000000009E-3</v>
      </c>
      <c r="AT23" s="14">
        <f t="shared" si="5"/>
        <v>-1.0000000000000009E-3</v>
      </c>
      <c r="AV23" s="14">
        <f t="shared" si="6"/>
        <v>-1.0000000000000009E-3</v>
      </c>
      <c r="AZ23" s="14">
        <f t="shared" si="7"/>
        <v>3.9E-2</v>
      </c>
      <c r="BB23" s="14">
        <f t="shared" si="8"/>
        <v>3.9E-2</v>
      </c>
      <c r="BD23" s="14">
        <f t="shared" si="9"/>
        <v>3.9E-2</v>
      </c>
      <c r="BG23" s="22">
        <f t="shared" si="15"/>
        <v>97.037250935626545</v>
      </c>
      <c r="BI23" s="14">
        <f t="shared" si="11"/>
        <v>-3.8201992514987473E-2</v>
      </c>
      <c r="BK23" s="14">
        <f t="shared" si="12"/>
        <v>-3.8201992514987473E-2</v>
      </c>
      <c r="BM23" s="14">
        <f t="shared" si="13"/>
        <v>-3.8201992514987473E-2</v>
      </c>
    </row>
    <row r="24" spans="2:65" x14ac:dyDescent="0.25">
      <c r="C24" s="14"/>
      <c r="AI24" s="14">
        <f t="shared" si="14"/>
        <v>-3.5000000000000003E-2</v>
      </c>
      <c r="AK24" s="13">
        <f t="shared" si="1"/>
        <v>5.3536363636363646E-2</v>
      </c>
      <c r="AM24" s="13">
        <f t="shared" si="2"/>
        <v>5.3536363636363646E-2</v>
      </c>
      <c r="AO24" s="13">
        <f t="shared" si="3"/>
        <v>5.3536363636363646E-2</v>
      </c>
      <c r="AR24" s="14">
        <f t="shared" si="4"/>
        <v>-4.5000000000000005E-3</v>
      </c>
      <c r="AT24" s="14">
        <f t="shared" si="5"/>
        <v>-4.5000000000000005E-3</v>
      </c>
      <c r="AV24" s="14">
        <f t="shared" si="6"/>
        <v>-4.5000000000000005E-3</v>
      </c>
      <c r="AZ24" s="14">
        <f t="shared" si="7"/>
        <v>3.7999999999999999E-2</v>
      </c>
      <c r="BB24" s="14">
        <f t="shared" si="8"/>
        <v>3.7999999999999999E-2</v>
      </c>
      <c r="BD24" s="14">
        <f t="shared" si="9"/>
        <v>3.7999999999999999E-2</v>
      </c>
      <c r="BG24" s="22">
        <f t="shared" si="15"/>
        <v>96.552064680948419</v>
      </c>
      <c r="BI24" s="14">
        <f t="shared" si="11"/>
        <v>-4.2083482552412399E-2</v>
      </c>
      <c r="BK24" s="14">
        <f t="shared" si="12"/>
        <v>-4.2083482552412399E-2</v>
      </c>
      <c r="BM24" s="14">
        <f t="shared" si="13"/>
        <v>-4.2083482552412399E-2</v>
      </c>
    </row>
    <row r="25" spans="2:65" x14ac:dyDescent="0.25">
      <c r="O25" t="s">
        <v>35</v>
      </c>
      <c r="AI25" s="14">
        <f t="shared" si="14"/>
        <v>-0.04</v>
      </c>
      <c r="AK25" s="13">
        <f t="shared" si="1"/>
        <v>5.8327272727272728E-2</v>
      </c>
      <c r="AM25" s="13">
        <f t="shared" si="2"/>
        <v>5.8327272727272728E-2</v>
      </c>
      <c r="AO25" s="13">
        <f t="shared" si="3"/>
        <v>5.8327272727272728E-2</v>
      </c>
      <c r="AR25" s="14">
        <f t="shared" si="4"/>
        <v>-7.9999999999999967E-3</v>
      </c>
      <c r="AT25" s="14">
        <f t="shared" si="5"/>
        <v>-7.9999999999999967E-3</v>
      </c>
      <c r="AV25" s="14">
        <f t="shared" si="6"/>
        <v>-7.9999999999999967E-3</v>
      </c>
      <c r="AZ25" s="14">
        <f t="shared" si="7"/>
        <v>3.6999999999999998E-2</v>
      </c>
      <c r="BB25" s="14">
        <f t="shared" si="8"/>
        <v>3.6999999999999998E-2</v>
      </c>
      <c r="BD25" s="14">
        <f t="shared" si="9"/>
        <v>3.6999999999999998E-2</v>
      </c>
      <c r="BG25" s="22">
        <f t="shared" si="15"/>
        <v>96.069304357543672</v>
      </c>
      <c r="BI25" s="14">
        <f t="shared" si="11"/>
        <v>-4.5945565139650417E-2</v>
      </c>
      <c r="BK25" s="14">
        <f t="shared" si="12"/>
        <v>-4.5945565139650417E-2</v>
      </c>
      <c r="BM25" s="14">
        <f t="shared" si="13"/>
        <v>-4.5945565139650417E-2</v>
      </c>
    </row>
    <row r="26" spans="2:65" x14ac:dyDescent="0.25">
      <c r="B26" t="s">
        <v>14</v>
      </c>
      <c r="C26" s="6">
        <f>C11*C12^(C5-1)*($C$3*$C$8^(1-$C$11)+$C$39*$C$4*$C$9^(1-$C$11))</f>
        <v>9.7560975609756212E-2</v>
      </c>
      <c r="F26" s="2">
        <f>0.4</f>
        <v>0.4</v>
      </c>
      <c r="I26" s="2">
        <v>0.03</v>
      </c>
      <c r="AI26" s="14">
        <f t="shared" ref="AI26:AI27" si="16">AI25-AI$30</f>
        <v>-4.4999999999999998E-2</v>
      </c>
      <c r="AK26" s="13">
        <f t="shared" si="1"/>
        <v>6.3118181818181809E-2</v>
      </c>
      <c r="AM26" s="13">
        <f t="shared" si="2"/>
        <v>6.3118181818181809E-2</v>
      </c>
      <c r="AO26" s="13">
        <f t="shared" si="3"/>
        <v>6.3118181818181809E-2</v>
      </c>
      <c r="AR26" s="14">
        <f t="shared" si="4"/>
        <v>-1.15E-2</v>
      </c>
      <c r="AT26" s="14">
        <f t="shared" si="5"/>
        <v>-1.15E-2</v>
      </c>
      <c r="AV26" s="14">
        <f t="shared" si="6"/>
        <v>-1.15E-2</v>
      </c>
      <c r="AZ26" s="14">
        <f t="shared" si="7"/>
        <v>3.5999999999999997E-2</v>
      </c>
      <c r="BB26" s="14">
        <f t="shared" si="8"/>
        <v>3.5999999999999997E-2</v>
      </c>
      <c r="BD26" s="14">
        <f t="shared" si="9"/>
        <v>3.5999999999999997E-2</v>
      </c>
      <c r="BG26" s="22">
        <f t="shared" si="15"/>
        <v>95.588957835755949</v>
      </c>
      <c r="BI26" s="14">
        <f t="shared" si="11"/>
        <v>-4.9788337313952193E-2</v>
      </c>
      <c r="BK26" s="14">
        <f t="shared" si="12"/>
        <v>-4.9788337313952193E-2</v>
      </c>
      <c r="BM26" s="14">
        <f t="shared" si="13"/>
        <v>-4.9788337313952193E-2</v>
      </c>
    </row>
    <row r="27" spans="2:65" x14ac:dyDescent="0.25">
      <c r="B27" t="s">
        <v>79</v>
      </c>
      <c r="C27" s="6">
        <f>(1-C6)*C26-C10</f>
        <v>2.0000000000000101E-2</v>
      </c>
      <c r="O27" t="s">
        <v>36</v>
      </c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I27" s="14">
        <f t="shared" si="16"/>
        <v>-4.9999999999999996E-2</v>
      </c>
      <c r="AK27" s="13">
        <f t="shared" si="1"/>
        <v>6.7909090909090905E-2</v>
      </c>
      <c r="AM27" s="13">
        <f t="shared" si="2"/>
        <v>6.7909090909090905E-2</v>
      </c>
      <c r="AO27" s="13">
        <f t="shared" si="3"/>
        <v>6.7909090909090905E-2</v>
      </c>
      <c r="AR27" s="14">
        <f t="shared" si="4"/>
        <v>-1.4999999999999996E-2</v>
      </c>
      <c r="AT27" s="14">
        <f t="shared" si="5"/>
        <v>-1.4999999999999996E-2</v>
      </c>
      <c r="AV27" s="14">
        <f t="shared" si="6"/>
        <v>-1.4999999999999996E-2</v>
      </c>
      <c r="AZ27" s="14">
        <f t="shared" si="7"/>
        <v>3.4999999999999996E-2</v>
      </c>
      <c r="BB27" s="14">
        <f t="shared" si="8"/>
        <v>3.4999999999999996E-2</v>
      </c>
      <c r="BD27" s="14">
        <f t="shared" si="9"/>
        <v>3.4999999999999996E-2</v>
      </c>
      <c r="BG27" s="22">
        <f t="shared" si="15"/>
        <v>95.11101304657717</v>
      </c>
      <c r="BI27" s="14">
        <f t="shared" si="11"/>
        <v>-5.3611895627382389E-2</v>
      </c>
      <c r="BK27" s="14">
        <f t="shared" si="12"/>
        <v>-5.3611895627382389E-2</v>
      </c>
      <c r="BM27" s="14">
        <f t="shared" si="13"/>
        <v>-5.3611895627382389E-2</v>
      </c>
    </row>
    <row r="28" spans="2:65" x14ac:dyDescent="0.25">
      <c r="E28" t="s">
        <v>80</v>
      </c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2:65" x14ac:dyDescent="0.25">
      <c r="R29" s="8">
        <f>($F$64*R9)/$J$77</f>
        <v>0</v>
      </c>
      <c r="T29" s="8">
        <f>($F$64*T9)/$J$77</f>
        <v>0</v>
      </c>
      <c r="V29" s="8">
        <f>($F$64*V9)/$J$77</f>
        <v>0</v>
      </c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BG29" s="34" t="s">
        <v>103</v>
      </c>
    </row>
    <row r="30" spans="2:65" x14ac:dyDescent="0.25"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I30" s="13">
        <v>5.0000000000000001E-3</v>
      </c>
      <c r="AK30" t="s">
        <v>55</v>
      </c>
      <c r="AM30" t="s">
        <v>56</v>
      </c>
      <c r="BA30" t="s">
        <v>55</v>
      </c>
      <c r="BC30" t="s">
        <v>56</v>
      </c>
      <c r="BG30" s="35">
        <v>5.0000000000000001E-3</v>
      </c>
    </row>
    <row r="31" spans="2:65" x14ac:dyDescent="0.25">
      <c r="B31" t="s">
        <v>18</v>
      </c>
      <c r="C31" s="1">
        <v>4.4999999999999998E-2</v>
      </c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K31" t="s">
        <v>21</v>
      </c>
      <c r="AM31" t="str">
        <f>AK31</f>
        <v>base</v>
      </c>
      <c r="BA31" t="s">
        <v>21</v>
      </c>
      <c r="BC31" t="str">
        <f>BA31</f>
        <v>base</v>
      </c>
      <c r="BI31" t="s">
        <v>21</v>
      </c>
    </row>
    <row r="32" spans="2:65" x14ac:dyDescent="0.25">
      <c r="F32" s="2">
        <f>0.2-0.1+0.2</f>
        <v>0.30000000000000004</v>
      </c>
      <c r="I32" s="2">
        <f>-F26</f>
        <v>-0.4</v>
      </c>
      <c r="O32" t="s">
        <v>37</v>
      </c>
      <c r="AK32" t="s">
        <v>53</v>
      </c>
      <c r="AL32" t="s">
        <v>54</v>
      </c>
      <c r="AM32" t="s">
        <v>53</v>
      </c>
      <c r="AN32" t="s">
        <v>54</v>
      </c>
      <c r="BA32" t="s">
        <v>53</v>
      </c>
      <c r="BB32" t="s">
        <v>54</v>
      </c>
      <c r="BC32" t="s">
        <v>53</v>
      </c>
      <c r="BD32" t="s">
        <v>54</v>
      </c>
      <c r="BI32" t="s">
        <v>53</v>
      </c>
      <c r="BJ32" t="s">
        <v>54</v>
      </c>
      <c r="BK32" t="s">
        <v>53</v>
      </c>
      <c r="BL32" t="s">
        <v>54</v>
      </c>
    </row>
    <row r="33" spans="2:64" x14ac:dyDescent="0.25">
      <c r="AK33" s="14">
        <f>R58</f>
        <v>0</v>
      </c>
      <c r="AL33" s="14">
        <v>-0.1</v>
      </c>
      <c r="AM33" s="14">
        <f>AK34</f>
        <v>0</v>
      </c>
      <c r="AN33" s="14">
        <f>AL34</f>
        <v>0.02</v>
      </c>
      <c r="BA33" s="14">
        <f>AK33</f>
        <v>0</v>
      </c>
      <c r="BB33" s="14">
        <v>-0.1</v>
      </c>
      <c r="BC33" s="14">
        <f>BA34</f>
        <v>0</v>
      </c>
      <c r="BD33" s="14">
        <f>BB34</f>
        <v>4.4999999999999998E-2</v>
      </c>
      <c r="BI33" s="14">
        <f>R106</f>
        <v>-1.4499999999999782E-2</v>
      </c>
      <c r="BJ33">
        <v>0</v>
      </c>
      <c r="BK33" s="36">
        <v>-0.1</v>
      </c>
      <c r="BL33" s="22">
        <f>BJ34</f>
        <v>100</v>
      </c>
    </row>
    <row r="34" spans="2:64" x14ac:dyDescent="0.25">
      <c r="B34" t="s">
        <v>19</v>
      </c>
      <c r="C34" s="20">
        <f>C35+C36</f>
        <v>0.02</v>
      </c>
      <c r="R34" s="8">
        <f>($K$64*R8)/$J$77</f>
        <v>0</v>
      </c>
      <c r="T34" s="8">
        <f>($K$64*T8)/$J$77</f>
        <v>0</v>
      </c>
      <c r="V34" s="8">
        <f>($K$64*V8)/$J$77</f>
        <v>0</v>
      </c>
      <c r="AK34" s="14">
        <f>R58</f>
        <v>0</v>
      </c>
      <c r="AL34" s="14">
        <f>R72</f>
        <v>0.02</v>
      </c>
      <c r="AM34" s="14">
        <f>AM33</f>
        <v>0</v>
      </c>
      <c r="AN34" s="13">
        <f>AL34</f>
        <v>0.02</v>
      </c>
      <c r="BA34" s="14">
        <f>AK34</f>
        <v>0</v>
      </c>
      <c r="BB34" s="14">
        <f>R67</f>
        <v>4.4999999999999998E-2</v>
      </c>
      <c r="BC34" s="14">
        <f>BC33</f>
        <v>0</v>
      </c>
      <c r="BD34" s="13">
        <f>BB34</f>
        <v>4.4999999999999998E-2</v>
      </c>
      <c r="BI34" s="14">
        <f>BI33</f>
        <v>-1.4499999999999782E-2</v>
      </c>
      <c r="BJ34" s="22">
        <f>R91</f>
        <v>100</v>
      </c>
      <c r="BK34" s="14">
        <f>BI34</f>
        <v>-1.4499999999999782E-2</v>
      </c>
      <c r="BL34" s="22">
        <f>BL33</f>
        <v>100</v>
      </c>
    </row>
    <row r="35" spans="2:64" x14ac:dyDescent="0.25">
      <c r="B35" t="s">
        <v>66</v>
      </c>
      <c r="C35" s="6">
        <v>5.0000000000000001E-3</v>
      </c>
      <c r="AK35" t="str">
        <f>AK31</f>
        <v>base</v>
      </c>
      <c r="AM35" t="str">
        <f>AK35</f>
        <v>base</v>
      </c>
      <c r="BA35" t="str">
        <f>BA31</f>
        <v>base</v>
      </c>
      <c r="BC35" t="str">
        <f>BA35</f>
        <v>base</v>
      </c>
      <c r="BI35" t="s">
        <v>53</v>
      </c>
      <c r="BJ35" t="s">
        <v>54</v>
      </c>
    </row>
    <row r="36" spans="2:64" x14ac:dyDescent="0.25">
      <c r="B36" t="s">
        <v>67</v>
      </c>
      <c r="C36" s="6">
        <v>1.4999999999999999E-2</v>
      </c>
      <c r="E36" t="s">
        <v>94</v>
      </c>
      <c r="AK36" t="s">
        <v>53</v>
      </c>
      <c r="AL36" t="s">
        <v>54</v>
      </c>
      <c r="AM36" t="s">
        <v>53</v>
      </c>
      <c r="AN36" t="s">
        <v>54</v>
      </c>
      <c r="BA36" t="s">
        <v>53</v>
      </c>
      <c r="BB36" t="s">
        <v>54</v>
      </c>
      <c r="BC36" t="s">
        <v>53</v>
      </c>
      <c r="BD36" t="s">
        <v>54</v>
      </c>
      <c r="BI36" s="14">
        <f>BI33</f>
        <v>-1.4499999999999782E-2</v>
      </c>
      <c r="BJ36" s="22">
        <f>BJ34</f>
        <v>100</v>
      </c>
    </row>
    <row r="37" spans="2:64" x14ac:dyDescent="0.25">
      <c r="O37" t="s">
        <v>38</v>
      </c>
      <c r="AK37" s="19">
        <v>-0.1</v>
      </c>
      <c r="AL37" s="14">
        <f>AL34</f>
        <v>0.02</v>
      </c>
      <c r="BA37" s="19">
        <v>-0.1</v>
      </c>
      <c r="BB37" s="14">
        <f>BB34</f>
        <v>4.4999999999999998E-2</v>
      </c>
      <c r="BI37" s="14">
        <f>BI36</f>
        <v>-1.4499999999999782E-2</v>
      </c>
      <c r="BJ37" s="22">
        <f>BJ34</f>
        <v>100</v>
      </c>
    </row>
    <row r="38" spans="2:64" x14ac:dyDescent="0.25">
      <c r="B38" t="s">
        <v>68</v>
      </c>
      <c r="AK38" s="14">
        <f>AK34</f>
        <v>0</v>
      </c>
      <c r="AL38" s="14">
        <f>AL34</f>
        <v>0.02</v>
      </c>
      <c r="BA38" s="14">
        <f>BA34</f>
        <v>0</v>
      </c>
      <c r="BB38" s="14">
        <f>BB34</f>
        <v>4.4999999999999998E-2</v>
      </c>
    </row>
    <row r="39" spans="2:64" x14ac:dyDescent="0.25">
      <c r="B39" t="s">
        <v>69</v>
      </c>
      <c r="C39" s="21">
        <v>1</v>
      </c>
      <c r="R39" s="8">
        <f>((R4-($I$8*R5))/($H$14-$K$44))/$J$77</f>
        <v>0</v>
      </c>
      <c r="T39" s="8">
        <f>((T4-($I$8*T5))/($H$14-$K$44))/$J$77</f>
        <v>0</v>
      </c>
      <c r="V39" s="8">
        <f>((V4-($I$8*V5))/($H$14-$K$44))/$J$77</f>
        <v>0</v>
      </c>
    </row>
    <row r="40" spans="2:64" x14ac:dyDescent="0.25">
      <c r="B40" t="s">
        <v>70</v>
      </c>
      <c r="C40" s="21">
        <v>1</v>
      </c>
      <c r="AK40" t="s">
        <v>57</v>
      </c>
      <c r="AM40" t="str">
        <f>AK40</f>
        <v>(i)</v>
      </c>
      <c r="BA40" t="s">
        <v>57</v>
      </c>
      <c r="BC40" t="str">
        <f>BA40</f>
        <v>(i)</v>
      </c>
      <c r="BI40" t="s">
        <v>57</v>
      </c>
    </row>
    <row r="41" spans="2:64" x14ac:dyDescent="0.25">
      <c r="AK41" t="s">
        <v>53</v>
      </c>
      <c r="AL41" t="s">
        <v>54</v>
      </c>
      <c r="AM41" t="s">
        <v>53</v>
      </c>
      <c r="AN41" t="s">
        <v>54</v>
      </c>
      <c r="BA41" t="s">
        <v>53</v>
      </c>
      <c r="BB41" t="s">
        <v>54</v>
      </c>
      <c r="BC41" t="s">
        <v>53</v>
      </c>
      <c r="BD41" t="s">
        <v>54</v>
      </c>
      <c r="BI41" t="s">
        <v>53</v>
      </c>
      <c r="BJ41" t="s">
        <v>54</v>
      </c>
      <c r="BK41" t="s">
        <v>53</v>
      </c>
      <c r="BL41" t="s">
        <v>54</v>
      </c>
    </row>
    <row r="42" spans="2:64" x14ac:dyDescent="0.25">
      <c r="AK42" s="14">
        <f>T58</f>
        <v>0</v>
      </c>
      <c r="AL42" s="14">
        <v>-0.1</v>
      </c>
      <c r="AM42" s="14">
        <f>AK43</f>
        <v>0</v>
      </c>
      <c r="AN42" s="14">
        <f>AL43</f>
        <v>0.02</v>
      </c>
      <c r="BA42" s="14">
        <f>T58</f>
        <v>0</v>
      </c>
      <c r="BB42" s="14">
        <v>-0.1</v>
      </c>
      <c r="BC42" s="14">
        <f>BA43</f>
        <v>0</v>
      </c>
      <c r="BD42" s="14">
        <f>BB43</f>
        <v>4.4999999999999998E-2</v>
      </c>
      <c r="BI42" s="14">
        <f>T106</f>
        <v>-1.4499999999999782E-2</v>
      </c>
      <c r="BJ42">
        <v>0</v>
      </c>
      <c r="BK42" s="36">
        <v>-0.1</v>
      </c>
      <c r="BL42" s="22">
        <f>BJ43</f>
        <v>100</v>
      </c>
    </row>
    <row r="43" spans="2:64" ht="18" x14ac:dyDescent="0.35">
      <c r="B43" t="s">
        <v>71</v>
      </c>
      <c r="C43" s="21">
        <f>((C34+C10)/(C11*(1-C6)*(($C$4*$C$9^(1-$C$11)+$C$39*$C$3*$C$8^(1-$C$11)))))^(1/(C5-1))</f>
        <v>3812.9999980140888</v>
      </c>
      <c r="O43" t="s">
        <v>39</v>
      </c>
      <c r="AK43" s="14">
        <f>AK42</f>
        <v>0</v>
      </c>
      <c r="AL43" s="14">
        <f>T72</f>
        <v>0.02</v>
      </c>
      <c r="AM43" s="14">
        <f>AM42</f>
        <v>0</v>
      </c>
      <c r="AN43" s="1">
        <f>AL43</f>
        <v>0.02</v>
      </c>
      <c r="BA43" s="14">
        <f>BA42</f>
        <v>0</v>
      </c>
      <c r="BB43" s="14">
        <f>T67</f>
        <v>4.4999999999999998E-2</v>
      </c>
      <c r="BC43" s="14">
        <f>BC42</f>
        <v>0</v>
      </c>
      <c r="BD43" s="1">
        <f>BB43</f>
        <v>4.4999999999999998E-2</v>
      </c>
      <c r="BI43" s="14">
        <f>BI42</f>
        <v>-1.4499999999999782E-2</v>
      </c>
      <c r="BJ43" s="22">
        <f>T91</f>
        <v>100</v>
      </c>
      <c r="BK43" s="14">
        <f>BI43</f>
        <v>-1.4499999999999782E-2</v>
      </c>
      <c r="BL43" s="22">
        <f>BL42</f>
        <v>100</v>
      </c>
    </row>
    <row r="44" spans="2:64" x14ac:dyDescent="0.25">
      <c r="H44" s="4">
        <f>1-L8</f>
        <v>0.754</v>
      </c>
      <c r="K44" s="4">
        <f>F26-I32</f>
        <v>0.8</v>
      </c>
      <c r="AK44" t="str">
        <f>AK40</f>
        <v>(i)</v>
      </c>
      <c r="AM44" t="str">
        <f>AK44</f>
        <v>(i)</v>
      </c>
      <c r="BA44" t="str">
        <f>BA40</f>
        <v>(i)</v>
      </c>
      <c r="BC44" t="str">
        <f>BA44</f>
        <v>(i)</v>
      </c>
      <c r="BI44" t="s">
        <v>53</v>
      </c>
      <c r="BJ44" t="s">
        <v>54</v>
      </c>
    </row>
    <row r="45" spans="2:64" x14ac:dyDescent="0.25">
      <c r="R45" s="8">
        <f>R12/$J$77</f>
        <v>0</v>
      </c>
      <c r="T45" s="8">
        <f>T12/$J$77</f>
        <v>0</v>
      </c>
      <c r="V45" s="8">
        <f>V12/$J$77</f>
        <v>0</v>
      </c>
      <c r="AK45" t="s">
        <v>53</v>
      </c>
      <c r="AL45" t="s">
        <v>54</v>
      </c>
      <c r="AM45" t="s">
        <v>53</v>
      </c>
      <c r="AN45" t="s">
        <v>54</v>
      </c>
      <c r="BA45" t="s">
        <v>53</v>
      </c>
      <c r="BB45" t="s">
        <v>54</v>
      </c>
      <c r="BC45" t="s">
        <v>53</v>
      </c>
      <c r="BD45" t="s">
        <v>54</v>
      </c>
      <c r="BI45" s="14">
        <f>BI42</f>
        <v>-1.4499999999999782E-2</v>
      </c>
      <c r="BJ45" s="22">
        <f>BJ43</f>
        <v>100</v>
      </c>
    </row>
    <row r="46" spans="2:64" x14ac:dyDescent="0.25">
      <c r="H46" s="4">
        <f>F26*(1-I26)+I32*I26</f>
        <v>0.376</v>
      </c>
      <c r="AK46" s="19">
        <v>-0.1</v>
      </c>
      <c r="AL46" s="14">
        <f>AL43</f>
        <v>0.02</v>
      </c>
      <c r="BA46" s="19">
        <v>-0.1</v>
      </c>
      <c r="BB46" s="14">
        <f>BB43</f>
        <v>4.4999999999999998E-2</v>
      </c>
      <c r="BI46" s="14">
        <f>BI45</f>
        <v>-1.4499999999999782E-2</v>
      </c>
      <c r="BJ46" s="22">
        <f>BJ43</f>
        <v>100</v>
      </c>
    </row>
    <row r="47" spans="2:64" ht="18" x14ac:dyDescent="0.35">
      <c r="B47" t="s">
        <v>76</v>
      </c>
      <c r="C47" s="21">
        <f>((C34+C10)/(C11*(1-C6)*(($C$4*$C$9^(1-$C$11)+$C$39*$C$3*$C$8^(1-$C$11)))))^(C5/(C5-1))*($C$3*$C$8^(1-$C$11)+$C$39*$C$4*$C$9^(1-$C$11))</f>
        <v>1239.9999993541767</v>
      </c>
      <c r="O47" t="s">
        <v>89</v>
      </c>
      <c r="AK47" s="14">
        <f>AK43</f>
        <v>0</v>
      </c>
      <c r="AL47" s="14">
        <f>AL43</f>
        <v>0.02</v>
      </c>
      <c r="BA47" s="14">
        <f>BA43</f>
        <v>0</v>
      </c>
      <c r="BB47" s="14">
        <f>BB43</f>
        <v>4.4999999999999998E-2</v>
      </c>
    </row>
    <row r="48" spans="2:64" x14ac:dyDescent="0.25">
      <c r="B48" t="s">
        <v>77</v>
      </c>
      <c r="C48" s="21">
        <f>((C34+C10)/(C11*(1-C6)*(($C$4*$C$9^(1-$C$11)+$C$39*$C$3*$C$8^(1-$C$11)))))^(C5/(C5-1))*($C$3*$C$8^(1-$C$11))</f>
        <v>936.46300880006208</v>
      </c>
      <c r="E48" t="s">
        <v>92</v>
      </c>
    </row>
    <row r="49" spans="2:64" x14ac:dyDescent="0.25">
      <c r="B49" t="s">
        <v>78</v>
      </c>
      <c r="C49" s="21">
        <f>((C34+C10)/(C11*(1-C6)*(($C$4*$C$9^(1-$C$11)+$C$39*$C$3*$C$8^(1-$C$11)))))^(C5/(C5-1))*($C$39*$C$4*$C$9^(1-$C$11))</f>
        <v>303.53699055411465</v>
      </c>
      <c r="AK49" t="s">
        <v>58</v>
      </c>
      <c r="AM49" t="str">
        <f>AK49</f>
        <v>(ii)</v>
      </c>
      <c r="BA49" t="s">
        <v>58</v>
      </c>
      <c r="BC49" t="str">
        <f>BA49</f>
        <v>(ii)</v>
      </c>
    </row>
    <row r="50" spans="2:64" x14ac:dyDescent="0.25">
      <c r="R50" s="27">
        <f>(R15*($H$66+$K$44/($H$14-$K$44)))/$J$77</f>
        <v>0</v>
      </c>
      <c r="S50" s="28"/>
      <c r="T50" s="27">
        <f>(T15*($H$66+$K$44/($H$14-$K$44)))/$J$77</f>
        <v>0</v>
      </c>
      <c r="U50" s="28"/>
      <c r="V50" s="27">
        <f>(V15*($H$66+$K$44/($H$14-$K$44)))/$J$77</f>
        <v>0</v>
      </c>
      <c r="AK50" t="s">
        <v>53</v>
      </c>
      <c r="AL50" t="s">
        <v>54</v>
      </c>
      <c r="AM50" t="s">
        <v>53</v>
      </c>
      <c r="AN50" t="s">
        <v>54</v>
      </c>
      <c r="BA50" t="s">
        <v>53</v>
      </c>
      <c r="BB50" t="s">
        <v>54</v>
      </c>
      <c r="BC50" t="s">
        <v>53</v>
      </c>
      <c r="BD50" t="s">
        <v>54</v>
      </c>
      <c r="BI50" t="s">
        <v>58</v>
      </c>
    </row>
    <row r="51" spans="2:64" x14ac:dyDescent="0.25">
      <c r="B51" t="s">
        <v>102</v>
      </c>
      <c r="C51" s="30">
        <v>100</v>
      </c>
      <c r="AK51" s="14">
        <f>V58</f>
        <v>0</v>
      </c>
      <c r="AL51" s="14">
        <v>-0.1</v>
      </c>
      <c r="AM51" s="14">
        <f>AK52</f>
        <v>0</v>
      </c>
      <c r="AN51" s="14">
        <f>AL52</f>
        <v>0.02</v>
      </c>
      <c r="BA51" s="14">
        <f>V58</f>
        <v>0</v>
      </c>
      <c r="BB51" s="14">
        <v>-0.1</v>
      </c>
      <c r="BC51" s="14">
        <f>BA52</f>
        <v>0</v>
      </c>
      <c r="BD51" s="14">
        <f>BB52</f>
        <v>4.4999999999999998E-2</v>
      </c>
      <c r="BI51" t="s">
        <v>53</v>
      </c>
      <c r="BJ51" t="s">
        <v>54</v>
      </c>
      <c r="BK51" t="s">
        <v>53</v>
      </c>
      <c r="BL51" t="s">
        <v>54</v>
      </c>
    </row>
    <row r="52" spans="2:64" x14ac:dyDescent="0.25">
      <c r="F52" s="4">
        <v>2</v>
      </c>
      <c r="H52" s="4">
        <v>0.5</v>
      </c>
      <c r="AK52" s="14">
        <f>AK51</f>
        <v>0</v>
      </c>
      <c r="AL52" s="14">
        <f>V72</f>
        <v>0.02</v>
      </c>
      <c r="AM52" s="14">
        <f>AM51</f>
        <v>0</v>
      </c>
      <c r="AN52" s="14">
        <f>AL52</f>
        <v>0.02</v>
      </c>
      <c r="BA52" s="14">
        <f>BA51</f>
        <v>0</v>
      </c>
      <c r="BB52" s="14">
        <f>V67</f>
        <v>4.4999999999999998E-2</v>
      </c>
      <c r="BC52" s="14">
        <f>BC51</f>
        <v>0</v>
      </c>
      <c r="BD52" s="14">
        <f>BB52</f>
        <v>4.4999999999999998E-2</v>
      </c>
      <c r="BI52" s="14">
        <f>V106</f>
        <v>-1.4499999999999782E-2</v>
      </c>
      <c r="BJ52">
        <v>0</v>
      </c>
      <c r="BK52" s="36">
        <v>-0.1</v>
      </c>
      <c r="BL52" s="22">
        <f>BJ53</f>
        <v>100</v>
      </c>
    </row>
    <row r="53" spans="2:64" x14ac:dyDescent="0.25">
      <c r="O53" t="s">
        <v>95</v>
      </c>
      <c r="AK53" t="str">
        <f>AK49</f>
        <v>(ii)</v>
      </c>
      <c r="AM53" t="str">
        <f>AK53</f>
        <v>(ii)</v>
      </c>
      <c r="BA53" t="str">
        <f>BA49</f>
        <v>(ii)</v>
      </c>
      <c r="BC53" t="str">
        <f>BA53</f>
        <v>(ii)</v>
      </c>
      <c r="BI53" s="14">
        <f>BI52</f>
        <v>-1.4499999999999782E-2</v>
      </c>
      <c r="BJ53" s="22">
        <f>V91</f>
        <v>100</v>
      </c>
      <c r="BK53" s="14">
        <f>BI53</f>
        <v>-1.4499999999999782E-2</v>
      </c>
      <c r="BL53" s="22">
        <f>BL52</f>
        <v>100</v>
      </c>
    </row>
    <row r="54" spans="2:64" x14ac:dyDescent="0.25">
      <c r="E54" t="s">
        <v>91</v>
      </c>
      <c r="AK54" t="s">
        <v>53</v>
      </c>
      <c r="AL54" t="s">
        <v>54</v>
      </c>
      <c r="AM54" t="s">
        <v>53</v>
      </c>
      <c r="AN54" t="s">
        <v>54</v>
      </c>
      <c r="BA54" t="s">
        <v>53</v>
      </c>
      <c r="BB54" t="s">
        <v>54</v>
      </c>
      <c r="BC54" t="s">
        <v>53</v>
      </c>
      <c r="BD54" t="s">
        <v>54</v>
      </c>
      <c r="BI54" t="s">
        <v>53</v>
      </c>
      <c r="BJ54" t="s">
        <v>54</v>
      </c>
    </row>
    <row r="55" spans="2:64" x14ac:dyDescent="0.25">
      <c r="R55" s="27">
        <f>($H$46*R20/($H$14-$K$44))/$J$77</f>
        <v>0</v>
      </c>
      <c r="S55" s="28"/>
      <c r="T55" s="27">
        <f>($H$46*T20/($H$14-$K$44))/$J$77</f>
        <v>0</v>
      </c>
      <c r="U55" s="28"/>
      <c r="V55" s="27">
        <f>($H$46*V20/($H$14-$K$44))/$J$77</f>
        <v>0</v>
      </c>
      <c r="AK55" s="19">
        <v>-0.1</v>
      </c>
      <c r="AL55" s="14">
        <f>AL52</f>
        <v>0.02</v>
      </c>
      <c r="BA55" s="19">
        <v>-0.1</v>
      </c>
      <c r="BB55" s="14">
        <f>BB52</f>
        <v>4.4999999999999998E-2</v>
      </c>
      <c r="BI55" s="14">
        <f>BI52</f>
        <v>-1.4499999999999782E-2</v>
      </c>
      <c r="BJ55" s="22">
        <f>BJ53</f>
        <v>100</v>
      </c>
    </row>
    <row r="56" spans="2:64" x14ac:dyDescent="0.25">
      <c r="AK56" s="14">
        <f>AK52</f>
        <v>0</v>
      </c>
      <c r="AL56" s="14">
        <f>AL52</f>
        <v>0.02</v>
      </c>
      <c r="BA56" s="14">
        <f>BA52</f>
        <v>0</v>
      </c>
      <c r="BB56" s="14">
        <f>BB52</f>
        <v>4.4999999999999998E-2</v>
      </c>
      <c r="BI56" s="14">
        <f>BI55</f>
        <v>-1.4499999999999782E-2</v>
      </c>
      <c r="BJ56" s="22">
        <f>BJ53</f>
        <v>100</v>
      </c>
    </row>
    <row r="58" spans="2:64" x14ac:dyDescent="0.25">
      <c r="F58" s="4">
        <f>2.5*2</f>
        <v>5</v>
      </c>
      <c r="I58" s="4">
        <v>0.1</v>
      </c>
      <c r="O58" t="s">
        <v>96</v>
      </c>
      <c r="R58" s="9">
        <f>R29-R34+R39+R45+R50+R55</f>
        <v>0</v>
      </c>
      <c r="S58" s="14"/>
      <c r="T58" s="9">
        <f>T29-T34+T39+T45+T50+T55</f>
        <v>0</v>
      </c>
      <c r="U58" s="14"/>
      <c r="V58" s="9">
        <f>V29-V34+V39+V45+V50+V55</f>
        <v>0</v>
      </c>
    </row>
    <row r="60" spans="2:64" x14ac:dyDescent="0.25">
      <c r="E60" t="s">
        <v>93</v>
      </c>
    </row>
    <row r="64" spans="2:64" x14ac:dyDescent="0.25">
      <c r="F64" s="4">
        <f>F52</f>
        <v>2</v>
      </c>
      <c r="I64" s="4">
        <f>((F52-1)/F58)+H52</f>
        <v>0.7</v>
      </c>
      <c r="K64" s="4">
        <f>((F52-1)/F58)</f>
        <v>0.2</v>
      </c>
    </row>
    <row r="66" spans="5:22" x14ac:dyDescent="0.25">
      <c r="H66" s="4">
        <f>(F52-1)*I58+1</f>
        <v>1.1000000000000001</v>
      </c>
      <c r="O66" t="s">
        <v>41</v>
      </c>
    </row>
    <row r="67" spans="5:22" x14ac:dyDescent="0.25">
      <c r="R67" s="9">
        <f>($C$31+R9)+(1/$F$58)*(R58-R8)+$I$58*R15</f>
        <v>4.4999999999999998E-2</v>
      </c>
      <c r="T67" s="9">
        <f>($C$31+T9)+(1/$F$58)*(T58-T8)+$I$58*T15</f>
        <v>4.4999999999999998E-2</v>
      </c>
      <c r="V67" s="9">
        <f>($C$31+V9)+(1/$F$58)*(V58-V8)+$I$58*V15</f>
        <v>4.4999999999999998E-2</v>
      </c>
    </row>
    <row r="68" spans="5:22" x14ac:dyDescent="0.25">
      <c r="E68" t="s">
        <v>90</v>
      </c>
    </row>
    <row r="71" spans="5:22" x14ac:dyDescent="0.25">
      <c r="O71" t="s">
        <v>42</v>
      </c>
    </row>
    <row r="72" spans="5:22" x14ac:dyDescent="0.25">
      <c r="R72" s="9">
        <f>$C$34+$F$64*R9+$I$64*R58-$K$64*R8+$H$66*R15+R12</f>
        <v>0.02</v>
      </c>
      <c r="T72" s="9">
        <f>$C$34+$F$64*T9+$I$64*T58-$K$64*T8+$H$66*T15+T12</f>
        <v>0.02</v>
      </c>
      <c r="V72" s="9">
        <f>$C$34+$F$64*V9+$I$64*V58-$K$64*V8+$H$66*V15+V12</f>
        <v>0.02</v>
      </c>
    </row>
    <row r="73" spans="5:22" x14ac:dyDescent="0.25">
      <c r="R73" s="14"/>
      <c r="T73" s="14"/>
    </row>
    <row r="75" spans="5:22" x14ac:dyDescent="0.25">
      <c r="E75" t="s">
        <v>34</v>
      </c>
    </row>
    <row r="76" spans="5:22" x14ac:dyDescent="0.25">
      <c r="P76" t="s">
        <v>105</v>
      </c>
      <c r="R76" s="9">
        <f>($C$34-R72)+R15+(1-$I$26)*R20</f>
        <v>0</v>
      </c>
      <c r="T76" s="9">
        <f>($C$34-T72)+T15+(1-$I$26)*T20</f>
        <v>0</v>
      </c>
      <c r="V76" s="9">
        <f>($C$34-V72)+V15+(1-$I$26)*V20</f>
        <v>0</v>
      </c>
    </row>
    <row r="77" spans="5:22" x14ac:dyDescent="0.25">
      <c r="J77" s="24">
        <f>(1-L8+F32)/(H14-K44)-I64</f>
        <v>-1.6581818181818182</v>
      </c>
    </row>
    <row r="80" spans="5:22" x14ac:dyDescent="0.25">
      <c r="J80" s="26"/>
    </row>
    <row r="82" spans="10:22" x14ac:dyDescent="0.25">
      <c r="J82" s="26"/>
      <c r="P82" t="s">
        <v>104</v>
      </c>
      <c r="R82" s="9">
        <f>($C$34-R72)+R15-$I$26*R20</f>
        <v>0</v>
      </c>
      <c r="T82" s="9">
        <f>($C$34-T72)+T15-$I$26*T20</f>
        <v>0</v>
      </c>
      <c r="V82" s="9">
        <f>($C$34-V72)+V15-$I$26*V20</f>
        <v>0</v>
      </c>
    </row>
    <row r="88" spans="10:22" x14ac:dyDescent="0.25">
      <c r="P88" t="s">
        <v>106</v>
      </c>
      <c r="R88" s="9">
        <f>R76-(1-$I$26)*R20</f>
        <v>0</v>
      </c>
      <c r="T88" s="9">
        <f>T76-(1-$I$26)*T20</f>
        <v>0</v>
      </c>
      <c r="V88" s="9">
        <f>V76-(1-$I$26)*V20</f>
        <v>0</v>
      </c>
    </row>
    <row r="89" spans="10:22" x14ac:dyDescent="0.25">
      <c r="P89" t="s">
        <v>107</v>
      </c>
    </row>
    <row r="91" spans="10:22" x14ac:dyDescent="0.25">
      <c r="P91" t="s">
        <v>108</v>
      </c>
      <c r="R91" s="32">
        <f>$C$51*(1+R88)</f>
        <v>100</v>
      </c>
      <c r="T91" s="32">
        <f>$C$51*(1+T88)</f>
        <v>100</v>
      </c>
      <c r="V91" s="32">
        <f>$C$51*(1+V88)</f>
        <v>100</v>
      </c>
    </row>
    <row r="92" spans="10:22" x14ac:dyDescent="0.25">
      <c r="P92" t="s">
        <v>109</v>
      </c>
    </row>
    <row r="94" spans="10:22" x14ac:dyDescent="0.25">
      <c r="P94" t="s">
        <v>46</v>
      </c>
    </row>
    <row r="95" spans="10:22" x14ac:dyDescent="0.25">
      <c r="P95" t="s">
        <v>47</v>
      </c>
      <c r="R95" s="11">
        <f>$C$13*(1+R58)</f>
        <v>1239.9999993541767</v>
      </c>
      <c r="S95" s="12"/>
      <c r="T95" s="11">
        <f>$C$13*(1+T58)</f>
        <v>1239.9999993541767</v>
      </c>
      <c r="U95" s="12"/>
      <c r="V95" s="11">
        <f>$C$13*(1+V58)</f>
        <v>1239.9999993541767</v>
      </c>
    </row>
    <row r="96" spans="10:22" x14ac:dyDescent="0.25">
      <c r="P96" t="s">
        <v>43</v>
      </c>
      <c r="R96" s="11">
        <f>$C$13*($G$8+$L$8*R58-$I$8*R5)</f>
        <v>805.99999958021488</v>
      </c>
      <c r="S96" s="12"/>
      <c r="T96" s="11">
        <f>$C$13*($G$8+$L$8*T58-$I$8*T5)</f>
        <v>805.99999958021488</v>
      </c>
      <c r="U96" s="12"/>
      <c r="V96" s="11">
        <f>$C$13*($G$8+$L$8*V58-$I$8*V5)</f>
        <v>805.99999958021488</v>
      </c>
    </row>
    <row r="97" spans="16:22" x14ac:dyDescent="0.25">
      <c r="P97" t="s">
        <v>44</v>
      </c>
      <c r="R97" s="11">
        <f>$C$13*($F$14+$H$14*(R72-$C$34))</f>
        <v>228.77999988084531</v>
      </c>
      <c r="S97" s="12"/>
      <c r="T97" s="11">
        <f>$C$13*($F$14+$H$14*(T72-$C$34))</f>
        <v>228.77999988084531</v>
      </c>
      <c r="U97" s="12"/>
      <c r="V97" s="11">
        <f>$C$13*($F$14+$H$14*(V72-$C$34))</f>
        <v>228.77999988084531</v>
      </c>
    </row>
    <row r="98" spans="16:22" x14ac:dyDescent="0.25">
      <c r="P98" t="s">
        <v>45</v>
      </c>
      <c r="R98" s="11">
        <f>$C$13*($F$19+R4)</f>
        <v>223.19999988375179</v>
      </c>
      <c r="S98" s="12"/>
      <c r="T98" s="11">
        <f>$C$13*($F$19+T4)</f>
        <v>223.19999988375179</v>
      </c>
      <c r="U98" s="12"/>
      <c r="V98" s="11">
        <f>$C$13*($F$19+V4)</f>
        <v>223.19999988375179</v>
      </c>
    </row>
    <row r="99" spans="16:22" x14ac:dyDescent="0.25">
      <c r="P99" t="s">
        <v>97</v>
      </c>
      <c r="R99" s="11">
        <f>R100-R101</f>
        <v>-17.979999990635292</v>
      </c>
      <c r="T99" s="11">
        <f>T100-T101</f>
        <v>-17.979999990635292</v>
      </c>
      <c r="V99" s="11">
        <f>V100-V101</f>
        <v>-17.979999990635292</v>
      </c>
    </row>
    <row r="100" spans="16:22" x14ac:dyDescent="0.25">
      <c r="P100" t="s">
        <v>98</v>
      </c>
      <c r="R100" s="11">
        <f>$C$13*($C$21-$F$26*(R72-$C$34)+$F$26*R15+$F$26*(1-$I$26)*R$20)</f>
        <v>303.53699055411465</v>
      </c>
      <c r="T100" s="11">
        <f>$C$13*($C$21-$F$26*(T72-$C$34)+$F$26*T15+$F$26*(1-$I$26)*T$20)</f>
        <v>303.53699055411465</v>
      </c>
      <c r="V100" s="11">
        <f>$C$13*($C$21-$F$26*(V72-$C$34)+$F$26*V15+$F$26*(1-$I$26)*V$20)</f>
        <v>303.53699055411465</v>
      </c>
    </row>
    <row r="101" spans="16:22" x14ac:dyDescent="0.25">
      <c r="P101" t="s">
        <v>99</v>
      </c>
      <c r="R101" s="11">
        <f>$C$13*($C$22+$F$32*R58-$I$32*(R72-$C$34)+$I$32*R15-$I$32*$I$26*R$20)</f>
        <v>321.51699054474994</v>
      </c>
      <c r="T101" s="11">
        <f>$C$13*($C$22+$F$32*T58-$I$32*(T72-$C$34)+$I$32*T15-$I$32*$I$26*T$20)</f>
        <v>321.51699054474994</v>
      </c>
      <c r="V101" s="11">
        <f>$C$13*($C$22+$F$32*V58-$I$32*(V72-$C$34)+$I$32*V15-$I$32*$I$26*V$20)</f>
        <v>321.51699054474994</v>
      </c>
    </row>
    <row r="106" spans="16:22" ht="17.25" x14ac:dyDescent="0.25">
      <c r="P106" t="s">
        <v>110</v>
      </c>
      <c r="R106" s="33">
        <f>R99/$C$13</f>
        <v>-1.4499999999999782E-2</v>
      </c>
      <c r="T106" s="33">
        <f>T99/$C$13</f>
        <v>-1.4499999999999782E-2</v>
      </c>
      <c r="V106" s="33">
        <f>V99/$C$13</f>
        <v>-1.4499999999999782E-2</v>
      </c>
    </row>
    <row r="107" spans="16:22" ht="17.25" x14ac:dyDescent="0.25">
      <c r="P107" t="s">
        <v>111</v>
      </c>
      <c r="R107" s="14">
        <f>$C$20</f>
        <v>-1.4499999999999791E-2</v>
      </c>
      <c r="T107" s="14">
        <f>$C$20</f>
        <v>-1.4499999999999791E-2</v>
      </c>
      <c r="V107" s="14">
        <f>$C$20</f>
        <v>-1.4499999999999791E-2</v>
      </c>
    </row>
    <row r="108" spans="16:22" x14ac:dyDescent="0.25">
      <c r="P108" t="s">
        <v>112</v>
      </c>
      <c r="R108" s="33">
        <f>R107-R106</f>
        <v>0</v>
      </c>
      <c r="T108" s="33">
        <f>T107-T106</f>
        <v>0</v>
      </c>
      <c r="V108" s="33">
        <f>V107-V106</f>
        <v>0</v>
      </c>
    </row>
    <row r="110" spans="16:22" x14ac:dyDescent="0.25">
      <c r="P110" t="s">
        <v>113</v>
      </c>
    </row>
    <row r="111" spans="16:22" x14ac:dyDescent="0.25">
      <c r="P111" t="s">
        <v>114</v>
      </c>
      <c r="R111" s="33">
        <f>R112+R113+R114+R115</f>
        <v>0</v>
      </c>
      <c r="S111" s="1"/>
      <c r="T111" s="33">
        <f>T112+T113+T114+T115</f>
        <v>0</v>
      </c>
      <c r="U111" s="1"/>
      <c r="V111" s="33">
        <f>V112+V113+V114+V115</f>
        <v>0</v>
      </c>
    </row>
    <row r="112" spans="16:22" x14ac:dyDescent="0.25">
      <c r="P112" t="s">
        <v>43</v>
      </c>
      <c r="R112" s="33">
        <f>($L$8*R58-$I$8*R5)</f>
        <v>0</v>
      </c>
      <c r="S112" s="1"/>
      <c r="T112" s="33">
        <f>($L$8*T58-$I$8*T5)</f>
        <v>0</v>
      </c>
      <c r="U112" s="1"/>
      <c r="V112" s="33">
        <f>($L$8*V58-$I$8*V5)</f>
        <v>0</v>
      </c>
    </row>
    <row r="113" spans="16:22" x14ac:dyDescent="0.25">
      <c r="P113" t="s">
        <v>44</v>
      </c>
      <c r="R113" s="33">
        <f>($H$14*(R72-$C$34))</f>
        <v>0</v>
      </c>
      <c r="S113" s="1"/>
      <c r="T113" s="33">
        <f>($H$14*(T72-$C$34))</f>
        <v>0</v>
      </c>
      <c r="U113" s="1"/>
      <c r="V113" s="33">
        <f>($H$14*(V72-$C$34))</f>
        <v>0</v>
      </c>
    </row>
    <row r="114" spans="16:22" x14ac:dyDescent="0.25">
      <c r="P114" t="s">
        <v>45</v>
      </c>
      <c r="R114" s="33">
        <f>(R4)</f>
        <v>0</v>
      </c>
      <c r="S114" s="1"/>
      <c r="T114" s="33">
        <f>(T4)</f>
        <v>0</v>
      </c>
      <c r="U114" s="1"/>
      <c r="V114" s="33">
        <f>(V4)</f>
        <v>0</v>
      </c>
    </row>
    <row r="115" spans="16:22" x14ac:dyDescent="0.25">
      <c r="P115" t="s">
        <v>97</v>
      </c>
      <c r="R115" s="33">
        <f>R116-R117</f>
        <v>0</v>
      </c>
      <c r="S115" s="1"/>
      <c r="T115" s="33">
        <f>T116-T117</f>
        <v>0</v>
      </c>
      <c r="U115" s="1"/>
      <c r="V115" s="33">
        <f>V116-V117</f>
        <v>0</v>
      </c>
    </row>
    <row r="116" spans="16:22" x14ac:dyDescent="0.25">
      <c r="P116" t="s">
        <v>98</v>
      </c>
      <c r="R116" s="33">
        <f>(-$F$26*(R72-$C$34)+$F$26*R15+$F$26*(1-$I$26)*R$20)</f>
        <v>0</v>
      </c>
      <c r="S116" s="1"/>
      <c r="T116" s="33">
        <f>(-$F$26*(T72-$C$34)+$F$26*T15+$F$26*(1-$I$26)*T$20)</f>
        <v>0</v>
      </c>
      <c r="U116" s="1"/>
      <c r="V116" s="33">
        <f>(-$F$26*(V72-$C$34)+$F$26*V15+$F$26*(1-$I$26)*V$20)</f>
        <v>0</v>
      </c>
    </row>
    <row r="117" spans="16:22" x14ac:dyDescent="0.25">
      <c r="P117" t="s">
        <v>99</v>
      </c>
      <c r="R117" s="33">
        <f>(+$F$32*R58-$I$32*(R72-$C$34)+$I$32*R15-$I$32*$I$26*R$20)</f>
        <v>0</v>
      </c>
      <c r="S117" s="1"/>
      <c r="T117" s="33">
        <f>(+$F$32*T58-$I$32*(T72-$C$34)+$I$32*T15-$I$32*$I$26*T$20)</f>
        <v>0</v>
      </c>
      <c r="U117" s="1"/>
      <c r="V117" s="33">
        <f>(+$F$32*V58-$I$32*(V72-$C$34)+$I$32*V15-$I$32*$I$26*V$20)</f>
        <v>0</v>
      </c>
    </row>
    <row r="121" spans="16:22" x14ac:dyDescent="0.25">
      <c r="P121" t="s">
        <v>48</v>
      </c>
      <c r="R121" s="10" t="str">
        <f>IF(ABS(R95-R96-R97-R98-R99)&lt;=0.0001,"OK","")</f>
        <v>OK</v>
      </c>
      <c r="T121" s="10" t="str">
        <f>IF(ABS(T95-T96-T97-T98-T99)&lt;=0.0001,"OK","")</f>
        <v>OK</v>
      </c>
      <c r="V121" s="10" t="str">
        <f>IF(ABS(V95-V96-V97-V98-V99)&lt;=0.0001,"OK","")</f>
        <v>OK</v>
      </c>
    </row>
    <row r="122" spans="16:22" x14ac:dyDescent="0.25">
      <c r="R122" s="26">
        <f>R95-R96-R97-R98-R99</f>
        <v>0</v>
      </c>
      <c r="T122" s="26">
        <f>T95-T96-T97-T98-T99</f>
        <v>0</v>
      </c>
      <c r="V122" s="26">
        <f>V95-V96-V97-V98-V99</f>
        <v>0</v>
      </c>
    </row>
    <row r="123" spans="16:22" x14ac:dyDescent="0.25">
      <c r="R123" s="22"/>
      <c r="T123" s="26"/>
      <c r="V123" s="26"/>
    </row>
    <row r="124" spans="16:22" x14ac:dyDescent="0.25">
      <c r="R124" s="22"/>
      <c r="T124" s="26"/>
      <c r="V124" s="26"/>
    </row>
    <row r="125" spans="16:22" x14ac:dyDescent="0.25">
      <c r="R125" s="22"/>
      <c r="T125" s="26"/>
      <c r="V125" s="26"/>
    </row>
  </sheetData>
  <sheetProtection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155" r:id="rId4">
          <objectPr defaultSize="0" autoPict="0" r:id="rId5">
            <anchor moveWithCells="1">
              <from>
                <xdr:col>4</xdr:col>
                <xdr:colOff>314325</xdr:colOff>
                <xdr:row>13</xdr:row>
                <xdr:rowOff>19050</xdr:rowOff>
              </from>
              <to>
                <xdr:col>4</xdr:col>
                <xdr:colOff>466725</xdr:colOff>
                <xdr:row>13</xdr:row>
                <xdr:rowOff>161925</xdr:rowOff>
              </to>
            </anchor>
          </objectPr>
        </oleObject>
      </mc:Choice>
      <mc:Fallback>
        <oleObject progId="Equation.DSMT4" shapeId="1155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E2:V84"/>
  <sheetViews>
    <sheetView showGridLines="0" zoomScale="30" zoomScaleNormal="30" workbookViewId="0">
      <selection activeCell="AM56" sqref="AM56"/>
    </sheetView>
  </sheetViews>
  <sheetFormatPr defaultRowHeight="15" x14ac:dyDescent="0.25"/>
  <cols>
    <col min="5" max="5" width="41.140625" customWidth="1"/>
    <col min="6" max="6" width="9" customWidth="1"/>
    <col min="7" max="7" width="9.5703125" customWidth="1"/>
  </cols>
  <sheetData>
    <row r="2" spans="5:13" x14ac:dyDescent="0.25">
      <c r="I2" t="s">
        <v>21</v>
      </c>
      <c r="K2" t="s">
        <v>22</v>
      </c>
      <c r="M2" t="s">
        <v>23</v>
      </c>
    </row>
    <row r="3" spans="5:13" x14ac:dyDescent="0.25">
      <c r="E3" t="s">
        <v>116</v>
      </c>
      <c r="I3" s="37">
        <f>100*(1+'OPTIONAL FULL MODEL APPENDIX'!R67)/(1+'OPTIONAL FULL MODEL APPENDIX'!$C$31)</f>
        <v>100</v>
      </c>
      <c r="K3" s="37">
        <f>100*(1+'OPTIONAL FULL MODEL APPENDIX'!T67)/(1+'OPTIONAL FULL MODEL APPENDIX'!$C$31)</f>
        <v>100</v>
      </c>
      <c r="M3" s="37">
        <f>100*(1+'OPTIONAL FULL MODEL APPENDIX'!V67)/(1+'OPTIONAL FULL MODEL APPENDIX'!$C$31)</f>
        <v>100</v>
      </c>
    </row>
    <row r="4" spans="5:13" x14ac:dyDescent="0.25">
      <c r="E4" t="s">
        <v>117</v>
      </c>
      <c r="I4" s="37">
        <f>'OPTIONAL FULL MODEL APPENDIX'!R95*'Fiscal and Central Bank '!I3/100</f>
        <v>1239.9999993541767</v>
      </c>
      <c r="K4" s="37">
        <f>'OPTIONAL FULL MODEL APPENDIX'!T95*'Fiscal and Central Bank '!K3/100</f>
        <v>1239.9999993541767</v>
      </c>
      <c r="M4" s="37">
        <f>'OPTIONAL FULL MODEL APPENDIX'!V95*'Fiscal and Central Bank '!M3/100</f>
        <v>1239.9999993541767</v>
      </c>
    </row>
    <row r="7" spans="5:13" x14ac:dyDescent="0.25">
      <c r="E7" t="s">
        <v>118</v>
      </c>
    </row>
    <row r="8" spans="5:13" x14ac:dyDescent="0.25">
      <c r="I8" t="s">
        <v>21</v>
      </c>
      <c r="K8" t="s">
        <v>22</v>
      </c>
      <c r="M8" t="s">
        <v>23</v>
      </c>
    </row>
    <row r="9" spans="5:13" x14ac:dyDescent="0.25">
      <c r="E9" t="s">
        <v>119</v>
      </c>
      <c r="I9" s="37">
        <f>'OPTIONAL FULL MODEL APPENDIX'!$C$6*'Fiscal and Central Bank '!I4</f>
        <v>223.19999988375179</v>
      </c>
      <c r="K9" s="37">
        <f>'OPTIONAL FULL MODEL APPENDIX'!$C$6*'Fiscal and Central Bank '!K4</f>
        <v>223.19999988375179</v>
      </c>
      <c r="M9" s="37">
        <f>'OPTIONAL FULL MODEL APPENDIX'!$C$6*'Fiscal and Central Bank '!M4</f>
        <v>223.19999988375179</v>
      </c>
    </row>
    <row r="10" spans="5:13" x14ac:dyDescent="0.25">
      <c r="E10" t="s">
        <v>120</v>
      </c>
      <c r="I10" s="37">
        <f>'OPTIONAL FULL MODEL APPENDIX'!R98*'Fiscal and Central Bank '!I3/100</f>
        <v>223.19999988375176</v>
      </c>
      <c r="K10" s="37">
        <f>'OPTIONAL FULL MODEL APPENDIX'!T98*'Fiscal and Central Bank '!K3/100</f>
        <v>223.19999988375176</v>
      </c>
      <c r="M10" s="37">
        <f>'OPTIONAL FULL MODEL APPENDIX'!V98*'Fiscal and Central Bank '!M3/100</f>
        <v>223.19999988375176</v>
      </c>
    </row>
    <row r="11" spans="5:13" x14ac:dyDescent="0.25">
      <c r="E11" t="s">
        <v>121</v>
      </c>
      <c r="I11" s="37">
        <f>I9-I10</f>
        <v>0</v>
      </c>
      <c r="K11" s="37">
        <f>K9-K10</f>
        <v>0</v>
      </c>
      <c r="M11" s="37">
        <f>M9-M10</f>
        <v>0</v>
      </c>
    </row>
    <row r="12" spans="5:13" x14ac:dyDescent="0.25">
      <c r="E12" t="s">
        <v>122</v>
      </c>
      <c r="I12" s="37">
        <f>I20*$G$17</f>
        <v>0.59586394604250703</v>
      </c>
      <c r="K12" s="37">
        <f>K20*$G$17</f>
        <v>0.59586394604250703</v>
      </c>
      <c r="M12" s="37">
        <f>M20*$G$17</f>
        <v>0.59586394604250703</v>
      </c>
    </row>
    <row r="13" spans="5:13" x14ac:dyDescent="0.25">
      <c r="E13" t="s">
        <v>123</v>
      </c>
      <c r="I13" s="37">
        <f>I11-I12</f>
        <v>-0.59586394604250703</v>
      </c>
      <c r="K13" s="37">
        <f>K11-K12</f>
        <v>-0.59586394604250703</v>
      </c>
      <c r="M13" s="37">
        <f>M11-M12</f>
        <v>-0.59586394604250703</v>
      </c>
    </row>
    <row r="15" spans="5:13" x14ac:dyDescent="0.25">
      <c r="E15" t="s">
        <v>124</v>
      </c>
      <c r="I15" s="37">
        <f>$G$17-I13</f>
        <v>9.7630015774656904</v>
      </c>
      <c r="K15" s="37">
        <f>$G$17-K13</f>
        <v>9.7630015774656904</v>
      </c>
      <c r="M15" s="37">
        <f>$G$17-M13</f>
        <v>9.7630015774656904</v>
      </c>
    </row>
    <row r="17" spans="5:22" x14ac:dyDescent="0.25">
      <c r="E17" t="s">
        <v>125</v>
      </c>
      <c r="G17" s="38">
        <f>0.5*'[1]FIXED EXCHANGE RATE (2)'!C13</f>
        <v>9.1671376314231843</v>
      </c>
    </row>
    <row r="18" spans="5:22" x14ac:dyDescent="0.25">
      <c r="E18" t="s">
        <v>126</v>
      </c>
      <c r="G18" s="39">
        <f>G17/'[1]FIXED EXCHANGE RATE (2)'!C13</f>
        <v>0.5</v>
      </c>
    </row>
    <row r="20" spans="5:22" x14ac:dyDescent="0.25">
      <c r="E20" t="s">
        <v>127</v>
      </c>
      <c r="I20" s="33">
        <f>'OPTIONAL FULL MODEL APPENDIX'!R72+'OPTIONAL FULL MODEL APPENDIX'!R67</f>
        <v>6.5000000000000002E-2</v>
      </c>
      <c r="K20" s="33">
        <f>'OPTIONAL FULL MODEL APPENDIX'!T72+'OPTIONAL FULL MODEL APPENDIX'!T67</f>
        <v>6.5000000000000002E-2</v>
      </c>
      <c r="M20" s="33">
        <f>'OPTIONAL FULL MODEL APPENDIX'!V72+'OPTIONAL FULL MODEL APPENDIX'!V67</f>
        <v>6.5000000000000002E-2</v>
      </c>
    </row>
    <row r="23" spans="5:22" x14ac:dyDescent="0.25">
      <c r="E23" t="s">
        <v>128</v>
      </c>
    </row>
    <row r="25" spans="5:22" x14ac:dyDescent="0.25">
      <c r="E25" t="s">
        <v>119</v>
      </c>
      <c r="I25" s="33">
        <f>I9/I$4</f>
        <v>0.18</v>
      </c>
      <c r="K25" s="33">
        <f>K9/K$4</f>
        <v>0.18</v>
      </c>
      <c r="M25" s="33">
        <f>M9/M$4</f>
        <v>0.18</v>
      </c>
    </row>
    <row r="26" spans="5:22" x14ac:dyDescent="0.25">
      <c r="E26" t="s">
        <v>120</v>
      </c>
      <c r="I26" s="33">
        <f t="shared" ref="I26:K29" si="0">I10/I$4</f>
        <v>0.17999999999999997</v>
      </c>
      <c r="K26" s="33">
        <f t="shared" si="0"/>
        <v>0.17999999999999997</v>
      </c>
      <c r="M26" s="33">
        <f t="shared" ref="M26:M29" si="1">M10/M$4</f>
        <v>0.17999999999999997</v>
      </c>
    </row>
    <row r="27" spans="5:22" x14ac:dyDescent="0.25">
      <c r="E27" t="s">
        <v>121</v>
      </c>
      <c r="I27" s="33">
        <f t="shared" si="0"/>
        <v>0</v>
      </c>
      <c r="K27" s="33">
        <f t="shared" si="0"/>
        <v>0</v>
      </c>
      <c r="M27" s="33">
        <f t="shared" si="1"/>
        <v>0</v>
      </c>
    </row>
    <row r="28" spans="5:22" x14ac:dyDescent="0.25">
      <c r="E28" t="s">
        <v>122</v>
      </c>
      <c r="I28" s="33">
        <f t="shared" si="0"/>
        <v>4.805354406071355E-4</v>
      </c>
      <c r="K28" s="33">
        <f t="shared" si="0"/>
        <v>4.805354406071355E-4</v>
      </c>
      <c r="M28" s="33">
        <f t="shared" si="1"/>
        <v>4.805354406071355E-4</v>
      </c>
    </row>
    <row r="29" spans="5:22" x14ac:dyDescent="0.25">
      <c r="E29" t="s">
        <v>123</v>
      </c>
      <c r="I29" s="33">
        <f t="shared" si="0"/>
        <v>-4.805354406071355E-4</v>
      </c>
      <c r="K29" s="33">
        <f t="shared" si="0"/>
        <v>-4.805354406071355E-4</v>
      </c>
      <c r="M29" s="33">
        <f t="shared" si="1"/>
        <v>-4.805354406071355E-4</v>
      </c>
    </row>
    <row r="30" spans="5:22" x14ac:dyDescent="0.25">
      <c r="Q30" t="s">
        <v>21</v>
      </c>
      <c r="R30" t="s">
        <v>22</v>
      </c>
      <c r="S30" t="s">
        <v>23</v>
      </c>
    </row>
    <row r="31" spans="5:22" x14ac:dyDescent="0.25">
      <c r="E31" t="s">
        <v>124</v>
      </c>
      <c r="I31" s="33">
        <f>I15/I$4</f>
        <v>7.8733883730246028E-3</v>
      </c>
      <c r="K31" s="33">
        <f>K15/K$4</f>
        <v>7.8733883730246028E-3</v>
      </c>
      <c r="M31" s="33">
        <f>M15/M$4</f>
        <v>7.8733883730246028E-3</v>
      </c>
      <c r="P31" t="s">
        <v>159</v>
      </c>
      <c r="Q31" s="1">
        <f>I31</f>
        <v>7.8733883730246028E-3</v>
      </c>
      <c r="R31" s="1">
        <f>K31</f>
        <v>7.8733883730246028E-3</v>
      </c>
      <c r="S31" s="1">
        <f>M31</f>
        <v>7.8733883730246028E-3</v>
      </c>
      <c r="T31" s="1"/>
      <c r="V31" s="1"/>
    </row>
    <row r="34" spans="5:13" x14ac:dyDescent="0.25">
      <c r="E34" t="s">
        <v>129</v>
      </c>
      <c r="I34" s="37">
        <f>-I13</f>
        <v>0.59586394604250703</v>
      </c>
      <c r="K34" s="37">
        <f>-K13</f>
        <v>0.59586394604250703</v>
      </c>
      <c r="M34" s="37">
        <f>-M13</f>
        <v>0.59586394604250703</v>
      </c>
    </row>
    <row r="35" spans="5:13" x14ac:dyDescent="0.25">
      <c r="E35" t="s">
        <v>130</v>
      </c>
      <c r="I35" s="37">
        <f>I40*I34</f>
        <v>0</v>
      </c>
      <c r="K35" s="37">
        <f>K40*K34</f>
        <v>0</v>
      </c>
      <c r="M35" s="37">
        <f>M40*M34</f>
        <v>0.11917278920850141</v>
      </c>
    </row>
    <row r="36" spans="5:13" x14ac:dyDescent="0.25">
      <c r="E36" t="s">
        <v>131</v>
      </c>
      <c r="I36" s="37">
        <f>I41*I35</f>
        <v>0</v>
      </c>
      <c r="K36" s="37">
        <f>K41*K35</f>
        <v>0</v>
      </c>
      <c r="M36" s="37">
        <f>M41*M35</f>
        <v>0.11917278920850141</v>
      </c>
    </row>
    <row r="37" spans="5:13" x14ac:dyDescent="0.25">
      <c r="E37" t="s">
        <v>132</v>
      </c>
      <c r="I37" s="37">
        <f>I34-I35</f>
        <v>0.59586394604250703</v>
      </c>
      <c r="K37" s="37">
        <f>K34-K35</f>
        <v>0.59586394604250703</v>
      </c>
      <c r="M37" s="37">
        <f>M34-M35</f>
        <v>0.47669115683400565</v>
      </c>
    </row>
    <row r="40" spans="5:13" x14ac:dyDescent="0.25">
      <c r="E40" t="s">
        <v>133</v>
      </c>
      <c r="I40">
        <v>0</v>
      </c>
      <c r="K40">
        <v>0</v>
      </c>
      <c r="M40">
        <v>0.2</v>
      </c>
    </row>
    <row r="41" spans="5:13" x14ac:dyDescent="0.25">
      <c r="E41" t="s">
        <v>134</v>
      </c>
      <c r="I41">
        <v>0</v>
      </c>
      <c r="K41">
        <v>0</v>
      </c>
      <c r="M41">
        <v>1</v>
      </c>
    </row>
    <row r="43" spans="5:13" x14ac:dyDescent="0.25">
      <c r="E43" t="s">
        <v>128</v>
      </c>
    </row>
    <row r="45" spans="5:13" x14ac:dyDescent="0.25">
      <c r="E45" t="s">
        <v>135</v>
      </c>
      <c r="I45" s="33">
        <f>I34/I$4</f>
        <v>4.805354406071355E-4</v>
      </c>
      <c r="K45" s="33">
        <f>K34/K$4</f>
        <v>4.805354406071355E-4</v>
      </c>
      <c r="M45" s="33">
        <f>M34/M$4</f>
        <v>4.805354406071355E-4</v>
      </c>
    </row>
    <row r="46" spans="5:13" x14ac:dyDescent="0.25">
      <c r="E46" t="s">
        <v>130</v>
      </c>
      <c r="I46" s="33">
        <f t="shared" ref="I46:K48" si="2">I35/I$4</f>
        <v>0</v>
      </c>
      <c r="K46" s="33">
        <f t="shared" si="2"/>
        <v>0</v>
      </c>
      <c r="M46" s="33">
        <f t="shared" ref="M46:M48" si="3">M35/M$4</f>
        <v>9.61070881214271E-5</v>
      </c>
    </row>
    <row r="47" spans="5:13" x14ac:dyDescent="0.25">
      <c r="E47" t="s">
        <v>131</v>
      </c>
      <c r="I47" s="40">
        <f t="shared" si="2"/>
        <v>0</v>
      </c>
      <c r="K47" s="40">
        <f t="shared" si="2"/>
        <v>0</v>
      </c>
      <c r="M47" s="40">
        <f t="shared" si="3"/>
        <v>9.61070881214271E-5</v>
      </c>
    </row>
    <row r="48" spans="5:13" x14ac:dyDescent="0.25">
      <c r="E48" t="s">
        <v>132</v>
      </c>
      <c r="I48" s="33">
        <f t="shared" si="2"/>
        <v>4.805354406071355E-4</v>
      </c>
      <c r="K48" s="33">
        <f t="shared" si="2"/>
        <v>4.805354406071355E-4</v>
      </c>
      <c r="M48" s="33">
        <f t="shared" si="3"/>
        <v>3.844283524857084E-4</v>
      </c>
    </row>
    <row r="50" spans="5:20" x14ac:dyDescent="0.25">
      <c r="E50" t="s">
        <v>136</v>
      </c>
    </row>
    <row r="51" spans="5:20" x14ac:dyDescent="0.25">
      <c r="I51" t="s">
        <v>21</v>
      </c>
      <c r="K51" t="s">
        <v>22</v>
      </c>
      <c r="M51" t="s">
        <v>23</v>
      </c>
    </row>
    <row r="52" spans="5:20" x14ac:dyDescent="0.25">
      <c r="E52" t="s">
        <v>137</v>
      </c>
    </row>
    <row r="53" spans="5:20" x14ac:dyDescent="0.25">
      <c r="E53" t="s">
        <v>138</v>
      </c>
      <c r="I53" s="52">
        <f>I54+I55+I56</f>
        <v>28.031931751469738</v>
      </c>
      <c r="J53" s="51"/>
      <c r="K53" s="52">
        <f>K54+K55+K56</f>
        <v>28.031931751469738</v>
      </c>
      <c r="L53" s="51"/>
      <c r="M53" s="52">
        <f>M54+M55+M56</f>
        <v>28.031931751469738</v>
      </c>
      <c r="R53" t="s">
        <v>21</v>
      </c>
      <c r="S53" t="s">
        <v>22</v>
      </c>
      <c r="T53" t="s">
        <v>23</v>
      </c>
    </row>
    <row r="54" spans="5:20" x14ac:dyDescent="0.25">
      <c r="E54" t="s">
        <v>139</v>
      </c>
      <c r="I54" s="37">
        <f>$G$74*(1+'OPTIONAL FULL MODEL APPENDIX'!R67+$G$80*'OPTIONAL FULL MODEL APPENDIX'!R58+$G$84*('OPTIONAL FULL MODEL APPENDIX'!R72+'OPTIONAL FULL MODEL APPENDIX'!R67-'OPTIONAL FULL MODEL APPENDIX'!$C$34-'OPTIONAL FULL MODEL APPENDIX'!$C$31))</f>
        <v>1.9159317649674454</v>
      </c>
      <c r="J54" s="26"/>
      <c r="K54" s="37">
        <f>$G$74*(1+'OPTIONAL FULL MODEL APPENDIX'!T67+$G$80*'OPTIONAL FULL MODEL APPENDIX'!T58+$G$84*('OPTIONAL FULL MODEL APPENDIX'!T72+'OPTIONAL FULL MODEL APPENDIX'!T67-'OPTIONAL FULL MODEL APPENDIX'!$C$34-'OPTIONAL FULL MODEL APPENDIX'!$C$31))</f>
        <v>1.9159317649674454</v>
      </c>
      <c r="L54" s="26"/>
      <c r="M54" s="37">
        <f>$G$74*(1+'OPTIONAL FULL MODEL APPENDIX'!V67+$G$80*'OPTIONAL FULL MODEL APPENDIX'!V58+$G$84*('OPTIONAL FULL MODEL APPENDIX'!V72+'OPTIONAL FULL MODEL APPENDIX'!V67-'OPTIONAL FULL MODEL APPENDIX'!$C$34-'OPTIONAL FULL MODEL APPENDIX'!$C$31))</f>
        <v>1.9159317649674454</v>
      </c>
      <c r="Q54" t="s">
        <v>158</v>
      </c>
      <c r="R54" s="26">
        <f>I59</f>
        <v>26.801931751469738</v>
      </c>
      <c r="S54" s="26">
        <f>K59</f>
        <v>26.801931751469738</v>
      </c>
      <c r="T54" s="26">
        <f>M59</f>
        <v>26.658924404419537</v>
      </c>
    </row>
    <row r="55" spans="5:20" x14ac:dyDescent="0.25">
      <c r="E55" t="s">
        <v>140</v>
      </c>
      <c r="I55" s="37">
        <f>$G$77*'OPTIONAL FULL MODEL APPENDIX'!$C$13*(1+'OPTIONAL FULL MODEL APPENDIX'!R67+$G$80*'OPTIONAL FULL MODEL APPENDIX'!R58+$G$84*('OPTIONAL FULL MODEL APPENDIX'!R72+'OPTIONAL FULL MODEL APPENDIX'!R67-'OPTIONAL FULL MODEL APPENDIX'!$C$34-'OPTIONAL FULL MODEL APPENDIX'!$C$31))</f>
        <v>25.915999986502293</v>
      </c>
      <c r="J55" s="26"/>
      <c r="K55" s="37">
        <f>$G$77*'OPTIONAL FULL MODEL APPENDIX'!$C$13*(1+'OPTIONAL FULL MODEL APPENDIX'!T67+$G$80*'OPTIONAL FULL MODEL APPENDIX'!T58+$G$84*('OPTIONAL FULL MODEL APPENDIX'!T72+'OPTIONAL FULL MODEL APPENDIX'!T67-'OPTIONAL FULL MODEL APPENDIX'!$C$34-'OPTIONAL FULL MODEL APPENDIX'!$C$31))</f>
        <v>25.915999986502293</v>
      </c>
      <c r="L55" s="26"/>
      <c r="M55" s="37">
        <f>$G$77*'OPTIONAL FULL MODEL APPENDIX'!$C$13*(1+'OPTIONAL FULL MODEL APPENDIX'!V67+$G$80*'OPTIONAL FULL MODEL APPENDIX'!V58+$G$84*('OPTIONAL FULL MODEL APPENDIX'!V72+'OPTIONAL FULL MODEL APPENDIX'!V67-'OPTIONAL FULL MODEL APPENDIX'!$C$34-'OPTIONAL FULL MODEL APPENDIX'!$C$31))</f>
        <v>25.915999986502293</v>
      </c>
    </row>
    <row r="56" spans="5:20" x14ac:dyDescent="0.25">
      <c r="E56" t="s">
        <v>141</v>
      </c>
      <c r="I56" s="37">
        <v>0.2</v>
      </c>
      <c r="J56" s="26"/>
      <c r="K56" s="37">
        <v>0.2</v>
      </c>
      <c r="L56" s="26"/>
      <c r="M56" s="37">
        <v>0.2</v>
      </c>
    </row>
    <row r="58" spans="5:20" x14ac:dyDescent="0.25">
      <c r="E58" t="s">
        <v>142</v>
      </c>
      <c r="I58" s="37">
        <f>I53</f>
        <v>28.031931751469738</v>
      </c>
      <c r="K58" s="37">
        <f>K53</f>
        <v>28.031931751469738</v>
      </c>
      <c r="M58" s="37">
        <f>M53</f>
        <v>28.031931751469738</v>
      </c>
    </row>
    <row r="59" spans="5:20" x14ac:dyDescent="0.25">
      <c r="E59" t="s">
        <v>143</v>
      </c>
      <c r="I59" s="41">
        <f>I58-I60</f>
        <v>26.801931751469738</v>
      </c>
      <c r="K59" s="41">
        <f>K58-K60</f>
        <v>26.801931751469738</v>
      </c>
      <c r="M59" s="41">
        <f>M58-M60</f>
        <v>26.658924404419537</v>
      </c>
    </row>
    <row r="60" spans="5:20" x14ac:dyDescent="0.25">
      <c r="E60" t="s">
        <v>144</v>
      </c>
      <c r="I60" s="37">
        <f>I61+I62+I63</f>
        <v>1.23</v>
      </c>
      <c r="K60" s="37">
        <f>K61+K62+K63</f>
        <v>1.23</v>
      </c>
      <c r="M60" s="37">
        <f>M61+M62+M63</f>
        <v>1.3730073470502018</v>
      </c>
    </row>
    <row r="61" spans="5:20" x14ac:dyDescent="0.25">
      <c r="E61" t="s">
        <v>145</v>
      </c>
      <c r="G61">
        <v>1</v>
      </c>
      <c r="I61" s="40">
        <f>$G$61+I36</f>
        <v>1</v>
      </c>
      <c r="K61" s="40">
        <f>$G$61+K36</f>
        <v>1</v>
      </c>
      <c r="M61" s="40">
        <f>$G$61+M36</f>
        <v>1.1191727892085015</v>
      </c>
    </row>
    <row r="62" spans="5:20" x14ac:dyDescent="0.25">
      <c r="E62" t="s">
        <v>146</v>
      </c>
      <c r="I62" s="37">
        <f>I61/5</f>
        <v>0.2</v>
      </c>
      <c r="K62" s="37">
        <f>K61/5</f>
        <v>0.2</v>
      </c>
      <c r="M62" s="37">
        <f>M61/5</f>
        <v>0.22383455784170031</v>
      </c>
    </row>
    <row r="63" spans="5:20" x14ac:dyDescent="0.25">
      <c r="E63" t="s">
        <v>147</v>
      </c>
      <c r="I63" s="37">
        <v>0.03</v>
      </c>
      <c r="K63" s="37">
        <v>0.03</v>
      </c>
      <c r="M63" s="37">
        <v>0.03</v>
      </c>
    </row>
    <row r="66" spans="5:13" x14ac:dyDescent="0.25">
      <c r="E66" s="42" t="s">
        <v>148</v>
      </c>
    </row>
    <row r="67" spans="5:13" x14ac:dyDescent="0.25">
      <c r="E67" s="42" t="s">
        <v>149</v>
      </c>
      <c r="F67" s="43"/>
      <c r="G67" s="43"/>
      <c r="H67" s="43"/>
      <c r="I67" s="44"/>
      <c r="J67" s="45"/>
      <c r="K67" s="46">
        <f>K59-$I$59</f>
        <v>0</v>
      </c>
      <c r="L67" s="45"/>
      <c r="M67" s="46">
        <f>M59-$I$59</f>
        <v>-0.14300734705020091</v>
      </c>
    </row>
    <row r="68" spans="5:13" x14ac:dyDescent="0.25">
      <c r="E68" s="42" t="s">
        <v>150</v>
      </c>
      <c r="F68" s="43"/>
      <c r="G68" s="43"/>
      <c r="H68" s="43"/>
      <c r="I68" s="47"/>
      <c r="J68" s="48"/>
      <c r="K68" s="49">
        <f>K67/I4</f>
        <v>0</v>
      </c>
      <c r="L68" s="48"/>
      <c r="M68" s="49">
        <f>M67/K4</f>
        <v>-1.1532850574571189E-4</v>
      </c>
    </row>
    <row r="70" spans="5:13" x14ac:dyDescent="0.25">
      <c r="I70" s="51"/>
    </row>
    <row r="74" spans="5:13" x14ac:dyDescent="0.25">
      <c r="E74" t="s">
        <v>151</v>
      </c>
      <c r="G74" s="38">
        <v>1.8334275262846369</v>
      </c>
    </row>
    <row r="75" spans="5:13" x14ac:dyDescent="0.25">
      <c r="E75" t="s">
        <v>126</v>
      </c>
      <c r="G75" s="39">
        <f>G74/'OPTIONAL FULL MODEL APPENDIX'!C13</f>
        <v>1.4785705864834937E-3</v>
      </c>
    </row>
    <row r="76" spans="5:13" x14ac:dyDescent="0.25">
      <c r="E76" t="s">
        <v>152</v>
      </c>
      <c r="G76" s="50">
        <f>1/G75</f>
        <v>676.32888760374624</v>
      </c>
    </row>
    <row r="77" spans="5:13" x14ac:dyDescent="0.25">
      <c r="E77" t="s">
        <v>153</v>
      </c>
      <c r="G77" s="39">
        <v>0.02</v>
      </c>
    </row>
    <row r="79" spans="5:13" x14ac:dyDescent="0.25">
      <c r="E79" t="s">
        <v>154</v>
      </c>
    </row>
    <row r="80" spans="5:13" x14ac:dyDescent="0.25">
      <c r="E80" t="s">
        <v>155</v>
      </c>
      <c r="G80">
        <v>1</v>
      </c>
    </row>
    <row r="82" spans="5:7" x14ac:dyDescent="0.25">
      <c r="E82" t="s">
        <v>156</v>
      </c>
      <c r="G82">
        <v>1</v>
      </c>
    </row>
    <row r="84" spans="5:7" x14ac:dyDescent="0.25">
      <c r="E84" t="s">
        <v>157</v>
      </c>
      <c r="G84">
        <v>-0.9</v>
      </c>
    </row>
  </sheetData>
  <sheetProtection algorithmName="SHA-512" hashValue="mVFQZk1e7grcP2qDiI0TYHQ9fGCnsMyI7Cue8SbpK+5pBhcN5RdLqHDYpiTxrDEMgj62Q5mhWq4baKFhc6zHAw==" saltValue="2QYO181cvA7Fem5rUax7ig==" spinCount="100000" sheet="1" objects="1" scenarios="1"/>
  <protectedRanges>
    <protectedRange sqref="I9:I10 K9:K10 M9:M10" name="Range1"/>
    <protectedRange sqref="I13 K13 M13" name="Range4"/>
  </protectedRange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6145" r:id="rId4">
          <objectPr defaultSize="0" r:id="rId5">
            <anchor moveWithCells="1">
              <from>
                <xdr:col>4</xdr:col>
                <xdr:colOff>2562225</xdr:colOff>
                <xdr:row>73</xdr:row>
                <xdr:rowOff>66675</xdr:rowOff>
              </from>
              <to>
                <xdr:col>5</xdr:col>
                <xdr:colOff>19050</xdr:colOff>
                <xdr:row>74</xdr:row>
                <xdr:rowOff>76200</xdr:rowOff>
              </to>
            </anchor>
          </objectPr>
        </oleObject>
      </mc:Choice>
      <mc:Fallback>
        <oleObject progId="Equation.DSMT4" shapeId="6145" r:id="rId4"/>
      </mc:Fallback>
    </mc:AlternateContent>
    <mc:AlternateContent xmlns:mc="http://schemas.openxmlformats.org/markup-compatibility/2006">
      <mc:Choice Requires="x14">
        <oleObject progId="Equation.DSMT4" shapeId="6146" r:id="rId6">
          <objectPr defaultSize="0" autoPict="0" r:id="rId7">
            <anchor moveWithCells="1">
              <from>
                <xdr:col>6</xdr:col>
                <xdr:colOff>0</xdr:colOff>
                <xdr:row>79</xdr:row>
                <xdr:rowOff>47625</xdr:rowOff>
              </from>
              <to>
                <xdr:col>6</xdr:col>
                <xdr:colOff>314325</xdr:colOff>
                <xdr:row>80</xdr:row>
                <xdr:rowOff>57150</xdr:rowOff>
              </to>
            </anchor>
          </objectPr>
        </oleObject>
      </mc:Choice>
      <mc:Fallback>
        <oleObject progId="Equation.DSMT4" shapeId="6146" r:id="rId6"/>
      </mc:Fallback>
    </mc:AlternateContent>
    <mc:AlternateContent xmlns:mc="http://schemas.openxmlformats.org/markup-compatibility/2006">
      <mc:Choice Requires="x14">
        <oleObject progId="Equation.DSMT4" shapeId="6147" r:id="rId8">
          <objectPr defaultSize="0" autoPict="0" r:id="rId9">
            <anchor moveWithCells="1">
              <from>
                <xdr:col>6</xdr:col>
                <xdr:colOff>9525</xdr:colOff>
                <xdr:row>83</xdr:row>
                <xdr:rowOff>19050</xdr:rowOff>
              </from>
              <to>
                <xdr:col>6</xdr:col>
                <xdr:colOff>295275</xdr:colOff>
                <xdr:row>84</xdr:row>
                <xdr:rowOff>85725</xdr:rowOff>
              </to>
            </anchor>
          </objectPr>
        </oleObject>
      </mc:Choice>
      <mc:Fallback>
        <oleObject progId="Equation.DSMT4" shapeId="6147" r:id="rId8"/>
      </mc:Fallback>
    </mc:AlternateContent>
    <mc:AlternateContent xmlns:mc="http://schemas.openxmlformats.org/markup-compatibility/2006">
      <mc:Choice Requires="x14">
        <oleObject progId="Equation.DSMT4" shapeId="6148" r:id="rId10">
          <objectPr defaultSize="0" autoPict="0" r:id="rId11">
            <anchor moveWithCells="1">
              <from>
                <xdr:col>4</xdr:col>
                <xdr:colOff>114300</xdr:colOff>
                <xdr:row>70</xdr:row>
                <xdr:rowOff>95250</xdr:rowOff>
              </from>
              <to>
                <xdr:col>7</xdr:col>
                <xdr:colOff>219075</xdr:colOff>
                <xdr:row>72</xdr:row>
                <xdr:rowOff>28575</xdr:rowOff>
              </to>
            </anchor>
          </objectPr>
        </oleObject>
      </mc:Choice>
      <mc:Fallback>
        <oleObject progId="Equation.DSMT4" shapeId="6148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 (2)</vt:lpstr>
      <vt:lpstr>Sheet1</vt:lpstr>
      <vt:lpstr>GRAPHS ONLY</vt:lpstr>
      <vt:lpstr>Assignment Problem Dash OLD</vt:lpstr>
      <vt:lpstr>Assignment Problem Dash </vt:lpstr>
      <vt:lpstr>NEW Assignment Problem</vt:lpstr>
      <vt:lpstr>Streamlined Dashboard</vt:lpstr>
      <vt:lpstr>OPTIONAL FULL MODEL APPENDIX</vt:lpstr>
      <vt:lpstr>Fiscal and Central Bank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Tanner</dc:creator>
  <cp:lastModifiedBy>E. Tanner</cp:lastModifiedBy>
  <dcterms:created xsi:type="dcterms:W3CDTF">2015-04-25T18:43:10Z</dcterms:created>
  <dcterms:modified xsi:type="dcterms:W3CDTF">2017-04-06T17:08:33Z</dcterms:modified>
</cp:coreProperties>
</file>